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omments4.xml" ContentType="application/vnd.openxmlformats-officedocument.spreadsheetml.comments+xml"/>
  <Override PartName="/xl/tables/table13.xml" ContentType="application/vnd.openxmlformats-officedocument.spreadsheetml.table+xml"/>
  <Override PartName="/xl/comments5.xml" ContentType="application/vnd.openxmlformats-officedocument.spreadsheetml.comments+xml"/>
  <Override PartName="/xl/drawings/drawing2.xml" ContentType="application/vnd.openxmlformats-officedocument.drawing+xml"/>
  <Override PartName="/xl/tables/table14.xml" ContentType="application/vnd.openxmlformats-officedocument.spreadsheetml.table+xml"/>
  <Override PartName="/xl/comments6.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omments7.xml" ContentType="application/vnd.openxmlformats-officedocument.spreadsheetml.comments+xml"/>
  <Override PartName="/xl/tables/table18.xml" ContentType="application/vnd.openxmlformats-officedocument.spreadsheetml.table+xml"/>
  <Override PartName="/xl/comments8.xml" ContentType="application/vnd.openxmlformats-officedocument.spreadsheetml.comments+xml"/>
  <Override PartName="/xl/drawings/drawing3.xml" ContentType="application/vnd.openxmlformats-officedocument.drawing+xml"/>
  <Override PartName="/xl/tables/table19.xml" ContentType="application/vnd.openxmlformats-officedocument.spreadsheetml.table+xml"/>
  <Override PartName="/xl/comments9.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tables/table20.xml" ContentType="application/vnd.openxmlformats-officedocument.spreadsheetml.table+xml"/>
  <Override PartName="/xl/comments10.xml" ContentType="application/vnd.openxmlformats-officedocument.spreadsheetml.comments+xml"/>
  <Override PartName="/xl/tables/table21.xml" ContentType="application/vnd.openxmlformats-officedocument.spreadsheetml.table+xml"/>
  <Override PartName="/xl/comments11.xml" ContentType="application/vnd.openxmlformats-officedocument.spreadsheetml.comments+xml"/>
  <Override PartName="/xl/drawings/drawing4.xml" ContentType="application/vnd.openxmlformats-officedocument.drawing+xml"/>
  <Override PartName="/xl/tables/table22.xml" ContentType="application/vnd.openxmlformats-officedocument.spreadsheetml.table+xml"/>
  <Override PartName="/xl/comments12.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drawings/drawing5.xml" ContentType="application/vnd.openxmlformats-officedocument.drawing+xml"/>
  <Override PartName="/xl/tables/table23.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tables/table24.xml" ContentType="application/vnd.openxmlformats-officedocument.spreadsheetml.table+xml"/>
  <Override PartName="/xl/comments13.xml" ContentType="application/vnd.openxmlformats-officedocument.spreadsheetml.comments+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comments14.xml" ContentType="application/vnd.openxmlformats-officedocument.spreadsheetml.comments+xml"/>
  <Override PartName="/xl/tables/table29.xml" ContentType="application/vnd.openxmlformats-officedocument.spreadsheetml.table+xml"/>
  <Override PartName="/xl/tables/table30.xml" ContentType="application/vnd.openxmlformats-officedocument.spreadsheetml.table+xml"/>
  <Override PartName="/xl/drawings/drawing6.xml" ContentType="application/vnd.openxmlformats-officedocument.drawing+xml"/>
  <Override PartName="/xl/tables/table31.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tables/table32.xml" ContentType="application/vnd.openxmlformats-officedocument.spreadsheetml.table+xml"/>
  <Override PartName="/xl/comments15.xml" ContentType="application/vnd.openxmlformats-officedocument.spreadsheetml.comments+xml"/>
  <Override PartName="/xl/tables/table33.xml" ContentType="application/vnd.openxmlformats-officedocument.spreadsheetml.table+xml"/>
  <Override PartName="/xl/comments16.xml" ContentType="application/vnd.openxmlformats-officedocument.spreadsheetml.comments+xml"/>
  <Override PartName="/xl/tables/table34.xml" ContentType="application/vnd.openxmlformats-officedocument.spreadsheetml.table+xml"/>
  <Override PartName="/xl/comments17.xml" ContentType="application/vnd.openxmlformats-officedocument.spreadsheetml.comments+xml"/>
  <Override PartName="/xl/drawings/drawing7.xml" ContentType="application/vnd.openxmlformats-officedocument.drawing+xml"/>
  <Override PartName="/xl/tables/table35.xml" ContentType="application/vnd.openxmlformats-officedocument.spreadsheetml.table+xml"/>
  <Override PartName="/xl/comments18.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tables/table36.xml" ContentType="application/vnd.openxmlformats-officedocument.spreadsheetml.table+xml"/>
  <Override PartName="/xl/tables/table37.xml" ContentType="application/vnd.openxmlformats-officedocument.spreadsheetml.table+xml"/>
  <Override PartName="/xl/drawings/drawing8.xml" ContentType="application/vnd.openxmlformats-officedocument.drawing+xml"/>
  <Override PartName="/xl/tables/table3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tables/table39.xml" ContentType="application/vnd.openxmlformats-officedocument.spreadsheetml.table+xml"/>
  <Override PartName="/xl/tables/table40.xml" ContentType="application/vnd.openxmlformats-officedocument.spreadsheetml.table+xml"/>
  <Override PartName="/xl/drawings/drawing9.xml" ContentType="application/vnd.openxmlformats-officedocument.drawing+xml"/>
  <Override PartName="/xl/tables/table41.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9.xml" ContentType="application/vnd.openxmlformats-officedocument.themeOverride+xml"/>
  <Override PartName="/xl/tables/table42.xml" ContentType="application/vnd.openxmlformats-officedocument.spreadsheetml.table+xml"/>
  <Override PartName="/xl/tables/table43.xml" ContentType="application/vnd.openxmlformats-officedocument.spreadsheetml.table+xml"/>
  <Override PartName="/xl/drawings/drawing10.xml" ContentType="application/vnd.openxmlformats-officedocument.drawing+xml"/>
  <Override PartName="/xl/tables/table44.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0.xml" ContentType="application/vnd.openxmlformats-officedocument.themeOverride+xml"/>
  <Override PartName="/xl/tables/table45.xml" ContentType="application/vnd.openxmlformats-officedocument.spreadsheetml.table+xml"/>
  <Override PartName="/xl/tables/table46.xml" ContentType="application/vnd.openxmlformats-officedocument.spreadsheetml.table+xml"/>
  <Override PartName="/xl/drawings/drawing11.xml" ContentType="application/vnd.openxmlformats-officedocument.drawing+xml"/>
  <Override PartName="/xl/tables/table47.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1.xml" ContentType="application/vnd.openxmlformats-officedocument.themeOverride+xml"/>
  <Override PartName="/xl/tables/table48.xml" ContentType="application/vnd.openxmlformats-officedocument.spreadsheetml.table+xml"/>
  <Override PartName="/xl/tables/table49.xml" ContentType="application/vnd.openxmlformats-officedocument.spreadsheetml.table+xml"/>
  <Override PartName="/xl/drawings/drawing12.xml" ContentType="application/vnd.openxmlformats-officedocument.drawing+xml"/>
  <Override PartName="/xl/tables/table50.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12.xml" ContentType="application/vnd.openxmlformats-officedocument.themeOverride+xml"/>
  <Override PartName="/xl/tables/table51.xml" ContentType="application/vnd.openxmlformats-officedocument.spreadsheetml.table+xml"/>
  <Override PartName="/xl/tables/table52.xml" ContentType="application/vnd.openxmlformats-officedocument.spreadsheetml.table+xml"/>
  <Override PartName="/xl/drawings/drawing13.xml" ContentType="application/vnd.openxmlformats-officedocument.drawing+xml"/>
  <Override PartName="/xl/tables/table5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13.xml" ContentType="application/vnd.openxmlformats-officedocument.themeOverride+xml"/>
  <Override PartName="/xl/tables/table54.xml" ContentType="application/vnd.openxmlformats-officedocument.spreadsheetml.table+xml"/>
  <Override PartName="/xl/tables/table55.xml" ContentType="application/vnd.openxmlformats-officedocument.spreadsheetml.table+xml"/>
  <Override PartName="/xl/drawings/drawing14.xml" ContentType="application/vnd.openxmlformats-officedocument.drawing+xml"/>
  <Override PartName="/xl/tables/table56.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4.xml" ContentType="application/vnd.openxmlformats-officedocument.themeOverride+xml"/>
  <Override PartName="/xl/tables/table57.xml" ContentType="application/vnd.openxmlformats-officedocument.spreadsheetml.table+xml"/>
  <Override PartName="/xl/comments1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9.xml" ContentType="application/vnd.ms-excel.threadedcomments+xml"/>
  <Override PartName="/xl/threadedComments/threadedComment10.xml" ContentType="application/vnd.ms-excel.threadedcomments+xml"/>
  <Override PartName="/xl/threadedComments/threadedComment11.xml" ContentType="application/vnd.ms-excel.threadedcomments+xml"/>
  <Override PartName="/xl/threadedComments/threadedComment12.xml" ContentType="application/vnd.ms-excel.threadedcomments+xml"/>
  <Override PartName="/xl/threadedComments/threadedComment13.xml" ContentType="application/vnd.ms-excel.threadedcomments+xml"/>
  <Override PartName="/xl/threadedComments/threadedComment14.xml" ContentType="application/vnd.ms-excel.threadedcomments+xml"/>
  <Override PartName="/xl/threadedComments/threadedComment15.xml" ContentType="application/vnd.ms-excel.threadedcomments+xml"/>
  <Override PartName="/xl/threadedComments/threadedComment16.xml" ContentType="application/vnd.ms-excel.threadedcomments+xml"/>
  <Override PartName="/xl/threadedComments/threadedComment17.xml" ContentType="application/vnd.ms-excel.threadedcomments+xml"/>
  <Override PartName="/xl/threadedComments/threadedComment18.xml" ContentType="application/vnd.ms-excel.threadedcomments+xml"/>
  <Override PartName="/xl/threadedComments/threadedComment19.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codeName="DieseArbeitsmappe" defaultThemeVersion="166925"/>
  <mc:AlternateContent xmlns:mc="http://schemas.openxmlformats.org/markup-compatibility/2006">
    <mc:Choice Requires="x15">
      <x15ac:absPath xmlns:x15ac="http://schemas.microsoft.com/office/spreadsheetml/2010/11/ac" url="D:\DR_mod\DR_Potentials\inputs\"/>
    </mc:Choice>
  </mc:AlternateContent>
  <xr:revisionPtr revIDLastSave="0" documentId="13_ncr:1_{907F2EC1-9B71-4089-A939-B76B13A80E16}" xr6:coauthVersionLast="36" xr6:coauthVersionMax="44" xr10:uidLastSave="{00000000-0000-0000-0000-000000000000}"/>
  <bookViews>
    <workbookView xWindow="-120" yWindow="-120" windowWidth="29040" windowHeight="15840" tabRatio="793" activeTab="3" xr2:uid="{00000000-000D-0000-FFFF-FFFF00000000}"/>
  </bookViews>
  <sheets>
    <sheet name="Dokumentation" sheetId="65" r:id="rId1"/>
    <sheet name="Inhalt" sheetId="64" r:id="rId2"/>
    <sheet name="Dokumentation_Methode" sheetId="21" r:id="rId3"/>
    <sheet name="Gesamtueberblick" sheetId="2" r:id="rId4"/>
    <sheet name="00_Ueberblick_Biografie" sheetId="8" r:id="rId5"/>
    <sheet name="00_Zuordnung_Publikation_Nummer" sheetId="35" r:id="rId6"/>
    <sheet name="01_Methode_Daten_kodiert" sheetId="9" r:id="rId7"/>
    <sheet name="01_Methode_Daten_AUSW" sheetId="10" r:id="rId8"/>
    <sheet name="02_Ind_QST_Urliste" sheetId="17" state="hidden" r:id="rId9"/>
    <sheet name="02_GHD_QST-Branchen_Urliste" sheetId="18" state="hidden" r:id="rId10"/>
    <sheet name="02_HaHa_Urliste" sheetId="22" state="hidden" r:id="rId11"/>
    <sheet name="01_Methode_Daten_AUSW_NR" sheetId="38" r:id="rId12"/>
    <sheet name="01_Annahmen_Kategorien" sheetId="52" state="hidden" r:id="rId13"/>
    <sheet name="01_Annahmen_Urliste" sheetId="51" r:id="rId14"/>
    <sheet name="01_Annahmen_Daten_kodiert" sheetId="50" r:id="rId15"/>
    <sheet name="01_Annahmen_Daten_AUSW" sheetId="53" r:id="rId16"/>
    <sheet name="01_Annahmen_Daten_AUSW_NR" sheetId="54" r:id="rId17"/>
    <sheet name="01_Datenbasis_Kategorien" sheetId="56" r:id="rId18"/>
    <sheet name="01_Datenbasis_Urliste" sheetId="55" state="hidden" r:id="rId19"/>
    <sheet name="01_Datenbasis_kodiert" sheetId="57" r:id="rId20"/>
    <sheet name="01_Datenbasis_AUSW" sheetId="58" r:id="rId21"/>
    <sheet name="01_Datenbasis_AUSW_NR" sheetId="59" r:id="rId22"/>
    <sheet name="01_Folgeanalyse_kodiert" sheetId="60" r:id="rId23"/>
    <sheet name="01_Folgeanalyse_AUSW" sheetId="61" r:id="rId24"/>
    <sheet name="01_Folgeanalyse_AUSW_NR" sheetId="62" r:id="rId25"/>
    <sheet name="01_Zitationsanalyse_kodiert" sheetId="63" r:id="rId26"/>
    <sheet name="02_Ind_QST_Kategorien" sheetId="19" r:id="rId27"/>
    <sheet name="02_GHD_QST-Branchen_Kategorien" sheetId="20" r:id="rId28"/>
    <sheet name="02_HaHa_Kategorien" sheetId="23" r:id="rId29"/>
    <sheet name="02_Ind_Prozesse_Kategorien" sheetId="16" r:id="rId30"/>
    <sheet name="02_Ind_Prozesse_Urliste" sheetId="15" r:id="rId31"/>
    <sheet name="02_Ind_Prozesse_kodiert" sheetId="27" r:id="rId32"/>
    <sheet name="02_Ind_Prozesse_AUSW" sheetId="11" r:id="rId33"/>
    <sheet name="02_Ind_Prozesse_AUSW_NR" sheetId="31" r:id="rId34"/>
    <sheet name="02_Ind_Prozesseignung_kodiert" sheetId="69" r:id="rId35"/>
    <sheet name="02_Ind_QST_kodiert" sheetId="28" r:id="rId36"/>
    <sheet name="02_Ind_QST_AUSW" sheetId="26" r:id="rId37"/>
    <sheet name="02_Ind_QST_AUSW_NR" sheetId="32" r:id="rId38"/>
    <sheet name="02_GHD_QST-Branchen_kodiert" sheetId="29" r:id="rId39"/>
    <sheet name="02_GHD_QST-Branchen_AUSW" sheetId="25" r:id="rId40"/>
    <sheet name="02_GHD_QST-Branchen_AUSW_NR" sheetId="33" r:id="rId41"/>
    <sheet name="02_HaHa_kodiert" sheetId="30" r:id="rId42"/>
    <sheet name="02_HaHa_AUSW" sheetId="24" r:id="rId43"/>
    <sheet name="02_HaHa_AUSW_NR" sheetId="34" r:id="rId44"/>
    <sheet name="03_Flexparameter_kodiert" sheetId="12" r:id="rId45"/>
    <sheet name="03_Flexparameter_AUSW" sheetId="46" r:id="rId46"/>
    <sheet name="03_Flexparameter_AUSW_NR" sheetId="49" r:id="rId47"/>
    <sheet name="03_Zeitverfuegbarkeit_kodiert" sheetId="66" r:id="rId48"/>
    <sheet name="03_Zeitverfuegbarkeit_AUSW" sheetId="67" r:id="rId49"/>
    <sheet name="03_Zeitverfuegbarkeit_AUSW_NR" sheetId="68" r:id="rId50"/>
    <sheet name="04_Potenzialbegriff_kodiert" sheetId="14" r:id="rId51"/>
    <sheet name="04_Potenzialbegriff_AUSW" sheetId="39" r:id="rId52"/>
    <sheet name="04_Potenzialbegriff_AUSW_NR" sheetId="45" r:id="rId53"/>
    <sheet name="05_Betrachtungshorizont_kodiert" sheetId="13" r:id="rId54"/>
    <sheet name="05_Betrachtungshorizont_AUSW" sheetId="36" r:id="rId55"/>
    <sheet name="05_Betrachtungshorizont_AUSW_NR" sheetId="37" r:id="rId56"/>
    <sheet name="05_Basisjahr_kodiert" sheetId="41" r:id="rId57"/>
    <sheet name="05_Basisjahr_AUSW" sheetId="42" r:id="rId58"/>
    <sheet name="05_Basisjahr_AUSW_NR" sheetId="44" r:id="rId59"/>
    <sheet name="Dropdown" sheetId="5" r:id="rId60"/>
    <sheet name="Auswertung_Flexpotenziale" sheetId="6" r:id="rId61"/>
    <sheet name="EnArgus" sheetId="7" r:id="rId62"/>
  </sheets>
  <definedNames>
    <definedName name="_xlnm._FilterDatabase" localSheetId="27" hidden="1">'02_GHD_QST-Branchen_Kategorien'!$A$1:$B$58</definedName>
    <definedName name="_xlnm._FilterDatabase" localSheetId="28" hidden="1">'02_HaHa_Kategorien'!$A$1:$B$59</definedName>
    <definedName name="_xlnm._FilterDatabase" localSheetId="29" hidden="1">'02_Ind_Prozesse_Kategorien'!$A$1:$B$85</definedName>
    <definedName name="_xlnm._FilterDatabase" localSheetId="30" hidden="1">'02_Ind_Prozesse_Urliste'!$A$1:$D$88</definedName>
    <definedName name="_xlnm._FilterDatabase" localSheetId="26" hidden="1">'02_Ind_QST_Kategorien'!$A$1:$B$60</definedName>
    <definedName name="_xlnm._FilterDatabase" localSheetId="61" hidden="1">EnArgus!$A$6:$M$92</definedName>
    <definedName name="_xlnm._FilterDatabase" localSheetId="3" hidden="1">Gesamtueberblick!$A$1:$CC$1</definedName>
    <definedName name="_xlnm.Print_Area" localSheetId="3">Gesamtueberblick!#REF!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D33" i="2" l="1"/>
  <c r="BD29" i="2"/>
  <c r="AH32" i="2"/>
  <c r="AI32" i="2"/>
  <c r="AJ32" i="2"/>
  <c r="BD32" i="2"/>
  <c r="B4" i="9" l="1"/>
  <c r="B5" i="9"/>
  <c r="B6" i="9"/>
  <c r="B7" i="9"/>
  <c r="B8" i="9"/>
  <c r="B9" i="9"/>
  <c r="B10" i="9"/>
  <c r="B11" i="9"/>
  <c r="B12" i="9"/>
  <c r="B13" i="9"/>
  <c r="B14" i="9"/>
  <c r="B15" i="9"/>
  <c r="B16" i="9"/>
  <c r="B17" i="9"/>
  <c r="B18" i="9"/>
  <c r="B19" i="9"/>
  <c r="B20" i="9"/>
  <c r="B21" i="9"/>
  <c r="B22" i="9"/>
  <c r="B23" i="9"/>
  <c r="B24" i="9"/>
  <c r="B25" i="9"/>
  <c r="B26" i="9"/>
  <c r="B27" i="9"/>
  <c r="B3" i="9"/>
  <c r="B28" i="9" l="1"/>
  <c r="N27" i="69"/>
  <c r="M27" i="69" l="1"/>
  <c r="L27" i="69"/>
  <c r="K27" i="69"/>
  <c r="J27" i="69"/>
  <c r="I27" i="69"/>
  <c r="H27" i="69"/>
  <c r="G27" i="69"/>
  <c r="F27" i="69"/>
  <c r="E27" i="69"/>
  <c r="D27" i="69"/>
  <c r="C27" i="69"/>
  <c r="B27" i="69"/>
  <c r="AJ3" i="2" l="1"/>
  <c r="AJ4" i="2"/>
  <c r="AJ5" i="2"/>
  <c r="AJ6" i="2"/>
  <c r="AJ7" i="2"/>
  <c r="AJ8" i="2"/>
  <c r="AJ9" i="2"/>
  <c r="AJ10" i="2"/>
  <c r="AJ11" i="2"/>
  <c r="AJ12" i="2"/>
  <c r="AJ13" i="2"/>
  <c r="AJ14" i="2"/>
  <c r="AJ15" i="2"/>
  <c r="AJ16" i="2"/>
  <c r="AJ17" i="2"/>
  <c r="AJ18" i="2"/>
  <c r="AJ19" i="2"/>
  <c r="AJ20" i="2"/>
  <c r="AJ21" i="2"/>
  <c r="AJ22" i="2"/>
  <c r="AJ23" i="2"/>
  <c r="AJ24" i="2"/>
  <c r="AJ25" i="2"/>
  <c r="AJ26" i="2"/>
  <c r="AJ27" i="2"/>
  <c r="AI3" i="2"/>
  <c r="AI4" i="2"/>
  <c r="AI5" i="2"/>
  <c r="AI6" i="2"/>
  <c r="AI7" i="2"/>
  <c r="AI8" i="2"/>
  <c r="AI9" i="2"/>
  <c r="AI10" i="2"/>
  <c r="AI11" i="2"/>
  <c r="AI12" i="2"/>
  <c r="AI13" i="2"/>
  <c r="AI14" i="2"/>
  <c r="AI15" i="2"/>
  <c r="AI16" i="2"/>
  <c r="AI17" i="2"/>
  <c r="AI18" i="2"/>
  <c r="AI19" i="2"/>
  <c r="AI20" i="2"/>
  <c r="AI21" i="2"/>
  <c r="AI22" i="2"/>
  <c r="AI23" i="2"/>
  <c r="AI24" i="2"/>
  <c r="AI25" i="2"/>
  <c r="AI26" i="2"/>
  <c r="AI27" i="2"/>
  <c r="AH3" i="2"/>
  <c r="AH4" i="2"/>
  <c r="AH5" i="2"/>
  <c r="AH6" i="2"/>
  <c r="AH7" i="2"/>
  <c r="AH8" i="2"/>
  <c r="AH9" i="2"/>
  <c r="AH10" i="2"/>
  <c r="AH11" i="2"/>
  <c r="AH12" i="2"/>
  <c r="AH13" i="2"/>
  <c r="AH14" i="2"/>
  <c r="AH15" i="2"/>
  <c r="AH16" i="2"/>
  <c r="AH17" i="2"/>
  <c r="AH18" i="2"/>
  <c r="AH19" i="2"/>
  <c r="AH20" i="2"/>
  <c r="AH21" i="2"/>
  <c r="AH22" i="2"/>
  <c r="AH23" i="2"/>
  <c r="AH24" i="2"/>
  <c r="AH25" i="2"/>
  <c r="AH26" i="2"/>
  <c r="AH27" i="2"/>
  <c r="K29" i="12"/>
  <c r="B4" i="66" l="1"/>
  <c r="C4" i="66"/>
  <c r="D4" i="66"/>
  <c r="E4" i="66"/>
  <c r="F4" i="66"/>
  <c r="G4" i="66"/>
  <c r="H4" i="66"/>
  <c r="B5" i="66"/>
  <c r="C5" i="66"/>
  <c r="D5" i="66"/>
  <c r="E5" i="66"/>
  <c r="F5" i="66"/>
  <c r="G5" i="66"/>
  <c r="H5" i="66"/>
  <c r="B6" i="66"/>
  <c r="C6" i="66"/>
  <c r="D6" i="66"/>
  <c r="E6" i="66"/>
  <c r="F6" i="66"/>
  <c r="G6" i="66"/>
  <c r="H6" i="66"/>
  <c r="B7" i="66"/>
  <c r="C7" i="66"/>
  <c r="D7" i="66"/>
  <c r="E7" i="66"/>
  <c r="F7" i="66"/>
  <c r="G7" i="66"/>
  <c r="H7" i="66"/>
  <c r="B8" i="66"/>
  <c r="C8" i="66"/>
  <c r="D8" i="66"/>
  <c r="E8" i="66"/>
  <c r="F8" i="66"/>
  <c r="G8" i="66"/>
  <c r="H8" i="66"/>
  <c r="B9" i="66"/>
  <c r="C9" i="66"/>
  <c r="D9" i="66"/>
  <c r="E9" i="66"/>
  <c r="F9" i="66"/>
  <c r="G9" i="66"/>
  <c r="H9" i="66"/>
  <c r="B10" i="66"/>
  <c r="C10" i="66"/>
  <c r="D10" i="66"/>
  <c r="E10" i="66"/>
  <c r="F10" i="66"/>
  <c r="G10" i="66"/>
  <c r="H10" i="66"/>
  <c r="B11" i="66"/>
  <c r="C11" i="66"/>
  <c r="D11" i="66"/>
  <c r="E11" i="66"/>
  <c r="F11" i="66"/>
  <c r="G11" i="66"/>
  <c r="H11" i="66"/>
  <c r="B12" i="66"/>
  <c r="C12" i="66"/>
  <c r="D12" i="66"/>
  <c r="E12" i="66"/>
  <c r="F12" i="66"/>
  <c r="G12" i="66"/>
  <c r="H12" i="66"/>
  <c r="B13" i="66"/>
  <c r="C13" i="66"/>
  <c r="D13" i="66"/>
  <c r="E13" i="66"/>
  <c r="F13" i="66"/>
  <c r="G13" i="66"/>
  <c r="H13" i="66"/>
  <c r="B14" i="66"/>
  <c r="C14" i="66"/>
  <c r="D14" i="66"/>
  <c r="E14" i="66"/>
  <c r="F14" i="66"/>
  <c r="G14" i="66"/>
  <c r="H14" i="66"/>
  <c r="B15" i="66"/>
  <c r="C15" i="66"/>
  <c r="D15" i="66"/>
  <c r="E15" i="66"/>
  <c r="F15" i="66"/>
  <c r="G15" i="66"/>
  <c r="H15" i="66"/>
  <c r="B16" i="66"/>
  <c r="C16" i="66"/>
  <c r="D16" i="66"/>
  <c r="E16" i="66"/>
  <c r="F16" i="66"/>
  <c r="G16" i="66"/>
  <c r="H16" i="66"/>
  <c r="B17" i="66"/>
  <c r="C17" i="66"/>
  <c r="D17" i="66"/>
  <c r="E17" i="66"/>
  <c r="F17" i="66"/>
  <c r="G17" i="66"/>
  <c r="H17" i="66"/>
  <c r="B18" i="66"/>
  <c r="C18" i="66"/>
  <c r="D18" i="66"/>
  <c r="E18" i="66"/>
  <c r="F18" i="66"/>
  <c r="G18" i="66"/>
  <c r="H18" i="66"/>
  <c r="B19" i="66"/>
  <c r="C19" i="66"/>
  <c r="D19" i="66"/>
  <c r="E19" i="66"/>
  <c r="F19" i="66"/>
  <c r="G19" i="66"/>
  <c r="H19" i="66"/>
  <c r="B20" i="66"/>
  <c r="C20" i="66"/>
  <c r="D20" i="66"/>
  <c r="E20" i="66"/>
  <c r="F20" i="66"/>
  <c r="G20" i="66"/>
  <c r="H20" i="66"/>
  <c r="B21" i="66"/>
  <c r="C21" i="66"/>
  <c r="D21" i="66"/>
  <c r="E21" i="66"/>
  <c r="F21" i="66"/>
  <c r="G21" i="66"/>
  <c r="H21" i="66"/>
  <c r="B22" i="66"/>
  <c r="C22" i="66"/>
  <c r="D22" i="66"/>
  <c r="E22" i="66"/>
  <c r="F22" i="66"/>
  <c r="G22" i="66"/>
  <c r="H22" i="66"/>
  <c r="B23" i="66"/>
  <c r="C23" i="66"/>
  <c r="D23" i="66"/>
  <c r="E23" i="66"/>
  <c r="F23" i="66"/>
  <c r="G23" i="66"/>
  <c r="H23" i="66"/>
  <c r="B24" i="66"/>
  <c r="C24" i="66"/>
  <c r="D24" i="66"/>
  <c r="E24" i="66"/>
  <c r="F24" i="66"/>
  <c r="G24" i="66"/>
  <c r="H24" i="66"/>
  <c r="B25" i="66"/>
  <c r="C25" i="66"/>
  <c r="D25" i="66"/>
  <c r="E25" i="66"/>
  <c r="F25" i="66"/>
  <c r="G25" i="66"/>
  <c r="H25" i="66"/>
  <c r="B26" i="66"/>
  <c r="C26" i="66"/>
  <c r="D26" i="66"/>
  <c r="E26" i="66"/>
  <c r="F26" i="66"/>
  <c r="G26" i="66"/>
  <c r="H26" i="66"/>
  <c r="B27" i="66"/>
  <c r="C27" i="66"/>
  <c r="D27" i="66"/>
  <c r="E27" i="66"/>
  <c r="F27" i="66"/>
  <c r="G27" i="66"/>
  <c r="H27" i="66"/>
  <c r="C3" i="66"/>
  <c r="D3" i="66"/>
  <c r="E3" i="66"/>
  <c r="F3" i="66"/>
  <c r="G3" i="66"/>
  <c r="H3" i="66"/>
  <c r="B3" i="66"/>
  <c r="G28" i="66" l="1"/>
  <c r="G28" i="67" s="1"/>
  <c r="H27" i="68"/>
  <c r="H26" i="68"/>
  <c r="H25" i="68"/>
  <c r="H24" i="68"/>
  <c r="H23" i="68"/>
  <c r="H22" i="68"/>
  <c r="H21" i="68"/>
  <c r="H20" i="68"/>
  <c r="H19" i="68"/>
  <c r="H18" i="68"/>
  <c r="H17" i="68"/>
  <c r="H16" i="68"/>
  <c r="H15" i="68"/>
  <c r="H14" i="68"/>
  <c r="H13" i="68"/>
  <c r="H12" i="68"/>
  <c r="H11" i="68"/>
  <c r="H10" i="68"/>
  <c r="H9" i="68"/>
  <c r="H8" i="68"/>
  <c r="H7" i="68"/>
  <c r="H6" i="68"/>
  <c r="H5" i="68"/>
  <c r="H4" i="68"/>
  <c r="H3" i="68"/>
  <c r="H27" i="67"/>
  <c r="H26" i="67"/>
  <c r="H25" i="67"/>
  <c r="H24" i="67"/>
  <c r="H23" i="67"/>
  <c r="H22" i="67"/>
  <c r="H21" i="67"/>
  <c r="H20" i="67"/>
  <c r="H19" i="67"/>
  <c r="H18" i="67"/>
  <c r="H17" i="67"/>
  <c r="H16" i="67"/>
  <c r="H15" i="67"/>
  <c r="H14" i="67"/>
  <c r="H13" i="67"/>
  <c r="H12" i="67"/>
  <c r="H11" i="67"/>
  <c r="H10" i="67"/>
  <c r="H9" i="67"/>
  <c r="H8" i="67"/>
  <c r="H7" i="67"/>
  <c r="H6" i="67"/>
  <c r="H5" i="67"/>
  <c r="H4" i="67"/>
  <c r="H3" i="67"/>
  <c r="B4" i="67"/>
  <c r="B4" i="68" s="1"/>
  <c r="C4" i="67"/>
  <c r="C4" i="68" s="1"/>
  <c r="D4" i="67"/>
  <c r="D4" i="68" s="1"/>
  <c r="E4" i="67"/>
  <c r="E4" i="68" s="1"/>
  <c r="F4" i="67"/>
  <c r="F4" i="68" s="1"/>
  <c r="G4" i="67"/>
  <c r="G4" i="68" s="1"/>
  <c r="B5" i="67"/>
  <c r="B5" i="68" s="1"/>
  <c r="C5" i="67"/>
  <c r="C5" i="68" s="1"/>
  <c r="D5" i="67"/>
  <c r="D5" i="68" s="1"/>
  <c r="E5" i="67"/>
  <c r="E5" i="68" s="1"/>
  <c r="F5" i="67"/>
  <c r="F5" i="68" s="1"/>
  <c r="G5" i="67"/>
  <c r="G5" i="68" s="1"/>
  <c r="B6" i="67"/>
  <c r="B6" i="68" s="1"/>
  <c r="C6" i="67"/>
  <c r="C6" i="68" s="1"/>
  <c r="D6" i="67"/>
  <c r="D6" i="68" s="1"/>
  <c r="E6" i="67"/>
  <c r="E6" i="68" s="1"/>
  <c r="F6" i="67"/>
  <c r="F6" i="68" s="1"/>
  <c r="G6" i="67"/>
  <c r="G6" i="68" s="1"/>
  <c r="B7" i="67"/>
  <c r="B7" i="68" s="1"/>
  <c r="C7" i="67"/>
  <c r="C7" i="68" s="1"/>
  <c r="D7" i="67"/>
  <c r="D7" i="68" s="1"/>
  <c r="E7" i="67"/>
  <c r="E7" i="68" s="1"/>
  <c r="F7" i="67"/>
  <c r="F7" i="68" s="1"/>
  <c r="G7" i="67"/>
  <c r="G7" i="68" s="1"/>
  <c r="B8" i="67"/>
  <c r="B8" i="68" s="1"/>
  <c r="C8" i="67"/>
  <c r="C8" i="68" s="1"/>
  <c r="D8" i="67"/>
  <c r="D8" i="68" s="1"/>
  <c r="E8" i="67"/>
  <c r="E8" i="68" s="1"/>
  <c r="F8" i="67"/>
  <c r="F8" i="68" s="1"/>
  <c r="G8" i="67"/>
  <c r="G8" i="68" s="1"/>
  <c r="B9" i="67"/>
  <c r="B9" i="68" s="1"/>
  <c r="C9" i="67"/>
  <c r="C9" i="68" s="1"/>
  <c r="D9" i="67"/>
  <c r="D9" i="68" s="1"/>
  <c r="E9" i="67"/>
  <c r="E9" i="68" s="1"/>
  <c r="F9" i="67"/>
  <c r="F9" i="68" s="1"/>
  <c r="G9" i="67"/>
  <c r="G9" i="68" s="1"/>
  <c r="B10" i="67"/>
  <c r="B10" i="68" s="1"/>
  <c r="C10" i="67"/>
  <c r="C10" i="68" s="1"/>
  <c r="D10" i="67"/>
  <c r="D10" i="68" s="1"/>
  <c r="E10" i="67"/>
  <c r="E10" i="68" s="1"/>
  <c r="F10" i="67"/>
  <c r="F10" i="68" s="1"/>
  <c r="G10" i="67"/>
  <c r="G10" i="68" s="1"/>
  <c r="B11" i="67"/>
  <c r="B11" i="68" s="1"/>
  <c r="C11" i="67"/>
  <c r="C11" i="68" s="1"/>
  <c r="D11" i="67"/>
  <c r="D11" i="68" s="1"/>
  <c r="E11" i="67"/>
  <c r="E11" i="68" s="1"/>
  <c r="F11" i="67"/>
  <c r="F11" i="68" s="1"/>
  <c r="G11" i="67"/>
  <c r="G11" i="68" s="1"/>
  <c r="B12" i="67"/>
  <c r="B12" i="68" s="1"/>
  <c r="C12" i="67"/>
  <c r="C12" i="68" s="1"/>
  <c r="D12" i="67"/>
  <c r="D12" i="68" s="1"/>
  <c r="E12" i="67"/>
  <c r="E12" i="68" s="1"/>
  <c r="F12" i="67"/>
  <c r="F12" i="68" s="1"/>
  <c r="G12" i="67"/>
  <c r="G12" i="68" s="1"/>
  <c r="B13" i="67"/>
  <c r="B13" i="68" s="1"/>
  <c r="C13" i="67"/>
  <c r="C13" i="68" s="1"/>
  <c r="D13" i="67"/>
  <c r="D13" i="68" s="1"/>
  <c r="E13" i="67"/>
  <c r="E13" i="68" s="1"/>
  <c r="F13" i="67"/>
  <c r="F13" i="68" s="1"/>
  <c r="G13" i="67"/>
  <c r="G13" i="68" s="1"/>
  <c r="B14" i="67"/>
  <c r="B14" i="68" s="1"/>
  <c r="C14" i="67"/>
  <c r="C14" i="68" s="1"/>
  <c r="D14" i="67"/>
  <c r="D14" i="68" s="1"/>
  <c r="E14" i="67"/>
  <c r="E14" i="68" s="1"/>
  <c r="F14" i="67"/>
  <c r="F14" i="68" s="1"/>
  <c r="G14" i="67"/>
  <c r="G14" i="68" s="1"/>
  <c r="B15" i="67"/>
  <c r="B15" i="68" s="1"/>
  <c r="C15" i="67"/>
  <c r="C15" i="68" s="1"/>
  <c r="D15" i="67"/>
  <c r="D15" i="68" s="1"/>
  <c r="E15" i="67"/>
  <c r="E15" i="68" s="1"/>
  <c r="F15" i="67"/>
  <c r="F15" i="68" s="1"/>
  <c r="G15" i="67"/>
  <c r="G15" i="68" s="1"/>
  <c r="B16" i="67"/>
  <c r="B16" i="68" s="1"/>
  <c r="C16" i="67"/>
  <c r="C16" i="68" s="1"/>
  <c r="D16" i="67"/>
  <c r="D16" i="68" s="1"/>
  <c r="E16" i="67"/>
  <c r="E16" i="68" s="1"/>
  <c r="F16" i="67"/>
  <c r="F16" i="68" s="1"/>
  <c r="G16" i="67"/>
  <c r="G16" i="68" s="1"/>
  <c r="B17" i="67"/>
  <c r="B17" i="68" s="1"/>
  <c r="C17" i="67"/>
  <c r="C17" i="68" s="1"/>
  <c r="D17" i="67"/>
  <c r="D17" i="68" s="1"/>
  <c r="E17" i="67"/>
  <c r="E17" i="68" s="1"/>
  <c r="F17" i="67"/>
  <c r="F17" i="68" s="1"/>
  <c r="G17" i="67"/>
  <c r="G17" i="68" s="1"/>
  <c r="B18" i="67"/>
  <c r="B18" i="68" s="1"/>
  <c r="C18" i="67"/>
  <c r="C18" i="68" s="1"/>
  <c r="D18" i="67"/>
  <c r="D18" i="68" s="1"/>
  <c r="E18" i="67"/>
  <c r="E18" i="68" s="1"/>
  <c r="F18" i="67"/>
  <c r="F18" i="68" s="1"/>
  <c r="G18" i="67"/>
  <c r="G18" i="68" s="1"/>
  <c r="B19" i="67"/>
  <c r="B19" i="68" s="1"/>
  <c r="C19" i="67"/>
  <c r="C19" i="68" s="1"/>
  <c r="D19" i="67"/>
  <c r="D19" i="68" s="1"/>
  <c r="E19" i="67"/>
  <c r="E19" i="68" s="1"/>
  <c r="F19" i="67"/>
  <c r="F19" i="68" s="1"/>
  <c r="G19" i="67"/>
  <c r="G19" i="68" s="1"/>
  <c r="B20" i="67"/>
  <c r="B20" i="68" s="1"/>
  <c r="C20" i="67"/>
  <c r="C20" i="68" s="1"/>
  <c r="D20" i="67"/>
  <c r="D20" i="68" s="1"/>
  <c r="E20" i="67"/>
  <c r="E20" i="68" s="1"/>
  <c r="F20" i="67"/>
  <c r="F20" i="68" s="1"/>
  <c r="G20" i="67"/>
  <c r="G20" i="68" s="1"/>
  <c r="B21" i="67"/>
  <c r="B21" i="68" s="1"/>
  <c r="C21" i="67"/>
  <c r="C21" i="68" s="1"/>
  <c r="D21" i="67"/>
  <c r="D21" i="68" s="1"/>
  <c r="E21" i="67"/>
  <c r="E21" i="68" s="1"/>
  <c r="F21" i="67"/>
  <c r="F21" i="68" s="1"/>
  <c r="G21" i="67"/>
  <c r="G21" i="68" s="1"/>
  <c r="B22" i="67"/>
  <c r="B22" i="68" s="1"/>
  <c r="C22" i="67"/>
  <c r="C22" i="68" s="1"/>
  <c r="D22" i="67"/>
  <c r="D22" i="68" s="1"/>
  <c r="E22" i="67"/>
  <c r="E22" i="68" s="1"/>
  <c r="F22" i="67"/>
  <c r="F22" i="68" s="1"/>
  <c r="G22" i="67"/>
  <c r="G22" i="68" s="1"/>
  <c r="B23" i="67"/>
  <c r="B23" i="68" s="1"/>
  <c r="C23" i="67"/>
  <c r="C23" i="68" s="1"/>
  <c r="D23" i="67"/>
  <c r="D23" i="68" s="1"/>
  <c r="E23" i="67"/>
  <c r="E23" i="68" s="1"/>
  <c r="F23" i="67"/>
  <c r="F23" i="68" s="1"/>
  <c r="G23" i="67"/>
  <c r="G23" i="68" s="1"/>
  <c r="B24" i="67"/>
  <c r="B24" i="68" s="1"/>
  <c r="C24" i="67"/>
  <c r="C24" i="68" s="1"/>
  <c r="D24" i="67"/>
  <c r="D24" i="68" s="1"/>
  <c r="E24" i="67"/>
  <c r="E24" i="68" s="1"/>
  <c r="F24" i="67"/>
  <c r="F24" i="68" s="1"/>
  <c r="G24" i="67"/>
  <c r="G24" i="68" s="1"/>
  <c r="B25" i="67"/>
  <c r="B25" i="68" s="1"/>
  <c r="C25" i="67"/>
  <c r="C25" i="68" s="1"/>
  <c r="D25" i="67"/>
  <c r="D25" i="68" s="1"/>
  <c r="E25" i="67"/>
  <c r="E25" i="68" s="1"/>
  <c r="F25" i="67"/>
  <c r="F25" i="68" s="1"/>
  <c r="G25" i="67"/>
  <c r="G25" i="68" s="1"/>
  <c r="B26" i="67"/>
  <c r="B26" i="68" s="1"/>
  <c r="C26" i="67"/>
  <c r="C26" i="68" s="1"/>
  <c r="D26" i="67"/>
  <c r="D26" i="68" s="1"/>
  <c r="E26" i="67"/>
  <c r="E26" i="68" s="1"/>
  <c r="F26" i="67"/>
  <c r="F26" i="68" s="1"/>
  <c r="G26" i="67"/>
  <c r="G26" i="68" s="1"/>
  <c r="B27" i="67"/>
  <c r="B27" i="68" s="1"/>
  <c r="C27" i="67"/>
  <c r="C27" i="68" s="1"/>
  <c r="D27" i="67"/>
  <c r="D27" i="68" s="1"/>
  <c r="E27" i="67"/>
  <c r="E27" i="68" s="1"/>
  <c r="F27" i="67"/>
  <c r="F27" i="68" s="1"/>
  <c r="G27" i="67"/>
  <c r="G27" i="68" s="1"/>
  <c r="C3" i="67"/>
  <c r="C3" i="68" s="1"/>
  <c r="D3" i="67"/>
  <c r="D3" i="68" s="1"/>
  <c r="E3" i="67"/>
  <c r="E3" i="68" s="1"/>
  <c r="F3" i="67"/>
  <c r="F3" i="68" s="1"/>
  <c r="G3" i="67"/>
  <c r="G3" i="68" s="1"/>
  <c r="B28" i="66" l="1"/>
  <c r="B28" i="67" s="1"/>
  <c r="B28" i="68" s="1"/>
  <c r="H28" i="67"/>
  <c r="B3" i="67"/>
  <c r="B3" i="68" s="1"/>
  <c r="D28" i="66"/>
  <c r="D28" i="67" s="1"/>
  <c r="H28" i="66"/>
  <c r="C28" i="66"/>
  <c r="C28" i="67" s="1"/>
  <c r="E28" i="66"/>
  <c r="E28" i="67" s="1"/>
  <c r="E28" i="68" s="1"/>
  <c r="F28" i="66"/>
  <c r="F28" i="67" s="1"/>
  <c r="F28" i="68" s="1"/>
  <c r="H28" i="57"/>
  <c r="H28" i="59" s="1"/>
  <c r="H27" i="59"/>
  <c r="H26" i="59"/>
  <c r="H25" i="59"/>
  <c r="H24" i="59"/>
  <c r="H23" i="59"/>
  <c r="H22" i="59"/>
  <c r="H21" i="59"/>
  <c r="H20" i="59"/>
  <c r="H19" i="59"/>
  <c r="H18" i="59"/>
  <c r="H17" i="59"/>
  <c r="H16" i="59"/>
  <c r="H15" i="59"/>
  <c r="H14" i="59"/>
  <c r="H13" i="59"/>
  <c r="H12" i="59"/>
  <c r="H11" i="59"/>
  <c r="H10" i="59"/>
  <c r="H9" i="59"/>
  <c r="H8" i="59"/>
  <c r="H7" i="59"/>
  <c r="H6" i="59"/>
  <c r="H5" i="59"/>
  <c r="H4" i="59"/>
  <c r="H3" i="59"/>
  <c r="H3" i="58"/>
  <c r="H4" i="58"/>
  <c r="H5" i="58"/>
  <c r="H6" i="58"/>
  <c r="H7" i="58"/>
  <c r="H8" i="58"/>
  <c r="H9" i="58"/>
  <c r="H10" i="58"/>
  <c r="H11" i="58"/>
  <c r="H12" i="58"/>
  <c r="H13" i="58"/>
  <c r="H14" i="58"/>
  <c r="H15" i="58"/>
  <c r="H16" i="58"/>
  <c r="H17" i="58"/>
  <c r="H18" i="58"/>
  <c r="H19" i="58"/>
  <c r="H20" i="58"/>
  <c r="H21" i="58"/>
  <c r="H22" i="58"/>
  <c r="H23" i="58"/>
  <c r="H24" i="58"/>
  <c r="H25" i="58"/>
  <c r="H26" i="58"/>
  <c r="H27" i="58"/>
  <c r="D28" i="68" l="1"/>
  <c r="H28" i="68"/>
  <c r="G28" i="68"/>
  <c r="C28" i="68"/>
  <c r="H28" i="58"/>
  <c r="C28" i="63"/>
  <c r="D28" i="63"/>
  <c r="E28" i="63"/>
  <c r="F28" i="63"/>
  <c r="G28" i="63"/>
  <c r="H28" i="63"/>
  <c r="I28" i="63"/>
  <c r="J28" i="63"/>
  <c r="K28" i="63"/>
  <c r="L28" i="63"/>
  <c r="M28" i="63"/>
  <c r="N28" i="63"/>
  <c r="O28" i="63"/>
  <c r="P28" i="63"/>
  <c r="Q28" i="63"/>
  <c r="R28" i="63"/>
  <c r="S28" i="63"/>
  <c r="T28" i="63"/>
  <c r="U28" i="63"/>
  <c r="V28" i="63"/>
  <c r="W28" i="63"/>
  <c r="X28" i="63"/>
  <c r="Y28" i="63"/>
  <c r="Z28" i="63"/>
  <c r="F3" i="60"/>
  <c r="F3" i="61" s="1"/>
  <c r="F4" i="60"/>
  <c r="F4" i="62" s="1"/>
  <c r="F5" i="60"/>
  <c r="F5" i="61" s="1"/>
  <c r="F6" i="60"/>
  <c r="F6" i="62" s="1"/>
  <c r="F7" i="60"/>
  <c r="F7" i="61" s="1"/>
  <c r="F8" i="60"/>
  <c r="F8" i="61" s="1"/>
  <c r="F9" i="60"/>
  <c r="F9" i="62" s="1"/>
  <c r="F10" i="60"/>
  <c r="F10" i="62" s="1"/>
  <c r="F11" i="60"/>
  <c r="F11" i="62" s="1"/>
  <c r="F12" i="60"/>
  <c r="F12" i="62" s="1"/>
  <c r="F13" i="60"/>
  <c r="F13" i="61" s="1"/>
  <c r="F14" i="60"/>
  <c r="F14" i="62" s="1"/>
  <c r="F15" i="60"/>
  <c r="F15" i="61" s="1"/>
  <c r="F16" i="60"/>
  <c r="F16" i="61" s="1"/>
  <c r="F17" i="60"/>
  <c r="F17" i="62" s="1"/>
  <c r="F18" i="60"/>
  <c r="F18" i="62" s="1"/>
  <c r="F19" i="60"/>
  <c r="F19" i="62" s="1"/>
  <c r="F20" i="60"/>
  <c r="F20" i="62" s="1"/>
  <c r="F21" i="60"/>
  <c r="F21" i="61" s="1"/>
  <c r="F22" i="60"/>
  <c r="F22" i="62" s="1"/>
  <c r="F23" i="60"/>
  <c r="F23" i="62" s="1"/>
  <c r="F24" i="60"/>
  <c r="F24" i="61" s="1"/>
  <c r="F25" i="60"/>
  <c r="F25" i="62" s="1"/>
  <c r="F26" i="60"/>
  <c r="F26" i="62" s="1"/>
  <c r="F27" i="60"/>
  <c r="F27" i="62" s="1"/>
  <c r="E3" i="60"/>
  <c r="E3" i="61" s="1"/>
  <c r="E4" i="60"/>
  <c r="E4" i="61" s="1"/>
  <c r="E5" i="60"/>
  <c r="E5" i="61" s="1"/>
  <c r="E6" i="60"/>
  <c r="E6" i="62" s="1"/>
  <c r="E7" i="60"/>
  <c r="E7" i="61" s="1"/>
  <c r="E8" i="60"/>
  <c r="E8" i="61" s="1"/>
  <c r="E9" i="60"/>
  <c r="E9" i="62" s="1"/>
  <c r="E10" i="60"/>
  <c r="E10" i="61" s="1"/>
  <c r="E11" i="60"/>
  <c r="E11" i="61" s="1"/>
  <c r="E12" i="60"/>
  <c r="E12" i="61" s="1"/>
  <c r="E13" i="60"/>
  <c r="E13" i="61" s="1"/>
  <c r="E14" i="60"/>
  <c r="E14" i="62" s="1"/>
  <c r="E15" i="60"/>
  <c r="E15" i="61" s="1"/>
  <c r="E16" i="60"/>
  <c r="E16" i="61" s="1"/>
  <c r="E17" i="60"/>
  <c r="E17" i="62" s="1"/>
  <c r="E18" i="60"/>
  <c r="E18" i="61" s="1"/>
  <c r="E19" i="60"/>
  <c r="E19" i="61" s="1"/>
  <c r="E20" i="60"/>
  <c r="E20" i="62" s="1"/>
  <c r="E21" i="60"/>
  <c r="E21" i="61" s="1"/>
  <c r="E22" i="60"/>
  <c r="E22" i="62" s="1"/>
  <c r="E23" i="60"/>
  <c r="E23" i="61" s="1"/>
  <c r="E24" i="60"/>
  <c r="E24" i="61" s="1"/>
  <c r="E25" i="60"/>
  <c r="E25" i="62" s="1"/>
  <c r="E26" i="60"/>
  <c r="E26" i="61" s="1"/>
  <c r="E27" i="60"/>
  <c r="E27" i="61" s="1"/>
  <c r="D3" i="60"/>
  <c r="D3" i="62" s="1"/>
  <c r="D4" i="60"/>
  <c r="D4" i="62" s="1"/>
  <c r="D5" i="60"/>
  <c r="D5" i="61" s="1"/>
  <c r="D6" i="60"/>
  <c r="D6" i="62" s="1"/>
  <c r="D7" i="60"/>
  <c r="D7" i="61" s="1"/>
  <c r="D8" i="60"/>
  <c r="D8" i="62" s="1"/>
  <c r="D9" i="60"/>
  <c r="D9" i="62" s="1"/>
  <c r="D10" i="60"/>
  <c r="D10" i="61" s="1"/>
  <c r="D11" i="60"/>
  <c r="D11" i="62" s="1"/>
  <c r="D12" i="60"/>
  <c r="D12" i="62" s="1"/>
  <c r="D13" i="60"/>
  <c r="D13" i="61" s="1"/>
  <c r="D14" i="60"/>
  <c r="D14" i="62" s="1"/>
  <c r="D15" i="60"/>
  <c r="D15" i="61" s="1"/>
  <c r="D16" i="60"/>
  <c r="D16" i="62" s="1"/>
  <c r="D17" i="60"/>
  <c r="D17" i="62" s="1"/>
  <c r="D18" i="60"/>
  <c r="D18" i="61" s="1"/>
  <c r="D19" i="60"/>
  <c r="D19" i="62" s="1"/>
  <c r="D20" i="60"/>
  <c r="D20" i="62" s="1"/>
  <c r="D21" i="60"/>
  <c r="D21" i="61" s="1"/>
  <c r="D22" i="60"/>
  <c r="D22" i="62" s="1"/>
  <c r="D23" i="60"/>
  <c r="D23" i="61" s="1"/>
  <c r="D24" i="60"/>
  <c r="D24" i="62" s="1"/>
  <c r="D25" i="60"/>
  <c r="D25" i="62" s="1"/>
  <c r="D26" i="60"/>
  <c r="D26" i="61" s="1"/>
  <c r="D27" i="60"/>
  <c r="D27" i="62" s="1"/>
  <c r="C3" i="60"/>
  <c r="C3" i="61" s="1"/>
  <c r="C4" i="60"/>
  <c r="C4" i="61" s="1"/>
  <c r="C5" i="60"/>
  <c r="C5" i="62" s="1"/>
  <c r="C6" i="60"/>
  <c r="C6" i="61" s="1"/>
  <c r="C7" i="60"/>
  <c r="C7" i="61" s="1"/>
  <c r="C8" i="60"/>
  <c r="C8" i="62" s="1"/>
  <c r="C9" i="60"/>
  <c r="C9" i="61" s="1"/>
  <c r="C10" i="60"/>
  <c r="C10" i="61" s="1"/>
  <c r="C11" i="60"/>
  <c r="C11" i="62" s="1"/>
  <c r="C12" i="60"/>
  <c r="C12" i="61" s="1"/>
  <c r="C13" i="60"/>
  <c r="C13" i="62" s="1"/>
  <c r="C14" i="60"/>
  <c r="C14" i="61" s="1"/>
  <c r="C15" i="60"/>
  <c r="C15" i="61" s="1"/>
  <c r="C16" i="60"/>
  <c r="C16" i="62" s="1"/>
  <c r="C17" i="60"/>
  <c r="C17" i="61" s="1"/>
  <c r="C18" i="60"/>
  <c r="C18" i="61" s="1"/>
  <c r="C19" i="60"/>
  <c r="C19" i="62" s="1"/>
  <c r="C20" i="60"/>
  <c r="C20" i="61" s="1"/>
  <c r="C21" i="60"/>
  <c r="C21" i="62" s="1"/>
  <c r="C22" i="60"/>
  <c r="C22" i="62" s="1"/>
  <c r="C23" i="60"/>
  <c r="C23" i="61" s="1"/>
  <c r="C24" i="60"/>
  <c r="C24" i="62" s="1"/>
  <c r="C25" i="60"/>
  <c r="C25" i="61" s="1"/>
  <c r="C26" i="60"/>
  <c r="C26" i="61" s="1"/>
  <c r="C27" i="60"/>
  <c r="C27" i="62" s="1"/>
  <c r="B3" i="60"/>
  <c r="B3" i="61" s="1"/>
  <c r="B4" i="60"/>
  <c r="B4" i="61" s="1"/>
  <c r="B5" i="60"/>
  <c r="B5" i="62" s="1"/>
  <c r="B6" i="60"/>
  <c r="B6" i="62" s="1"/>
  <c r="B7" i="60"/>
  <c r="B7" i="62" s="1"/>
  <c r="B8" i="60"/>
  <c r="B8" i="62" s="1"/>
  <c r="B9" i="60"/>
  <c r="B9" i="61" s="1"/>
  <c r="B10" i="60"/>
  <c r="B10" i="62" s="1"/>
  <c r="B11" i="60"/>
  <c r="B11" i="61" s="1"/>
  <c r="B12" i="60"/>
  <c r="B12" i="61" s="1"/>
  <c r="B13" i="60"/>
  <c r="B13" i="62" s="1"/>
  <c r="B14" i="60"/>
  <c r="B14" i="62" s="1"/>
  <c r="B15" i="60"/>
  <c r="B15" i="62" s="1"/>
  <c r="B16" i="60"/>
  <c r="B16" i="62" s="1"/>
  <c r="B17" i="60"/>
  <c r="B17" i="61" s="1"/>
  <c r="B18" i="60"/>
  <c r="B18" i="62" s="1"/>
  <c r="B19" i="60"/>
  <c r="B19" i="62" s="1"/>
  <c r="B20" i="60"/>
  <c r="B20" i="61" s="1"/>
  <c r="B21" i="60"/>
  <c r="B21" i="62" s="1"/>
  <c r="B22" i="60"/>
  <c r="B22" i="62" s="1"/>
  <c r="B23" i="60"/>
  <c r="B23" i="62" s="1"/>
  <c r="B24" i="60"/>
  <c r="B24" i="62" s="1"/>
  <c r="B25" i="60"/>
  <c r="B25" i="61" s="1"/>
  <c r="B26" i="60"/>
  <c r="B26" i="62" s="1"/>
  <c r="B27" i="60"/>
  <c r="B27" i="62" s="1"/>
  <c r="Q27" i="59"/>
  <c r="P27" i="59"/>
  <c r="O27" i="59"/>
  <c r="N27" i="59"/>
  <c r="M27" i="59"/>
  <c r="L27" i="59"/>
  <c r="K27" i="59"/>
  <c r="J27" i="59"/>
  <c r="I27" i="59"/>
  <c r="G27" i="59"/>
  <c r="F27" i="59"/>
  <c r="E27" i="59"/>
  <c r="D27" i="59"/>
  <c r="C27" i="59"/>
  <c r="B27" i="59"/>
  <c r="Q26" i="59"/>
  <c r="P26" i="59"/>
  <c r="O26" i="59"/>
  <c r="N26" i="59"/>
  <c r="M26" i="59"/>
  <c r="L26" i="59"/>
  <c r="K26" i="59"/>
  <c r="J26" i="59"/>
  <c r="I26" i="59"/>
  <c r="G26" i="59"/>
  <c r="F26" i="59"/>
  <c r="E26" i="59"/>
  <c r="D26" i="59"/>
  <c r="C26" i="59"/>
  <c r="B26" i="59"/>
  <c r="Q25" i="59"/>
  <c r="P25" i="59"/>
  <c r="O25" i="59"/>
  <c r="N25" i="59"/>
  <c r="M25" i="59"/>
  <c r="L25" i="59"/>
  <c r="K25" i="59"/>
  <c r="J25" i="59"/>
  <c r="I25" i="59"/>
  <c r="G25" i="59"/>
  <c r="F25" i="59"/>
  <c r="E25" i="59"/>
  <c r="D25" i="59"/>
  <c r="C25" i="59"/>
  <c r="B25" i="59"/>
  <c r="Q24" i="59"/>
  <c r="P24" i="59"/>
  <c r="O24" i="59"/>
  <c r="N24" i="59"/>
  <c r="M24" i="59"/>
  <c r="L24" i="59"/>
  <c r="K24" i="59"/>
  <c r="J24" i="59"/>
  <c r="I24" i="59"/>
  <c r="G24" i="59"/>
  <c r="F24" i="59"/>
  <c r="E24" i="59"/>
  <c r="D24" i="59"/>
  <c r="C24" i="59"/>
  <c r="B24" i="59"/>
  <c r="Q23" i="59"/>
  <c r="P23" i="59"/>
  <c r="O23" i="59"/>
  <c r="N23" i="59"/>
  <c r="M23" i="59"/>
  <c r="L23" i="59"/>
  <c r="K23" i="59"/>
  <c r="J23" i="59"/>
  <c r="I23" i="59"/>
  <c r="G23" i="59"/>
  <c r="F23" i="59"/>
  <c r="E23" i="59"/>
  <c r="D23" i="59"/>
  <c r="C23" i="59"/>
  <c r="B23" i="59"/>
  <c r="Q22" i="59"/>
  <c r="P22" i="59"/>
  <c r="O22" i="59"/>
  <c r="N22" i="59"/>
  <c r="M22" i="59"/>
  <c r="L22" i="59"/>
  <c r="K22" i="59"/>
  <c r="J22" i="59"/>
  <c r="I22" i="59"/>
  <c r="G22" i="59"/>
  <c r="F22" i="59"/>
  <c r="E22" i="59"/>
  <c r="D22" i="59"/>
  <c r="C22" i="59"/>
  <c r="B22" i="59"/>
  <c r="Q21" i="59"/>
  <c r="P21" i="59"/>
  <c r="O21" i="59"/>
  <c r="N21" i="59"/>
  <c r="M21" i="59"/>
  <c r="L21" i="59"/>
  <c r="K21" i="59"/>
  <c r="J21" i="59"/>
  <c r="I21" i="59"/>
  <c r="G21" i="59"/>
  <c r="F21" i="59"/>
  <c r="E21" i="59"/>
  <c r="D21" i="59"/>
  <c r="C21" i="59"/>
  <c r="B21" i="59"/>
  <c r="Q20" i="59"/>
  <c r="P20" i="59"/>
  <c r="O20" i="59"/>
  <c r="N20" i="59"/>
  <c r="M20" i="59"/>
  <c r="L20" i="59"/>
  <c r="K20" i="59"/>
  <c r="J20" i="59"/>
  <c r="I20" i="59"/>
  <c r="G20" i="59"/>
  <c r="F20" i="59"/>
  <c r="E20" i="59"/>
  <c r="D20" i="59"/>
  <c r="C20" i="59"/>
  <c r="B20" i="59"/>
  <c r="Q19" i="59"/>
  <c r="P19" i="59"/>
  <c r="O19" i="59"/>
  <c r="N19" i="59"/>
  <c r="M19" i="59"/>
  <c r="L19" i="59"/>
  <c r="K19" i="59"/>
  <c r="J19" i="59"/>
  <c r="I19" i="59"/>
  <c r="G19" i="59"/>
  <c r="F19" i="59"/>
  <c r="E19" i="59"/>
  <c r="D19" i="59"/>
  <c r="C19" i="59"/>
  <c r="B19" i="59"/>
  <c r="Q18" i="59"/>
  <c r="P18" i="59"/>
  <c r="O18" i="59"/>
  <c r="N18" i="59"/>
  <c r="M18" i="59"/>
  <c r="L18" i="59"/>
  <c r="K18" i="59"/>
  <c r="J18" i="59"/>
  <c r="I18" i="59"/>
  <c r="G18" i="59"/>
  <c r="F18" i="59"/>
  <c r="E18" i="59"/>
  <c r="D18" i="59"/>
  <c r="C18" i="59"/>
  <c r="B18" i="59"/>
  <c r="Q17" i="59"/>
  <c r="P17" i="59"/>
  <c r="O17" i="59"/>
  <c r="N17" i="59"/>
  <c r="M17" i="59"/>
  <c r="L17" i="59"/>
  <c r="K17" i="59"/>
  <c r="J17" i="59"/>
  <c r="I17" i="59"/>
  <c r="G17" i="59"/>
  <c r="F17" i="59"/>
  <c r="E17" i="59"/>
  <c r="D17" i="59"/>
  <c r="C17" i="59"/>
  <c r="B17" i="59"/>
  <c r="Q16" i="59"/>
  <c r="P16" i="59"/>
  <c r="O16" i="59"/>
  <c r="N16" i="59"/>
  <c r="M16" i="59"/>
  <c r="L16" i="59"/>
  <c r="K16" i="59"/>
  <c r="J16" i="59"/>
  <c r="I16" i="59"/>
  <c r="G16" i="59"/>
  <c r="F16" i="59"/>
  <c r="E16" i="59"/>
  <c r="D16" i="59"/>
  <c r="C16" i="59"/>
  <c r="B16" i="59"/>
  <c r="Q15" i="59"/>
  <c r="P15" i="59"/>
  <c r="O15" i="59"/>
  <c r="N15" i="59"/>
  <c r="M15" i="59"/>
  <c r="L15" i="59"/>
  <c r="K15" i="59"/>
  <c r="J15" i="59"/>
  <c r="I15" i="59"/>
  <c r="G15" i="59"/>
  <c r="F15" i="59"/>
  <c r="E15" i="59"/>
  <c r="D15" i="59"/>
  <c r="C15" i="59"/>
  <c r="B15" i="59"/>
  <c r="Q14" i="59"/>
  <c r="P14" i="59"/>
  <c r="O14" i="59"/>
  <c r="N14" i="59"/>
  <c r="M14" i="59"/>
  <c r="L14" i="59"/>
  <c r="K14" i="59"/>
  <c r="J14" i="59"/>
  <c r="I14" i="59"/>
  <c r="G14" i="59"/>
  <c r="F14" i="59"/>
  <c r="E14" i="59"/>
  <c r="D14" i="59"/>
  <c r="C14" i="59"/>
  <c r="B14" i="59"/>
  <c r="Q13" i="59"/>
  <c r="P13" i="59"/>
  <c r="O13" i="59"/>
  <c r="N13" i="59"/>
  <c r="M13" i="59"/>
  <c r="L13" i="59"/>
  <c r="K13" i="59"/>
  <c r="J13" i="59"/>
  <c r="I13" i="59"/>
  <c r="G13" i="59"/>
  <c r="F13" i="59"/>
  <c r="E13" i="59"/>
  <c r="D13" i="59"/>
  <c r="C13" i="59"/>
  <c r="B13" i="59"/>
  <c r="Q12" i="59"/>
  <c r="P12" i="59"/>
  <c r="O12" i="59"/>
  <c r="N12" i="59"/>
  <c r="M12" i="59"/>
  <c r="L12" i="59"/>
  <c r="K12" i="59"/>
  <c r="J12" i="59"/>
  <c r="I12" i="59"/>
  <c r="G12" i="59"/>
  <c r="F12" i="59"/>
  <c r="E12" i="59"/>
  <c r="D12" i="59"/>
  <c r="C12" i="59"/>
  <c r="B12" i="59"/>
  <c r="Q11" i="59"/>
  <c r="P11" i="59"/>
  <c r="O11" i="59"/>
  <c r="N11" i="59"/>
  <c r="M11" i="59"/>
  <c r="L11" i="59"/>
  <c r="K11" i="59"/>
  <c r="J11" i="59"/>
  <c r="I11" i="59"/>
  <c r="G11" i="59"/>
  <c r="F11" i="59"/>
  <c r="E11" i="59"/>
  <c r="D11" i="59"/>
  <c r="C11" i="59"/>
  <c r="B11" i="59"/>
  <c r="Q10" i="59"/>
  <c r="P10" i="59"/>
  <c r="O10" i="59"/>
  <c r="N10" i="59"/>
  <c r="M10" i="59"/>
  <c r="L10" i="59"/>
  <c r="K10" i="59"/>
  <c r="J10" i="59"/>
  <c r="I10" i="59"/>
  <c r="G10" i="59"/>
  <c r="F10" i="59"/>
  <c r="E10" i="59"/>
  <c r="D10" i="59"/>
  <c r="C10" i="59"/>
  <c r="B10" i="59"/>
  <c r="Q9" i="59"/>
  <c r="P9" i="59"/>
  <c r="O9" i="59"/>
  <c r="N9" i="59"/>
  <c r="M9" i="59"/>
  <c r="L9" i="59"/>
  <c r="K9" i="59"/>
  <c r="J9" i="59"/>
  <c r="I9" i="59"/>
  <c r="G9" i="59"/>
  <c r="F9" i="59"/>
  <c r="E9" i="59"/>
  <c r="D9" i="59"/>
  <c r="C9" i="59"/>
  <c r="B9" i="59"/>
  <c r="Q8" i="59"/>
  <c r="P8" i="59"/>
  <c r="O8" i="59"/>
  <c r="N8" i="59"/>
  <c r="M8" i="59"/>
  <c r="L8" i="59"/>
  <c r="K8" i="59"/>
  <c r="J8" i="59"/>
  <c r="I8" i="59"/>
  <c r="G8" i="59"/>
  <c r="F8" i="59"/>
  <c r="E8" i="59"/>
  <c r="D8" i="59"/>
  <c r="C8" i="59"/>
  <c r="B8" i="59"/>
  <c r="Q7" i="59"/>
  <c r="P7" i="59"/>
  <c r="O7" i="59"/>
  <c r="N7" i="59"/>
  <c r="M7" i="59"/>
  <c r="L7" i="59"/>
  <c r="K7" i="59"/>
  <c r="J7" i="59"/>
  <c r="I7" i="59"/>
  <c r="G7" i="59"/>
  <c r="F7" i="59"/>
  <c r="E7" i="59"/>
  <c r="D7" i="59"/>
  <c r="C7" i="59"/>
  <c r="B7" i="59"/>
  <c r="Q6" i="59"/>
  <c r="P6" i="59"/>
  <c r="O6" i="59"/>
  <c r="N6" i="59"/>
  <c r="M6" i="59"/>
  <c r="L6" i="59"/>
  <c r="K6" i="59"/>
  <c r="J6" i="59"/>
  <c r="I6" i="59"/>
  <c r="G6" i="59"/>
  <c r="F6" i="59"/>
  <c r="E6" i="59"/>
  <c r="D6" i="59"/>
  <c r="C6" i="59"/>
  <c r="B6" i="59"/>
  <c r="Q5" i="59"/>
  <c r="P5" i="59"/>
  <c r="O5" i="59"/>
  <c r="N5" i="59"/>
  <c r="M5" i="59"/>
  <c r="L5" i="59"/>
  <c r="K5" i="59"/>
  <c r="J5" i="59"/>
  <c r="I5" i="59"/>
  <c r="G5" i="59"/>
  <c r="F5" i="59"/>
  <c r="E5" i="59"/>
  <c r="D5" i="59"/>
  <c r="C5" i="59"/>
  <c r="B5" i="59"/>
  <c r="Q4" i="59"/>
  <c r="P4" i="59"/>
  <c r="O4" i="59"/>
  <c r="N4" i="59"/>
  <c r="M4" i="59"/>
  <c r="L4" i="59"/>
  <c r="K4" i="59"/>
  <c r="J4" i="59"/>
  <c r="I4" i="59"/>
  <c r="G4" i="59"/>
  <c r="F4" i="59"/>
  <c r="E4" i="59"/>
  <c r="D4" i="59"/>
  <c r="C4" i="59"/>
  <c r="B4" i="59"/>
  <c r="Q3" i="59"/>
  <c r="P3" i="59"/>
  <c r="O3" i="59"/>
  <c r="N3" i="59"/>
  <c r="M3" i="59"/>
  <c r="L3" i="59"/>
  <c r="K3" i="59"/>
  <c r="J3" i="59"/>
  <c r="I3" i="59"/>
  <c r="G3" i="59"/>
  <c r="F3" i="59"/>
  <c r="E3" i="59"/>
  <c r="D3" i="59"/>
  <c r="C3" i="59"/>
  <c r="B3" i="59"/>
  <c r="C28" i="57"/>
  <c r="C28" i="59" s="1"/>
  <c r="D28" i="57"/>
  <c r="D28" i="58" s="1"/>
  <c r="E28" i="57"/>
  <c r="E28" i="58" s="1"/>
  <c r="F28" i="57"/>
  <c r="F28" i="59" s="1"/>
  <c r="G28" i="57"/>
  <c r="G28" i="58" s="1"/>
  <c r="I28" i="57"/>
  <c r="I28" i="58" s="1"/>
  <c r="J28" i="57"/>
  <c r="J28" i="58" s="1"/>
  <c r="K28" i="57"/>
  <c r="K28" i="59" s="1"/>
  <c r="L28" i="57"/>
  <c r="L28" i="59" s="1"/>
  <c r="M28" i="57"/>
  <c r="M28" i="58" s="1"/>
  <c r="N28" i="57"/>
  <c r="N28" i="58" s="1"/>
  <c r="O28" i="57"/>
  <c r="O28" i="59" s="1"/>
  <c r="P28" i="57"/>
  <c r="P28" i="59" s="1"/>
  <c r="Q28" i="57"/>
  <c r="Q28" i="58" s="1"/>
  <c r="B4" i="58"/>
  <c r="C4" i="58"/>
  <c r="D4" i="58"/>
  <c r="E4" i="58"/>
  <c r="F4" i="58"/>
  <c r="G4" i="58"/>
  <c r="I4" i="58"/>
  <c r="J4" i="58"/>
  <c r="K4" i="58"/>
  <c r="L4" i="58"/>
  <c r="M4" i="58"/>
  <c r="N4" i="58"/>
  <c r="O4" i="58"/>
  <c r="P4" i="58"/>
  <c r="Q4" i="58"/>
  <c r="B5" i="58"/>
  <c r="C5" i="58"/>
  <c r="D5" i="58"/>
  <c r="E5" i="58"/>
  <c r="F5" i="58"/>
  <c r="G5" i="58"/>
  <c r="I5" i="58"/>
  <c r="J5" i="58"/>
  <c r="K5" i="58"/>
  <c r="L5" i="58"/>
  <c r="M5" i="58"/>
  <c r="N5" i="58"/>
  <c r="O5" i="58"/>
  <c r="P5" i="58"/>
  <c r="Q5" i="58"/>
  <c r="B6" i="58"/>
  <c r="C6" i="58"/>
  <c r="D6" i="58"/>
  <c r="E6" i="58"/>
  <c r="F6" i="58"/>
  <c r="G6" i="58"/>
  <c r="I6" i="58"/>
  <c r="J6" i="58"/>
  <c r="K6" i="58"/>
  <c r="L6" i="58"/>
  <c r="M6" i="58"/>
  <c r="N6" i="58"/>
  <c r="O6" i="58"/>
  <c r="P6" i="58"/>
  <c r="Q6" i="58"/>
  <c r="B7" i="58"/>
  <c r="C7" i="58"/>
  <c r="D7" i="58"/>
  <c r="E7" i="58"/>
  <c r="F7" i="58"/>
  <c r="G7" i="58"/>
  <c r="I7" i="58"/>
  <c r="J7" i="58"/>
  <c r="K7" i="58"/>
  <c r="L7" i="58"/>
  <c r="M7" i="58"/>
  <c r="N7" i="58"/>
  <c r="O7" i="58"/>
  <c r="P7" i="58"/>
  <c r="Q7" i="58"/>
  <c r="B8" i="58"/>
  <c r="C8" i="58"/>
  <c r="D8" i="58"/>
  <c r="E8" i="58"/>
  <c r="F8" i="58"/>
  <c r="G8" i="58"/>
  <c r="I8" i="58"/>
  <c r="J8" i="58"/>
  <c r="K8" i="58"/>
  <c r="L8" i="58"/>
  <c r="M8" i="58"/>
  <c r="N8" i="58"/>
  <c r="O8" i="58"/>
  <c r="P8" i="58"/>
  <c r="Q8" i="58"/>
  <c r="B9" i="58"/>
  <c r="C9" i="58"/>
  <c r="D9" i="58"/>
  <c r="E9" i="58"/>
  <c r="F9" i="58"/>
  <c r="G9" i="58"/>
  <c r="I9" i="58"/>
  <c r="J9" i="58"/>
  <c r="K9" i="58"/>
  <c r="L9" i="58"/>
  <c r="M9" i="58"/>
  <c r="N9" i="58"/>
  <c r="O9" i="58"/>
  <c r="P9" i="58"/>
  <c r="Q9" i="58"/>
  <c r="B10" i="58"/>
  <c r="C10" i="58"/>
  <c r="D10" i="58"/>
  <c r="E10" i="58"/>
  <c r="F10" i="58"/>
  <c r="G10" i="58"/>
  <c r="I10" i="58"/>
  <c r="J10" i="58"/>
  <c r="K10" i="58"/>
  <c r="L10" i="58"/>
  <c r="M10" i="58"/>
  <c r="N10" i="58"/>
  <c r="O10" i="58"/>
  <c r="P10" i="58"/>
  <c r="Q10" i="58"/>
  <c r="B11" i="58"/>
  <c r="C11" i="58"/>
  <c r="D11" i="58"/>
  <c r="E11" i="58"/>
  <c r="F11" i="58"/>
  <c r="G11" i="58"/>
  <c r="I11" i="58"/>
  <c r="J11" i="58"/>
  <c r="K11" i="58"/>
  <c r="L11" i="58"/>
  <c r="M11" i="58"/>
  <c r="N11" i="58"/>
  <c r="O11" i="58"/>
  <c r="P11" i="58"/>
  <c r="Q11" i="58"/>
  <c r="B12" i="58"/>
  <c r="C12" i="58"/>
  <c r="D12" i="58"/>
  <c r="E12" i="58"/>
  <c r="F12" i="58"/>
  <c r="G12" i="58"/>
  <c r="I12" i="58"/>
  <c r="J12" i="58"/>
  <c r="K12" i="58"/>
  <c r="L12" i="58"/>
  <c r="M12" i="58"/>
  <c r="N12" i="58"/>
  <c r="O12" i="58"/>
  <c r="P12" i="58"/>
  <c r="Q12" i="58"/>
  <c r="B13" i="58"/>
  <c r="C13" i="58"/>
  <c r="D13" i="58"/>
  <c r="E13" i="58"/>
  <c r="F13" i="58"/>
  <c r="G13" i="58"/>
  <c r="I13" i="58"/>
  <c r="J13" i="58"/>
  <c r="K13" i="58"/>
  <c r="L13" i="58"/>
  <c r="M13" i="58"/>
  <c r="N13" i="58"/>
  <c r="O13" i="58"/>
  <c r="P13" i="58"/>
  <c r="Q13" i="58"/>
  <c r="B14" i="58"/>
  <c r="C14" i="58"/>
  <c r="D14" i="58"/>
  <c r="E14" i="58"/>
  <c r="F14" i="58"/>
  <c r="G14" i="58"/>
  <c r="I14" i="58"/>
  <c r="J14" i="58"/>
  <c r="K14" i="58"/>
  <c r="L14" i="58"/>
  <c r="M14" i="58"/>
  <c r="N14" i="58"/>
  <c r="O14" i="58"/>
  <c r="P14" i="58"/>
  <c r="Q14" i="58"/>
  <c r="B15" i="58"/>
  <c r="C15" i="58"/>
  <c r="D15" i="58"/>
  <c r="E15" i="58"/>
  <c r="F15" i="58"/>
  <c r="G15" i="58"/>
  <c r="I15" i="58"/>
  <c r="J15" i="58"/>
  <c r="K15" i="58"/>
  <c r="L15" i="58"/>
  <c r="M15" i="58"/>
  <c r="N15" i="58"/>
  <c r="O15" i="58"/>
  <c r="P15" i="58"/>
  <c r="Q15" i="58"/>
  <c r="B16" i="58"/>
  <c r="C16" i="58"/>
  <c r="D16" i="58"/>
  <c r="E16" i="58"/>
  <c r="F16" i="58"/>
  <c r="G16" i="58"/>
  <c r="I16" i="58"/>
  <c r="J16" i="58"/>
  <c r="K16" i="58"/>
  <c r="L16" i="58"/>
  <c r="M16" i="58"/>
  <c r="N16" i="58"/>
  <c r="O16" i="58"/>
  <c r="P16" i="58"/>
  <c r="Q16" i="58"/>
  <c r="B17" i="58"/>
  <c r="C17" i="58"/>
  <c r="D17" i="58"/>
  <c r="E17" i="58"/>
  <c r="F17" i="58"/>
  <c r="G17" i="58"/>
  <c r="I17" i="58"/>
  <c r="J17" i="58"/>
  <c r="K17" i="58"/>
  <c r="L17" i="58"/>
  <c r="M17" i="58"/>
  <c r="N17" i="58"/>
  <c r="O17" i="58"/>
  <c r="P17" i="58"/>
  <c r="Q17" i="58"/>
  <c r="B18" i="58"/>
  <c r="C18" i="58"/>
  <c r="D18" i="58"/>
  <c r="E18" i="58"/>
  <c r="F18" i="58"/>
  <c r="G18" i="58"/>
  <c r="I18" i="58"/>
  <c r="J18" i="58"/>
  <c r="K18" i="58"/>
  <c r="L18" i="58"/>
  <c r="M18" i="58"/>
  <c r="N18" i="58"/>
  <c r="O18" i="58"/>
  <c r="P18" i="58"/>
  <c r="Q18" i="58"/>
  <c r="B19" i="58"/>
  <c r="C19" i="58"/>
  <c r="D19" i="58"/>
  <c r="E19" i="58"/>
  <c r="F19" i="58"/>
  <c r="G19" i="58"/>
  <c r="I19" i="58"/>
  <c r="J19" i="58"/>
  <c r="K19" i="58"/>
  <c r="L19" i="58"/>
  <c r="M19" i="58"/>
  <c r="N19" i="58"/>
  <c r="O19" i="58"/>
  <c r="P19" i="58"/>
  <c r="Q19" i="58"/>
  <c r="B20" i="58"/>
  <c r="C20" i="58"/>
  <c r="D20" i="58"/>
  <c r="E20" i="58"/>
  <c r="F20" i="58"/>
  <c r="G20" i="58"/>
  <c r="I20" i="58"/>
  <c r="J20" i="58"/>
  <c r="K20" i="58"/>
  <c r="L20" i="58"/>
  <c r="M20" i="58"/>
  <c r="N20" i="58"/>
  <c r="O20" i="58"/>
  <c r="P20" i="58"/>
  <c r="Q20" i="58"/>
  <c r="B21" i="58"/>
  <c r="C21" i="58"/>
  <c r="D21" i="58"/>
  <c r="E21" i="58"/>
  <c r="F21" i="58"/>
  <c r="G21" i="58"/>
  <c r="I21" i="58"/>
  <c r="J21" i="58"/>
  <c r="K21" i="58"/>
  <c r="L21" i="58"/>
  <c r="M21" i="58"/>
  <c r="N21" i="58"/>
  <c r="O21" i="58"/>
  <c r="P21" i="58"/>
  <c r="Q21" i="58"/>
  <c r="B22" i="58"/>
  <c r="C22" i="58"/>
  <c r="D22" i="58"/>
  <c r="E22" i="58"/>
  <c r="F22" i="58"/>
  <c r="G22" i="58"/>
  <c r="I22" i="58"/>
  <c r="J22" i="58"/>
  <c r="K22" i="58"/>
  <c r="L22" i="58"/>
  <c r="M22" i="58"/>
  <c r="N22" i="58"/>
  <c r="O22" i="58"/>
  <c r="P22" i="58"/>
  <c r="Q22" i="58"/>
  <c r="B23" i="58"/>
  <c r="C23" i="58"/>
  <c r="D23" i="58"/>
  <c r="E23" i="58"/>
  <c r="F23" i="58"/>
  <c r="G23" i="58"/>
  <c r="I23" i="58"/>
  <c r="J23" i="58"/>
  <c r="K23" i="58"/>
  <c r="L23" i="58"/>
  <c r="M23" i="58"/>
  <c r="N23" i="58"/>
  <c r="O23" i="58"/>
  <c r="P23" i="58"/>
  <c r="Q23" i="58"/>
  <c r="B24" i="58"/>
  <c r="C24" i="58"/>
  <c r="D24" i="58"/>
  <c r="E24" i="58"/>
  <c r="F24" i="58"/>
  <c r="G24" i="58"/>
  <c r="I24" i="58"/>
  <c r="J24" i="58"/>
  <c r="K24" i="58"/>
  <c r="L24" i="58"/>
  <c r="M24" i="58"/>
  <c r="N24" i="58"/>
  <c r="O24" i="58"/>
  <c r="P24" i="58"/>
  <c r="Q24" i="58"/>
  <c r="B25" i="58"/>
  <c r="C25" i="58"/>
  <c r="D25" i="58"/>
  <c r="E25" i="58"/>
  <c r="F25" i="58"/>
  <c r="G25" i="58"/>
  <c r="I25" i="58"/>
  <c r="J25" i="58"/>
  <c r="K25" i="58"/>
  <c r="L25" i="58"/>
  <c r="M25" i="58"/>
  <c r="N25" i="58"/>
  <c r="O25" i="58"/>
  <c r="P25" i="58"/>
  <c r="Q25" i="58"/>
  <c r="B26" i="58"/>
  <c r="C26" i="58"/>
  <c r="D26" i="58"/>
  <c r="E26" i="58"/>
  <c r="F26" i="58"/>
  <c r="G26" i="58"/>
  <c r="I26" i="58"/>
  <c r="J26" i="58"/>
  <c r="K26" i="58"/>
  <c r="L26" i="58"/>
  <c r="M26" i="58"/>
  <c r="N26" i="58"/>
  <c r="O26" i="58"/>
  <c r="P26" i="58"/>
  <c r="Q26" i="58"/>
  <c r="B27" i="58"/>
  <c r="C27" i="58"/>
  <c r="D27" i="58"/>
  <c r="E27" i="58"/>
  <c r="F27" i="58"/>
  <c r="G27" i="58"/>
  <c r="I27" i="58"/>
  <c r="J27" i="58"/>
  <c r="K27" i="58"/>
  <c r="L27" i="58"/>
  <c r="M27" i="58"/>
  <c r="N27" i="58"/>
  <c r="O27" i="58"/>
  <c r="P27" i="58"/>
  <c r="Q27" i="58"/>
  <c r="C3" i="58"/>
  <c r="D3" i="58"/>
  <c r="E3" i="58"/>
  <c r="F3" i="58"/>
  <c r="G3" i="58"/>
  <c r="I3" i="58"/>
  <c r="J3" i="58"/>
  <c r="K3" i="58"/>
  <c r="L3" i="58"/>
  <c r="M3" i="58"/>
  <c r="N3" i="58"/>
  <c r="O3" i="58"/>
  <c r="P3" i="58"/>
  <c r="Q3" i="58"/>
  <c r="B3" i="58"/>
  <c r="F6" i="61" l="1"/>
  <c r="E4" i="62"/>
  <c r="C18" i="62"/>
  <c r="F25" i="61"/>
  <c r="D19" i="61"/>
  <c r="C13" i="61"/>
  <c r="B26" i="61"/>
  <c r="D20" i="61"/>
  <c r="B14" i="61"/>
  <c r="D8" i="61"/>
  <c r="F3" i="62"/>
  <c r="C10" i="62"/>
  <c r="E16" i="62"/>
  <c r="D24" i="61"/>
  <c r="F18" i="61"/>
  <c r="B13" i="61"/>
  <c r="E6" i="61"/>
  <c r="D5" i="62"/>
  <c r="E12" i="62"/>
  <c r="D21" i="62"/>
  <c r="F22" i="61"/>
  <c r="B18" i="61"/>
  <c r="D12" i="61"/>
  <c r="B6" i="61"/>
  <c r="E5" i="62"/>
  <c r="D13" i="62"/>
  <c r="E21" i="62"/>
  <c r="E22" i="61"/>
  <c r="F17" i="61"/>
  <c r="D11" i="61"/>
  <c r="C5" i="61"/>
  <c r="C6" i="62"/>
  <c r="E13" i="62"/>
  <c r="C23" i="62"/>
  <c r="B11" i="62"/>
  <c r="B22" i="61"/>
  <c r="D16" i="61"/>
  <c r="F10" i="61"/>
  <c r="B5" i="61"/>
  <c r="C7" i="62"/>
  <c r="C14" i="62"/>
  <c r="E24" i="62"/>
  <c r="D27" i="61"/>
  <c r="C21" i="61"/>
  <c r="F14" i="61"/>
  <c r="B10" i="61"/>
  <c r="D4" i="61"/>
  <c r="F7" i="62"/>
  <c r="C15" i="62"/>
  <c r="C26" i="62"/>
  <c r="F26" i="61"/>
  <c r="B21" i="61"/>
  <c r="E14" i="61"/>
  <c r="F9" i="61"/>
  <c r="B3" i="62"/>
  <c r="E8" i="62"/>
  <c r="F15" i="62"/>
  <c r="F27" i="61"/>
  <c r="B23" i="61"/>
  <c r="F19" i="61"/>
  <c r="B15" i="61"/>
  <c r="F11" i="61"/>
  <c r="B7" i="61"/>
  <c r="E3" i="62"/>
  <c r="E11" i="62"/>
  <c r="E19" i="62"/>
  <c r="E27" i="62"/>
  <c r="C24" i="61"/>
  <c r="F16" i="62"/>
  <c r="D18" i="62"/>
  <c r="B20" i="62"/>
  <c r="D26" i="62"/>
  <c r="C27" i="61"/>
  <c r="E25" i="61"/>
  <c r="B24" i="61"/>
  <c r="D22" i="61"/>
  <c r="F20" i="61"/>
  <c r="C19" i="61"/>
  <c r="E17" i="61"/>
  <c r="B16" i="61"/>
  <c r="D14" i="61"/>
  <c r="F12" i="61"/>
  <c r="C11" i="61"/>
  <c r="E9" i="61"/>
  <c r="B8" i="61"/>
  <c r="D6" i="61"/>
  <c r="F4" i="61"/>
  <c r="C4" i="62"/>
  <c r="F5" i="62"/>
  <c r="D7" i="62"/>
  <c r="B9" i="62"/>
  <c r="E10" i="62"/>
  <c r="C12" i="62"/>
  <c r="F13" i="62"/>
  <c r="D15" i="62"/>
  <c r="B17" i="62"/>
  <c r="E18" i="62"/>
  <c r="C20" i="62"/>
  <c r="F21" i="62"/>
  <c r="D23" i="62"/>
  <c r="B25" i="62"/>
  <c r="E26" i="62"/>
  <c r="C16" i="61"/>
  <c r="C8" i="61"/>
  <c r="B4" i="62"/>
  <c r="F8" i="62"/>
  <c r="D10" i="62"/>
  <c r="B12" i="62"/>
  <c r="F24" i="62"/>
  <c r="B27" i="61"/>
  <c r="D25" i="61"/>
  <c r="F23" i="61"/>
  <c r="C22" i="61"/>
  <c r="E20" i="61"/>
  <c r="B19" i="61"/>
  <c r="D17" i="61"/>
  <c r="D9" i="61"/>
  <c r="E7" i="62"/>
  <c r="C9" i="62"/>
  <c r="E15" i="62"/>
  <c r="C17" i="62"/>
  <c r="E23" i="62"/>
  <c r="C25" i="62"/>
  <c r="D3" i="61"/>
  <c r="C3" i="62"/>
  <c r="K28" i="58"/>
  <c r="G28" i="59"/>
  <c r="I28" i="59"/>
  <c r="N28" i="59"/>
  <c r="Q28" i="59"/>
  <c r="L28" i="58"/>
  <c r="P28" i="58"/>
  <c r="M28" i="59"/>
  <c r="C28" i="58"/>
  <c r="O28" i="58"/>
  <c r="E28" i="59"/>
  <c r="D28" i="59"/>
  <c r="B28" i="63"/>
  <c r="J28" i="59"/>
  <c r="F28" i="58"/>
  <c r="F28" i="60"/>
  <c r="B28" i="60"/>
  <c r="C28" i="60"/>
  <c r="D28" i="60"/>
  <c r="E28" i="60"/>
  <c r="E28" i="62" l="1"/>
  <c r="E28" i="61"/>
  <c r="D28" i="62"/>
  <c r="D28" i="61"/>
  <c r="C28" i="61"/>
  <c r="C28" i="62"/>
  <c r="B28" i="62"/>
  <c r="B28" i="61"/>
  <c r="F28" i="62"/>
  <c r="F28" i="61"/>
  <c r="B28" i="57"/>
  <c r="B28" i="58" l="1"/>
  <c r="B28" i="59"/>
  <c r="Q28" i="54"/>
  <c r="P28" i="54"/>
  <c r="O28" i="54"/>
  <c r="N28" i="54"/>
  <c r="M28" i="54"/>
  <c r="L28" i="54"/>
  <c r="K28" i="54"/>
  <c r="J28" i="54"/>
  <c r="I28" i="54"/>
  <c r="H28" i="54"/>
  <c r="G28" i="54"/>
  <c r="F28" i="54"/>
  <c r="E28" i="54"/>
  <c r="D28" i="54"/>
  <c r="C28" i="54"/>
  <c r="B28" i="54"/>
  <c r="Q27" i="54"/>
  <c r="P27" i="54"/>
  <c r="O27" i="54"/>
  <c r="N27" i="54"/>
  <c r="M27" i="54"/>
  <c r="L27" i="54"/>
  <c r="K27" i="54"/>
  <c r="J27" i="54"/>
  <c r="I27" i="54"/>
  <c r="H27" i="54"/>
  <c r="G27" i="54"/>
  <c r="F27" i="54"/>
  <c r="E27" i="54"/>
  <c r="D27" i="54"/>
  <c r="C27" i="54"/>
  <c r="B27" i="54"/>
  <c r="Q26" i="54"/>
  <c r="P26" i="54"/>
  <c r="O26" i="54"/>
  <c r="N26" i="54"/>
  <c r="M26" i="54"/>
  <c r="L26" i="54"/>
  <c r="K26" i="54"/>
  <c r="J26" i="54"/>
  <c r="I26" i="54"/>
  <c r="H26" i="54"/>
  <c r="G26" i="54"/>
  <c r="F26" i="54"/>
  <c r="E26" i="54"/>
  <c r="D26" i="54"/>
  <c r="C26" i="54"/>
  <c r="B26" i="54"/>
  <c r="Q25" i="54"/>
  <c r="P25" i="54"/>
  <c r="O25" i="54"/>
  <c r="N25" i="54"/>
  <c r="M25" i="54"/>
  <c r="L25" i="54"/>
  <c r="K25" i="54"/>
  <c r="J25" i="54"/>
  <c r="I25" i="54"/>
  <c r="H25" i="54"/>
  <c r="G25" i="54"/>
  <c r="F25" i="54"/>
  <c r="E25" i="54"/>
  <c r="D25" i="54"/>
  <c r="C25" i="54"/>
  <c r="B25" i="54"/>
  <c r="Q24" i="54"/>
  <c r="P24" i="54"/>
  <c r="O24" i="54"/>
  <c r="N24" i="54"/>
  <c r="M24" i="54"/>
  <c r="L24" i="54"/>
  <c r="K24" i="54"/>
  <c r="J24" i="54"/>
  <c r="I24" i="54"/>
  <c r="H24" i="54"/>
  <c r="G24" i="54"/>
  <c r="F24" i="54"/>
  <c r="E24" i="54"/>
  <c r="D24" i="54"/>
  <c r="C24" i="54"/>
  <c r="B24" i="54"/>
  <c r="Q23" i="54"/>
  <c r="P23" i="54"/>
  <c r="O23" i="54"/>
  <c r="N23" i="54"/>
  <c r="M23" i="54"/>
  <c r="L23" i="54"/>
  <c r="K23" i="54"/>
  <c r="J23" i="54"/>
  <c r="I23" i="54"/>
  <c r="H23" i="54"/>
  <c r="G23" i="54"/>
  <c r="F23" i="54"/>
  <c r="E23" i="54"/>
  <c r="D23" i="54"/>
  <c r="C23" i="54"/>
  <c r="B23" i="54"/>
  <c r="Q22" i="54"/>
  <c r="P22" i="54"/>
  <c r="O22" i="54"/>
  <c r="N22" i="54"/>
  <c r="M22" i="54"/>
  <c r="L22" i="54"/>
  <c r="K22" i="54"/>
  <c r="J22" i="54"/>
  <c r="I22" i="54"/>
  <c r="H22" i="54"/>
  <c r="G22" i="54"/>
  <c r="F22" i="54"/>
  <c r="E22" i="54"/>
  <c r="D22" i="54"/>
  <c r="C22" i="54"/>
  <c r="B22" i="54"/>
  <c r="Q21" i="54"/>
  <c r="P21" i="54"/>
  <c r="O21" i="54"/>
  <c r="N21" i="54"/>
  <c r="M21" i="54"/>
  <c r="L21" i="54"/>
  <c r="K21" i="54"/>
  <c r="J21" i="54"/>
  <c r="I21" i="54"/>
  <c r="H21" i="54"/>
  <c r="G21" i="54"/>
  <c r="F21" i="54"/>
  <c r="E21" i="54"/>
  <c r="D21" i="54"/>
  <c r="C21" i="54"/>
  <c r="B21" i="54"/>
  <c r="Q20" i="54"/>
  <c r="P20" i="54"/>
  <c r="O20" i="54"/>
  <c r="N20" i="54"/>
  <c r="M20" i="54"/>
  <c r="L20" i="54"/>
  <c r="K20" i="54"/>
  <c r="J20" i="54"/>
  <c r="I20" i="54"/>
  <c r="H20" i="54"/>
  <c r="G20" i="54"/>
  <c r="F20" i="54"/>
  <c r="E20" i="54"/>
  <c r="D20" i="54"/>
  <c r="C20" i="54"/>
  <c r="B20" i="54"/>
  <c r="Q19" i="54"/>
  <c r="P19" i="54"/>
  <c r="O19" i="54"/>
  <c r="N19" i="54"/>
  <c r="M19" i="54"/>
  <c r="L19" i="54"/>
  <c r="K19" i="54"/>
  <c r="J19" i="54"/>
  <c r="I19" i="54"/>
  <c r="H19" i="54"/>
  <c r="G19" i="54"/>
  <c r="F19" i="54"/>
  <c r="E19" i="54"/>
  <c r="D19" i="54"/>
  <c r="C19" i="54"/>
  <c r="B19" i="54"/>
  <c r="Q18" i="54"/>
  <c r="P18" i="54"/>
  <c r="O18" i="54"/>
  <c r="N18" i="54"/>
  <c r="M18" i="54"/>
  <c r="L18" i="54"/>
  <c r="K18" i="54"/>
  <c r="J18" i="54"/>
  <c r="I18" i="54"/>
  <c r="H18" i="54"/>
  <c r="G18" i="54"/>
  <c r="F18" i="54"/>
  <c r="E18" i="54"/>
  <c r="D18" i="54"/>
  <c r="C18" i="54"/>
  <c r="B18" i="54"/>
  <c r="Q17" i="54"/>
  <c r="P17" i="54"/>
  <c r="O17" i="54"/>
  <c r="N17" i="54"/>
  <c r="M17" i="54"/>
  <c r="L17" i="54"/>
  <c r="K17" i="54"/>
  <c r="J17" i="54"/>
  <c r="I17" i="54"/>
  <c r="H17" i="54"/>
  <c r="G17" i="54"/>
  <c r="F17" i="54"/>
  <c r="E17" i="54"/>
  <c r="D17" i="54"/>
  <c r="C17" i="54"/>
  <c r="B17" i="54"/>
  <c r="Q16" i="54"/>
  <c r="P16" i="54"/>
  <c r="O16" i="54"/>
  <c r="N16" i="54"/>
  <c r="M16" i="54"/>
  <c r="L16" i="54"/>
  <c r="K16" i="54"/>
  <c r="J16" i="54"/>
  <c r="I16" i="54"/>
  <c r="H16" i="54"/>
  <c r="G16" i="54"/>
  <c r="F16" i="54"/>
  <c r="E16" i="54"/>
  <c r="D16" i="54"/>
  <c r="C16" i="54"/>
  <c r="B16" i="54"/>
  <c r="Q15" i="54"/>
  <c r="P15" i="54"/>
  <c r="O15" i="54"/>
  <c r="N15" i="54"/>
  <c r="M15" i="54"/>
  <c r="L15" i="54"/>
  <c r="K15" i="54"/>
  <c r="J15" i="54"/>
  <c r="I15" i="54"/>
  <c r="H15" i="54"/>
  <c r="G15" i="54"/>
  <c r="F15" i="54"/>
  <c r="E15" i="54"/>
  <c r="D15" i="54"/>
  <c r="C15" i="54"/>
  <c r="B15" i="54"/>
  <c r="Q14" i="54"/>
  <c r="P14" i="54"/>
  <c r="O14" i="54"/>
  <c r="N14" i="54"/>
  <c r="M14" i="54"/>
  <c r="L14" i="54"/>
  <c r="K14" i="54"/>
  <c r="J14" i="54"/>
  <c r="I14" i="54"/>
  <c r="H14" i="54"/>
  <c r="G14" i="54"/>
  <c r="F14" i="54"/>
  <c r="E14" i="54"/>
  <c r="D14" i="54"/>
  <c r="C14" i="54"/>
  <c r="B14" i="54"/>
  <c r="Q13" i="54"/>
  <c r="P13" i="54"/>
  <c r="O13" i="54"/>
  <c r="N13" i="54"/>
  <c r="M13" i="54"/>
  <c r="L13" i="54"/>
  <c r="K13" i="54"/>
  <c r="J13" i="54"/>
  <c r="I13" i="54"/>
  <c r="H13" i="54"/>
  <c r="G13" i="54"/>
  <c r="F13" i="54"/>
  <c r="E13" i="54"/>
  <c r="D13" i="54"/>
  <c r="C13" i="54"/>
  <c r="B13" i="54"/>
  <c r="Q12" i="54"/>
  <c r="P12" i="54"/>
  <c r="O12" i="54"/>
  <c r="N12" i="54"/>
  <c r="M12" i="54"/>
  <c r="L12" i="54"/>
  <c r="K12" i="54"/>
  <c r="J12" i="54"/>
  <c r="I12" i="54"/>
  <c r="H12" i="54"/>
  <c r="G12" i="54"/>
  <c r="F12" i="54"/>
  <c r="E12" i="54"/>
  <c r="D12" i="54"/>
  <c r="C12" i="54"/>
  <c r="B12" i="54"/>
  <c r="Q11" i="54"/>
  <c r="P11" i="54"/>
  <c r="O11" i="54"/>
  <c r="N11" i="54"/>
  <c r="M11" i="54"/>
  <c r="L11" i="54"/>
  <c r="K11" i="54"/>
  <c r="J11" i="54"/>
  <c r="I11" i="54"/>
  <c r="H11" i="54"/>
  <c r="G11" i="54"/>
  <c r="F11" i="54"/>
  <c r="E11" i="54"/>
  <c r="D11" i="54"/>
  <c r="C11" i="54"/>
  <c r="B11" i="54"/>
  <c r="Q10" i="54"/>
  <c r="P10" i="54"/>
  <c r="O10" i="54"/>
  <c r="N10" i="54"/>
  <c r="M10" i="54"/>
  <c r="L10" i="54"/>
  <c r="K10" i="54"/>
  <c r="J10" i="54"/>
  <c r="I10" i="54"/>
  <c r="H10" i="54"/>
  <c r="G10" i="54"/>
  <c r="F10" i="54"/>
  <c r="E10" i="54"/>
  <c r="D10" i="54"/>
  <c r="C10" i="54"/>
  <c r="B10" i="54"/>
  <c r="Q9" i="54"/>
  <c r="P9" i="54"/>
  <c r="O9" i="54"/>
  <c r="N9" i="54"/>
  <c r="M9" i="54"/>
  <c r="L9" i="54"/>
  <c r="K9" i="54"/>
  <c r="J9" i="54"/>
  <c r="I9" i="54"/>
  <c r="H9" i="54"/>
  <c r="G9" i="54"/>
  <c r="F9" i="54"/>
  <c r="E9" i="54"/>
  <c r="D9" i="54"/>
  <c r="C9" i="54"/>
  <c r="B9" i="54"/>
  <c r="Q8" i="54"/>
  <c r="P8" i="54"/>
  <c r="O8" i="54"/>
  <c r="N8" i="54"/>
  <c r="M8" i="54"/>
  <c r="L8" i="54"/>
  <c r="K8" i="54"/>
  <c r="J8" i="54"/>
  <c r="I8" i="54"/>
  <c r="H8" i="54"/>
  <c r="G8" i="54"/>
  <c r="F8" i="54"/>
  <c r="E8" i="54"/>
  <c r="D8" i="54"/>
  <c r="C8" i="54"/>
  <c r="B8" i="54"/>
  <c r="Q7" i="54"/>
  <c r="P7" i="54"/>
  <c r="O7" i="54"/>
  <c r="N7" i="54"/>
  <c r="M7" i="54"/>
  <c r="L7" i="54"/>
  <c r="K7" i="54"/>
  <c r="J7" i="54"/>
  <c r="I7" i="54"/>
  <c r="H7" i="54"/>
  <c r="G7" i="54"/>
  <c r="F7" i="54"/>
  <c r="E7" i="54"/>
  <c r="D7" i="54"/>
  <c r="C7" i="54"/>
  <c r="B7" i="54"/>
  <c r="Q6" i="54"/>
  <c r="P6" i="54"/>
  <c r="O6" i="54"/>
  <c r="N6" i="54"/>
  <c r="M6" i="54"/>
  <c r="L6" i="54"/>
  <c r="K6" i="54"/>
  <c r="J6" i="54"/>
  <c r="I6" i="54"/>
  <c r="H6" i="54"/>
  <c r="G6" i="54"/>
  <c r="F6" i="54"/>
  <c r="E6" i="54"/>
  <c r="D6" i="54"/>
  <c r="C6" i="54"/>
  <c r="B6" i="54"/>
  <c r="Q5" i="54"/>
  <c r="P5" i="54"/>
  <c r="O5" i="54"/>
  <c r="N5" i="54"/>
  <c r="M5" i="54"/>
  <c r="L5" i="54"/>
  <c r="K5" i="54"/>
  <c r="J5" i="54"/>
  <c r="I5" i="54"/>
  <c r="H5" i="54"/>
  <c r="G5" i="54"/>
  <c r="F5" i="54"/>
  <c r="E5" i="54"/>
  <c r="D5" i="54"/>
  <c r="C5" i="54"/>
  <c r="B5" i="54"/>
  <c r="Q4" i="54"/>
  <c r="P4" i="54"/>
  <c r="O4" i="54"/>
  <c r="N4" i="54"/>
  <c r="M4" i="54"/>
  <c r="L4" i="54"/>
  <c r="K4" i="54"/>
  <c r="J4" i="54"/>
  <c r="I4" i="54"/>
  <c r="H4" i="54"/>
  <c r="G4" i="54"/>
  <c r="F4" i="54"/>
  <c r="E4" i="54"/>
  <c r="D4" i="54"/>
  <c r="C4" i="54"/>
  <c r="B4" i="54"/>
  <c r="Q3" i="54"/>
  <c r="P3" i="54"/>
  <c r="O3" i="54"/>
  <c r="N3" i="54"/>
  <c r="M3" i="54"/>
  <c r="L3" i="54"/>
  <c r="K3" i="54"/>
  <c r="J3" i="54"/>
  <c r="I3" i="54"/>
  <c r="H3" i="54"/>
  <c r="G3" i="54"/>
  <c r="F3" i="54"/>
  <c r="E3" i="54"/>
  <c r="D3" i="54"/>
  <c r="C3" i="54"/>
  <c r="B3" i="54"/>
  <c r="C28" i="53"/>
  <c r="D28" i="53"/>
  <c r="E28" i="53"/>
  <c r="F28" i="53"/>
  <c r="G28" i="53"/>
  <c r="H28" i="53"/>
  <c r="I28" i="53"/>
  <c r="J28" i="53"/>
  <c r="K28" i="53"/>
  <c r="L28" i="53"/>
  <c r="M28" i="53"/>
  <c r="N28" i="53"/>
  <c r="O28" i="53"/>
  <c r="P28" i="53"/>
  <c r="Q28" i="53"/>
  <c r="B28" i="53"/>
  <c r="B4" i="53"/>
  <c r="C4" i="53"/>
  <c r="D4" i="53"/>
  <c r="E4" i="53"/>
  <c r="F4" i="53"/>
  <c r="G4" i="53"/>
  <c r="H4" i="53"/>
  <c r="I4" i="53"/>
  <c r="J4" i="53"/>
  <c r="K4" i="53"/>
  <c r="L4" i="53"/>
  <c r="M4" i="53"/>
  <c r="N4" i="53"/>
  <c r="O4" i="53"/>
  <c r="P4" i="53"/>
  <c r="Q4" i="53"/>
  <c r="B5" i="53"/>
  <c r="C5" i="53"/>
  <c r="D5" i="53"/>
  <c r="E5" i="53"/>
  <c r="F5" i="53"/>
  <c r="G5" i="53"/>
  <c r="H5" i="53"/>
  <c r="I5" i="53"/>
  <c r="J5" i="53"/>
  <c r="K5" i="53"/>
  <c r="L5" i="53"/>
  <c r="M5" i="53"/>
  <c r="N5" i="53"/>
  <c r="O5" i="53"/>
  <c r="P5" i="53"/>
  <c r="Q5" i="53"/>
  <c r="B6" i="53"/>
  <c r="C6" i="53"/>
  <c r="D6" i="53"/>
  <c r="E6" i="53"/>
  <c r="F6" i="53"/>
  <c r="G6" i="53"/>
  <c r="H6" i="53"/>
  <c r="I6" i="53"/>
  <c r="J6" i="53"/>
  <c r="K6" i="53"/>
  <c r="L6" i="53"/>
  <c r="M6" i="53"/>
  <c r="N6" i="53"/>
  <c r="O6" i="53"/>
  <c r="P6" i="53"/>
  <c r="Q6" i="53"/>
  <c r="B7" i="53"/>
  <c r="C7" i="53"/>
  <c r="D7" i="53"/>
  <c r="E7" i="53"/>
  <c r="F7" i="53"/>
  <c r="G7" i="53"/>
  <c r="H7" i="53"/>
  <c r="I7" i="53"/>
  <c r="J7" i="53"/>
  <c r="K7" i="53"/>
  <c r="L7" i="53"/>
  <c r="M7" i="53"/>
  <c r="N7" i="53"/>
  <c r="O7" i="53"/>
  <c r="P7" i="53"/>
  <c r="Q7" i="53"/>
  <c r="B8" i="53"/>
  <c r="C8" i="53"/>
  <c r="D8" i="53"/>
  <c r="E8" i="53"/>
  <c r="F8" i="53"/>
  <c r="G8" i="53"/>
  <c r="H8" i="53"/>
  <c r="I8" i="53"/>
  <c r="J8" i="53"/>
  <c r="K8" i="53"/>
  <c r="L8" i="53"/>
  <c r="M8" i="53"/>
  <c r="N8" i="53"/>
  <c r="O8" i="53"/>
  <c r="P8" i="53"/>
  <c r="Q8" i="53"/>
  <c r="B9" i="53"/>
  <c r="C9" i="53"/>
  <c r="D9" i="53"/>
  <c r="E9" i="53"/>
  <c r="F9" i="53"/>
  <c r="G9" i="53"/>
  <c r="H9" i="53"/>
  <c r="I9" i="53"/>
  <c r="J9" i="53"/>
  <c r="K9" i="53"/>
  <c r="L9" i="53"/>
  <c r="M9" i="53"/>
  <c r="N9" i="53"/>
  <c r="O9" i="53"/>
  <c r="P9" i="53"/>
  <c r="Q9" i="53"/>
  <c r="B10" i="53"/>
  <c r="C10" i="53"/>
  <c r="D10" i="53"/>
  <c r="E10" i="53"/>
  <c r="F10" i="53"/>
  <c r="G10" i="53"/>
  <c r="H10" i="53"/>
  <c r="I10" i="53"/>
  <c r="J10" i="53"/>
  <c r="K10" i="53"/>
  <c r="L10" i="53"/>
  <c r="M10" i="53"/>
  <c r="N10" i="53"/>
  <c r="O10" i="53"/>
  <c r="P10" i="53"/>
  <c r="Q10" i="53"/>
  <c r="B11" i="53"/>
  <c r="C11" i="53"/>
  <c r="D11" i="53"/>
  <c r="E11" i="53"/>
  <c r="F11" i="53"/>
  <c r="G11" i="53"/>
  <c r="H11" i="53"/>
  <c r="I11" i="53"/>
  <c r="J11" i="53"/>
  <c r="K11" i="53"/>
  <c r="L11" i="53"/>
  <c r="M11" i="53"/>
  <c r="N11" i="53"/>
  <c r="O11" i="53"/>
  <c r="P11" i="53"/>
  <c r="Q11" i="53"/>
  <c r="B12" i="53"/>
  <c r="C12" i="53"/>
  <c r="D12" i="53"/>
  <c r="E12" i="53"/>
  <c r="F12" i="53"/>
  <c r="G12" i="53"/>
  <c r="H12" i="53"/>
  <c r="I12" i="53"/>
  <c r="J12" i="53"/>
  <c r="K12" i="53"/>
  <c r="L12" i="53"/>
  <c r="M12" i="53"/>
  <c r="N12" i="53"/>
  <c r="O12" i="53"/>
  <c r="P12" i="53"/>
  <c r="Q12" i="53"/>
  <c r="B13" i="53"/>
  <c r="C13" i="53"/>
  <c r="D13" i="53"/>
  <c r="E13" i="53"/>
  <c r="F13" i="53"/>
  <c r="G13" i="53"/>
  <c r="H13" i="53"/>
  <c r="I13" i="53"/>
  <c r="J13" i="53"/>
  <c r="K13" i="53"/>
  <c r="L13" i="53"/>
  <c r="M13" i="53"/>
  <c r="N13" i="53"/>
  <c r="O13" i="53"/>
  <c r="P13" i="53"/>
  <c r="Q13" i="53"/>
  <c r="B14" i="53"/>
  <c r="C14" i="53"/>
  <c r="D14" i="53"/>
  <c r="E14" i="53"/>
  <c r="F14" i="53"/>
  <c r="G14" i="53"/>
  <c r="H14" i="53"/>
  <c r="I14" i="53"/>
  <c r="J14" i="53"/>
  <c r="K14" i="53"/>
  <c r="L14" i="53"/>
  <c r="M14" i="53"/>
  <c r="N14" i="53"/>
  <c r="O14" i="53"/>
  <c r="P14" i="53"/>
  <c r="Q14" i="53"/>
  <c r="B15" i="53"/>
  <c r="C15" i="53"/>
  <c r="D15" i="53"/>
  <c r="E15" i="53"/>
  <c r="F15" i="53"/>
  <c r="G15" i="53"/>
  <c r="H15" i="53"/>
  <c r="I15" i="53"/>
  <c r="J15" i="53"/>
  <c r="K15" i="53"/>
  <c r="L15" i="53"/>
  <c r="M15" i="53"/>
  <c r="N15" i="53"/>
  <c r="O15" i="53"/>
  <c r="P15" i="53"/>
  <c r="Q15" i="53"/>
  <c r="B16" i="53"/>
  <c r="C16" i="53"/>
  <c r="D16" i="53"/>
  <c r="E16" i="53"/>
  <c r="F16" i="53"/>
  <c r="G16" i="53"/>
  <c r="H16" i="53"/>
  <c r="I16" i="53"/>
  <c r="J16" i="53"/>
  <c r="K16" i="53"/>
  <c r="L16" i="53"/>
  <c r="M16" i="53"/>
  <c r="N16" i="53"/>
  <c r="O16" i="53"/>
  <c r="P16" i="53"/>
  <c r="Q16" i="53"/>
  <c r="B17" i="53"/>
  <c r="C17" i="53"/>
  <c r="D17" i="53"/>
  <c r="E17" i="53"/>
  <c r="F17" i="53"/>
  <c r="G17" i="53"/>
  <c r="H17" i="53"/>
  <c r="I17" i="53"/>
  <c r="J17" i="53"/>
  <c r="K17" i="53"/>
  <c r="L17" i="53"/>
  <c r="M17" i="53"/>
  <c r="N17" i="53"/>
  <c r="O17" i="53"/>
  <c r="P17" i="53"/>
  <c r="Q17" i="53"/>
  <c r="B18" i="53"/>
  <c r="C18" i="53"/>
  <c r="D18" i="53"/>
  <c r="E18" i="53"/>
  <c r="F18" i="53"/>
  <c r="G18" i="53"/>
  <c r="H18" i="53"/>
  <c r="I18" i="53"/>
  <c r="J18" i="53"/>
  <c r="K18" i="53"/>
  <c r="L18" i="53"/>
  <c r="M18" i="53"/>
  <c r="N18" i="53"/>
  <c r="O18" i="53"/>
  <c r="P18" i="53"/>
  <c r="Q18" i="53"/>
  <c r="B19" i="53"/>
  <c r="C19" i="53"/>
  <c r="D19" i="53"/>
  <c r="E19" i="53"/>
  <c r="F19" i="53"/>
  <c r="G19" i="53"/>
  <c r="H19" i="53"/>
  <c r="I19" i="53"/>
  <c r="J19" i="53"/>
  <c r="K19" i="53"/>
  <c r="L19" i="53"/>
  <c r="M19" i="53"/>
  <c r="N19" i="53"/>
  <c r="O19" i="53"/>
  <c r="P19" i="53"/>
  <c r="Q19" i="53"/>
  <c r="B20" i="53"/>
  <c r="C20" i="53"/>
  <c r="D20" i="53"/>
  <c r="E20" i="53"/>
  <c r="F20" i="53"/>
  <c r="G20" i="53"/>
  <c r="H20" i="53"/>
  <c r="I20" i="53"/>
  <c r="J20" i="53"/>
  <c r="K20" i="53"/>
  <c r="L20" i="53"/>
  <c r="M20" i="53"/>
  <c r="N20" i="53"/>
  <c r="O20" i="53"/>
  <c r="P20" i="53"/>
  <c r="Q20" i="53"/>
  <c r="B21" i="53"/>
  <c r="C21" i="53"/>
  <c r="D21" i="53"/>
  <c r="E21" i="53"/>
  <c r="F21" i="53"/>
  <c r="G21" i="53"/>
  <c r="H21" i="53"/>
  <c r="I21" i="53"/>
  <c r="J21" i="53"/>
  <c r="K21" i="53"/>
  <c r="L21" i="53"/>
  <c r="M21" i="53"/>
  <c r="N21" i="53"/>
  <c r="O21" i="53"/>
  <c r="P21" i="53"/>
  <c r="Q21" i="53"/>
  <c r="B22" i="53"/>
  <c r="C22" i="53"/>
  <c r="D22" i="53"/>
  <c r="E22" i="53"/>
  <c r="F22" i="53"/>
  <c r="G22" i="53"/>
  <c r="H22" i="53"/>
  <c r="I22" i="53"/>
  <c r="J22" i="53"/>
  <c r="K22" i="53"/>
  <c r="L22" i="53"/>
  <c r="M22" i="53"/>
  <c r="N22" i="53"/>
  <c r="O22" i="53"/>
  <c r="P22" i="53"/>
  <c r="Q22" i="53"/>
  <c r="B23" i="53"/>
  <c r="C23" i="53"/>
  <c r="D23" i="53"/>
  <c r="E23" i="53"/>
  <c r="F23" i="53"/>
  <c r="G23" i="53"/>
  <c r="H23" i="53"/>
  <c r="I23" i="53"/>
  <c r="J23" i="53"/>
  <c r="K23" i="53"/>
  <c r="L23" i="53"/>
  <c r="M23" i="53"/>
  <c r="N23" i="53"/>
  <c r="O23" i="53"/>
  <c r="P23" i="53"/>
  <c r="Q23" i="53"/>
  <c r="B24" i="53"/>
  <c r="C24" i="53"/>
  <c r="D24" i="53"/>
  <c r="E24" i="53"/>
  <c r="F24" i="53"/>
  <c r="G24" i="53"/>
  <c r="H24" i="53"/>
  <c r="I24" i="53"/>
  <c r="J24" i="53"/>
  <c r="K24" i="53"/>
  <c r="L24" i="53"/>
  <c r="M24" i="53"/>
  <c r="N24" i="53"/>
  <c r="O24" i="53"/>
  <c r="P24" i="53"/>
  <c r="Q24" i="53"/>
  <c r="B25" i="53"/>
  <c r="C25" i="53"/>
  <c r="D25" i="53"/>
  <c r="E25" i="53"/>
  <c r="F25" i="53"/>
  <c r="G25" i="53"/>
  <c r="H25" i="53"/>
  <c r="I25" i="53"/>
  <c r="J25" i="53"/>
  <c r="K25" i="53"/>
  <c r="L25" i="53"/>
  <c r="M25" i="53"/>
  <c r="N25" i="53"/>
  <c r="O25" i="53"/>
  <c r="P25" i="53"/>
  <c r="Q25" i="53"/>
  <c r="B26" i="53"/>
  <c r="C26" i="53"/>
  <c r="D26" i="53"/>
  <c r="E26" i="53"/>
  <c r="F26" i="53"/>
  <c r="G26" i="53"/>
  <c r="H26" i="53"/>
  <c r="I26" i="53"/>
  <c r="J26" i="53"/>
  <c r="K26" i="53"/>
  <c r="L26" i="53"/>
  <c r="M26" i="53"/>
  <c r="N26" i="53"/>
  <c r="O26" i="53"/>
  <c r="P26" i="53"/>
  <c r="Q26" i="53"/>
  <c r="B27" i="53"/>
  <c r="C27" i="53"/>
  <c r="D27" i="53"/>
  <c r="E27" i="53"/>
  <c r="F27" i="53"/>
  <c r="G27" i="53"/>
  <c r="H27" i="53"/>
  <c r="I27" i="53"/>
  <c r="J27" i="53"/>
  <c r="K27" i="53"/>
  <c r="L27" i="53"/>
  <c r="M27" i="53"/>
  <c r="N27" i="53"/>
  <c r="O27" i="53"/>
  <c r="P27" i="53"/>
  <c r="Q27" i="53"/>
  <c r="C3" i="53"/>
  <c r="D3" i="53"/>
  <c r="E3" i="53"/>
  <c r="F3" i="53"/>
  <c r="G3" i="53"/>
  <c r="H3" i="53"/>
  <c r="I3" i="53"/>
  <c r="J3" i="53"/>
  <c r="K3" i="53"/>
  <c r="L3" i="53"/>
  <c r="M3" i="53"/>
  <c r="N3" i="53"/>
  <c r="O3" i="53"/>
  <c r="P3" i="53"/>
  <c r="Q3" i="53"/>
  <c r="B3" i="53"/>
  <c r="C28" i="50"/>
  <c r="D28" i="50"/>
  <c r="E28" i="50"/>
  <c r="F28" i="50"/>
  <c r="G28" i="50"/>
  <c r="H28" i="50"/>
  <c r="I28" i="50"/>
  <c r="J28" i="50"/>
  <c r="K28" i="50"/>
  <c r="L28" i="50"/>
  <c r="M28" i="50"/>
  <c r="N28" i="50"/>
  <c r="O28" i="50"/>
  <c r="P28" i="50"/>
  <c r="Q28" i="50"/>
  <c r="B28" i="50"/>
  <c r="K28" i="49" l="1"/>
  <c r="K3" i="49"/>
  <c r="K3" i="46"/>
  <c r="B4" i="12"/>
  <c r="B4" i="46" s="1"/>
  <c r="C4" i="12"/>
  <c r="C4" i="49" s="1"/>
  <c r="D4" i="12"/>
  <c r="D4" i="46" s="1"/>
  <c r="E4" i="12"/>
  <c r="E4" i="49" s="1"/>
  <c r="F4" i="12"/>
  <c r="F4" i="46" s="1"/>
  <c r="G4" i="12"/>
  <c r="G4" i="49" s="1"/>
  <c r="H4" i="12"/>
  <c r="H4" i="49" s="1"/>
  <c r="I4" i="12"/>
  <c r="I4" i="49" s="1"/>
  <c r="J4" i="12"/>
  <c r="J4" i="46" s="1"/>
  <c r="B5" i="12"/>
  <c r="B5" i="49" s="1"/>
  <c r="C5" i="12"/>
  <c r="C5" i="49" s="1"/>
  <c r="D5" i="12"/>
  <c r="D5" i="49" s="1"/>
  <c r="E5" i="12"/>
  <c r="E5" i="46" s="1"/>
  <c r="F5" i="12"/>
  <c r="F5" i="49" s="1"/>
  <c r="G5" i="12"/>
  <c r="G5" i="49" s="1"/>
  <c r="H5" i="12"/>
  <c r="H5" i="49" s="1"/>
  <c r="I5" i="12"/>
  <c r="I5" i="46" s="1"/>
  <c r="J5" i="12"/>
  <c r="J5" i="49" s="1"/>
  <c r="B6" i="12"/>
  <c r="B6" i="46" s="1"/>
  <c r="C6" i="12"/>
  <c r="C6" i="49" s="1"/>
  <c r="D6" i="12"/>
  <c r="D6" i="46" s="1"/>
  <c r="E6" i="12"/>
  <c r="E6" i="49" s="1"/>
  <c r="F6" i="12"/>
  <c r="F6" i="49" s="1"/>
  <c r="G6" i="12"/>
  <c r="G6" i="49" s="1"/>
  <c r="H6" i="12"/>
  <c r="H6" i="46" s="1"/>
  <c r="I6" i="12"/>
  <c r="I6" i="49" s="1"/>
  <c r="J6" i="12"/>
  <c r="J6" i="49" s="1"/>
  <c r="B7" i="12"/>
  <c r="B7" i="49" s="1"/>
  <c r="C7" i="12"/>
  <c r="C7" i="46" s="1"/>
  <c r="D7" i="12"/>
  <c r="D7" i="49" s="1"/>
  <c r="E7" i="12"/>
  <c r="E7" i="49" s="1"/>
  <c r="F7" i="12"/>
  <c r="F7" i="49" s="1"/>
  <c r="G7" i="12"/>
  <c r="G7" i="46" s="1"/>
  <c r="H7" i="12"/>
  <c r="H7" i="49" s="1"/>
  <c r="I7" i="12"/>
  <c r="I7" i="49" s="1"/>
  <c r="J7" i="12"/>
  <c r="J7" i="49" s="1"/>
  <c r="B8" i="12"/>
  <c r="B8" i="46" s="1"/>
  <c r="C8" i="12"/>
  <c r="C8" i="49" s="1"/>
  <c r="D8" i="12"/>
  <c r="D8" i="49" s="1"/>
  <c r="E8" i="12"/>
  <c r="E8" i="49" s="1"/>
  <c r="F8" i="12"/>
  <c r="F8" i="46" s="1"/>
  <c r="G8" i="12"/>
  <c r="G8" i="49" s="1"/>
  <c r="H8" i="12"/>
  <c r="H8" i="46" s="1"/>
  <c r="I8" i="12"/>
  <c r="I8" i="49" s="1"/>
  <c r="J8" i="12"/>
  <c r="J8" i="46" s="1"/>
  <c r="B9" i="12"/>
  <c r="B9" i="49" s="1"/>
  <c r="C9" i="12"/>
  <c r="C9" i="49" s="1"/>
  <c r="D9" i="12"/>
  <c r="D9" i="49" s="1"/>
  <c r="E9" i="12"/>
  <c r="E9" i="46" s="1"/>
  <c r="F9" i="12"/>
  <c r="F9" i="49" s="1"/>
  <c r="G9" i="12"/>
  <c r="G9" i="49" s="1"/>
  <c r="H9" i="12"/>
  <c r="H9" i="49" s="1"/>
  <c r="I9" i="12"/>
  <c r="I9" i="46" s="1"/>
  <c r="J9" i="12"/>
  <c r="J9" i="49" s="1"/>
  <c r="B10" i="12"/>
  <c r="B10" i="49" s="1"/>
  <c r="C10" i="12"/>
  <c r="C10" i="49" s="1"/>
  <c r="D10" i="12"/>
  <c r="D10" i="46" s="1"/>
  <c r="E10" i="12"/>
  <c r="E10" i="49" s="1"/>
  <c r="F10" i="12"/>
  <c r="F10" i="49" s="1"/>
  <c r="G10" i="12"/>
  <c r="G10" i="49" s="1"/>
  <c r="H10" i="12"/>
  <c r="H10" i="46" s="1"/>
  <c r="I10" i="12"/>
  <c r="I10" i="49" s="1"/>
  <c r="J10" i="12"/>
  <c r="J10" i="49" s="1"/>
  <c r="B11" i="12"/>
  <c r="B11" i="49" s="1"/>
  <c r="C11" i="12"/>
  <c r="C11" i="46" s="1"/>
  <c r="D11" i="12"/>
  <c r="D11" i="49" s="1"/>
  <c r="E11" i="12"/>
  <c r="E11" i="46" s="1"/>
  <c r="F11" i="12"/>
  <c r="F11" i="49" s="1"/>
  <c r="G11" i="12"/>
  <c r="G11" i="46" s="1"/>
  <c r="H11" i="12"/>
  <c r="H11" i="49" s="1"/>
  <c r="I11" i="12"/>
  <c r="I11" i="49" s="1"/>
  <c r="J11" i="12"/>
  <c r="J11" i="49" s="1"/>
  <c r="B12" i="12"/>
  <c r="B12" i="46" s="1"/>
  <c r="C12" i="12"/>
  <c r="C12" i="49" s="1"/>
  <c r="D12" i="12"/>
  <c r="D12" i="49" s="1"/>
  <c r="E12" i="12"/>
  <c r="E12" i="49" s="1"/>
  <c r="F12" i="12"/>
  <c r="F12" i="46" s="1"/>
  <c r="G12" i="12"/>
  <c r="G12" i="49" s="1"/>
  <c r="H12" i="12"/>
  <c r="H12" i="49" s="1"/>
  <c r="I12" i="12"/>
  <c r="I12" i="49" s="1"/>
  <c r="J12" i="12"/>
  <c r="J12" i="46" s="1"/>
  <c r="B13" i="12"/>
  <c r="B13" i="49" s="1"/>
  <c r="C13" i="12"/>
  <c r="C13" i="46" s="1"/>
  <c r="D13" i="12"/>
  <c r="D13" i="49" s="1"/>
  <c r="E13" i="12"/>
  <c r="E13" i="46" s="1"/>
  <c r="F13" i="12"/>
  <c r="F13" i="49" s="1"/>
  <c r="G13" i="12"/>
  <c r="G13" i="49" s="1"/>
  <c r="H13" i="12"/>
  <c r="H13" i="49" s="1"/>
  <c r="I13" i="12"/>
  <c r="I13" i="46" s="1"/>
  <c r="J13" i="12"/>
  <c r="J13" i="49" s="1"/>
  <c r="B14" i="12"/>
  <c r="B14" i="49" s="1"/>
  <c r="C14" i="12"/>
  <c r="C14" i="49" s="1"/>
  <c r="D14" i="12"/>
  <c r="D14" i="46" s="1"/>
  <c r="E14" i="12"/>
  <c r="E14" i="49" s="1"/>
  <c r="F14" i="12"/>
  <c r="F14" i="49" s="1"/>
  <c r="G14" i="12"/>
  <c r="G14" i="49" s="1"/>
  <c r="H14" i="12"/>
  <c r="H14" i="46" s="1"/>
  <c r="I14" i="12"/>
  <c r="I14" i="49" s="1"/>
  <c r="J14" i="12"/>
  <c r="J14" i="49" s="1"/>
  <c r="B15" i="12"/>
  <c r="B15" i="49" s="1"/>
  <c r="C15" i="12"/>
  <c r="C15" i="46" s="1"/>
  <c r="D15" i="12"/>
  <c r="D15" i="49" s="1"/>
  <c r="E15" i="12"/>
  <c r="E15" i="49" s="1"/>
  <c r="F15" i="12"/>
  <c r="F15" i="49" s="1"/>
  <c r="G15" i="12"/>
  <c r="G15" i="46" s="1"/>
  <c r="H15" i="12"/>
  <c r="H15" i="49" s="1"/>
  <c r="I15" i="12"/>
  <c r="I15" i="46" s="1"/>
  <c r="J15" i="12"/>
  <c r="J15" i="49" s="1"/>
  <c r="B16" i="12"/>
  <c r="B16" i="46" s="1"/>
  <c r="C16" i="12"/>
  <c r="C16" i="49" s="1"/>
  <c r="D16" i="12"/>
  <c r="D16" i="49" s="1"/>
  <c r="E16" i="12"/>
  <c r="E16" i="49" s="1"/>
  <c r="F16" i="12"/>
  <c r="F16" i="46" s="1"/>
  <c r="G16" i="12"/>
  <c r="G16" i="49" s="1"/>
  <c r="H16" i="12"/>
  <c r="H16" i="49" s="1"/>
  <c r="I16" i="12"/>
  <c r="I16" i="49" s="1"/>
  <c r="J16" i="12"/>
  <c r="J16" i="46" s="1"/>
  <c r="B17" i="12"/>
  <c r="B17" i="49" s="1"/>
  <c r="C17" i="12"/>
  <c r="C17" i="49" s="1"/>
  <c r="D17" i="12"/>
  <c r="D17" i="49" s="1"/>
  <c r="E17" i="12"/>
  <c r="E17" i="46" s="1"/>
  <c r="F17" i="12"/>
  <c r="F17" i="49" s="1"/>
  <c r="G17" i="12"/>
  <c r="G17" i="46" s="1"/>
  <c r="H17" i="12"/>
  <c r="H17" i="49" s="1"/>
  <c r="I17" i="12"/>
  <c r="I17" i="46" s="1"/>
  <c r="J17" i="12"/>
  <c r="J17" i="49" s="1"/>
  <c r="B18" i="12"/>
  <c r="B18" i="49" s="1"/>
  <c r="C18" i="12"/>
  <c r="C18" i="49" s="1"/>
  <c r="D18" i="12"/>
  <c r="D18" i="46" s="1"/>
  <c r="E18" i="12"/>
  <c r="E18" i="49" s="1"/>
  <c r="F18" i="12"/>
  <c r="F18" i="49" s="1"/>
  <c r="G18" i="12"/>
  <c r="G18" i="49" s="1"/>
  <c r="H18" i="12"/>
  <c r="H18" i="46" s="1"/>
  <c r="I18" i="12"/>
  <c r="I18" i="49" s="1"/>
  <c r="J18" i="12"/>
  <c r="J18" i="49" s="1"/>
  <c r="B19" i="12"/>
  <c r="B19" i="49" s="1"/>
  <c r="C19" i="12"/>
  <c r="C19" i="46" s="1"/>
  <c r="D19" i="12"/>
  <c r="D19" i="49" s="1"/>
  <c r="E19" i="12"/>
  <c r="E19" i="46" s="1"/>
  <c r="F19" i="12"/>
  <c r="F19" i="49" s="1"/>
  <c r="G19" i="12"/>
  <c r="G19" i="46" s="1"/>
  <c r="H19" i="12"/>
  <c r="H19" i="49" s="1"/>
  <c r="I19" i="12"/>
  <c r="I19" i="49" s="1"/>
  <c r="J19" i="12"/>
  <c r="J19" i="49" s="1"/>
  <c r="B20" i="12"/>
  <c r="B20" i="46" s="1"/>
  <c r="C20" i="12"/>
  <c r="C20" i="49" s="1"/>
  <c r="D20" i="12"/>
  <c r="D20" i="49" s="1"/>
  <c r="E20" i="12"/>
  <c r="E20" i="49" s="1"/>
  <c r="F20" i="12"/>
  <c r="F20" i="46" s="1"/>
  <c r="G20" i="12"/>
  <c r="G20" i="49" s="1"/>
  <c r="H20" i="12"/>
  <c r="H20" i="49" s="1"/>
  <c r="I20" i="12"/>
  <c r="I20" i="49" s="1"/>
  <c r="J20" i="12"/>
  <c r="J20" i="46" s="1"/>
  <c r="B21" i="12"/>
  <c r="B21" i="49" s="1"/>
  <c r="C21" i="12"/>
  <c r="C21" i="46" s="1"/>
  <c r="D21" i="12"/>
  <c r="D21" i="49" s="1"/>
  <c r="E21" i="12"/>
  <c r="E21" i="46" s="1"/>
  <c r="F21" i="12"/>
  <c r="F21" i="49" s="1"/>
  <c r="G21" i="12"/>
  <c r="G21" i="49" s="1"/>
  <c r="H21" i="12"/>
  <c r="H21" i="49" s="1"/>
  <c r="I21" i="12"/>
  <c r="I21" i="46" s="1"/>
  <c r="J21" i="12"/>
  <c r="J21" i="49" s="1"/>
  <c r="B22" i="12"/>
  <c r="B22" i="46" s="1"/>
  <c r="C22" i="12"/>
  <c r="C22" i="49" s="1"/>
  <c r="D22" i="12"/>
  <c r="D22" i="46" s="1"/>
  <c r="E22" i="12"/>
  <c r="E22" i="49" s="1"/>
  <c r="F22" i="12"/>
  <c r="F22" i="49" s="1"/>
  <c r="G22" i="12"/>
  <c r="G22" i="49" s="1"/>
  <c r="H22" i="12"/>
  <c r="H22" i="46" s="1"/>
  <c r="I22" i="12"/>
  <c r="I22" i="49" s="1"/>
  <c r="J22" i="12"/>
  <c r="J22" i="49" s="1"/>
  <c r="B23" i="12"/>
  <c r="B23" i="49" s="1"/>
  <c r="C23" i="12"/>
  <c r="C23" i="46" s="1"/>
  <c r="D23" i="12"/>
  <c r="D23" i="49" s="1"/>
  <c r="E23" i="12"/>
  <c r="E23" i="49" s="1"/>
  <c r="F23" i="12"/>
  <c r="F23" i="49" s="1"/>
  <c r="G23" i="12"/>
  <c r="G23" i="46" s="1"/>
  <c r="H23" i="12"/>
  <c r="H23" i="49" s="1"/>
  <c r="I23" i="12"/>
  <c r="I23" i="46" s="1"/>
  <c r="J23" i="12"/>
  <c r="J23" i="49" s="1"/>
  <c r="B24" i="12"/>
  <c r="B24" i="46" s="1"/>
  <c r="C24" i="12"/>
  <c r="C24" i="49" s="1"/>
  <c r="D24" i="12"/>
  <c r="D24" i="49" s="1"/>
  <c r="E24" i="12"/>
  <c r="E24" i="49" s="1"/>
  <c r="F24" i="12"/>
  <c r="F24" i="46" s="1"/>
  <c r="G24" i="12"/>
  <c r="G24" i="49" s="1"/>
  <c r="H24" i="12"/>
  <c r="H24" i="49" s="1"/>
  <c r="I24" i="12"/>
  <c r="I24" i="49" s="1"/>
  <c r="J24" i="12"/>
  <c r="J24" i="46" s="1"/>
  <c r="B25" i="12"/>
  <c r="B25" i="49" s="1"/>
  <c r="C25" i="12"/>
  <c r="C25" i="49" s="1"/>
  <c r="D25" i="12"/>
  <c r="D25" i="49" s="1"/>
  <c r="E25" i="12"/>
  <c r="E25" i="46" s="1"/>
  <c r="F25" i="12"/>
  <c r="F25" i="49" s="1"/>
  <c r="G25" i="12"/>
  <c r="G25" i="49" s="1"/>
  <c r="H25" i="12"/>
  <c r="H25" i="49" s="1"/>
  <c r="I25" i="12"/>
  <c r="I25" i="46" s="1"/>
  <c r="J25" i="12"/>
  <c r="J25" i="49" s="1"/>
  <c r="B26" i="12"/>
  <c r="B26" i="49" s="1"/>
  <c r="C26" i="12"/>
  <c r="C26" i="49" s="1"/>
  <c r="D26" i="12"/>
  <c r="D26" i="46" s="1"/>
  <c r="E26" i="12"/>
  <c r="E26" i="49" s="1"/>
  <c r="F26" i="12"/>
  <c r="F26" i="49" s="1"/>
  <c r="G26" i="12"/>
  <c r="G26" i="49" s="1"/>
  <c r="H26" i="12"/>
  <c r="H26" i="46" s="1"/>
  <c r="I26" i="12"/>
  <c r="I26" i="49" s="1"/>
  <c r="J26" i="12"/>
  <c r="J26" i="49" s="1"/>
  <c r="B27" i="12"/>
  <c r="B27" i="49" s="1"/>
  <c r="C27" i="12"/>
  <c r="C27" i="46" s="1"/>
  <c r="D27" i="12"/>
  <c r="D27" i="49" s="1"/>
  <c r="E27" i="12"/>
  <c r="E27" i="49" s="1"/>
  <c r="F27" i="12"/>
  <c r="F27" i="49" s="1"/>
  <c r="G27" i="12"/>
  <c r="G27" i="46" s="1"/>
  <c r="H27" i="12"/>
  <c r="H27" i="49" s="1"/>
  <c r="I27" i="12"/>
  <c r="I27" i="49" s="1"/>
  <c r="J27" i="12"/>
  <c r="J27" i="49" s="1"/>
  <c r="C3" i="12"/>
  <c r="C3" i="46" s="1"/>
  <c r="D3" i="12"/>
  <c r="D3" i="49" s="1"/>
  <c r="E3" i="12"/>
  <c r="E3" i="49" s="1"/>
  <c r="F3" i="12"/>
  <c r="F3" i="46" s="1"/>
  <c r="G3" i="12"/>
  <c r="G3" i="46" s="1"/>
  <c r="H3" i="12"/>
  <c r="H3" i="49" s="1"/>
  <c r="I3" i="12"/>
  <c r="I3" i="49" s="1"/>
  <c r="J3" i="12"/>
  <c r="J3" i="49" s="1"/>
  <c r="B3" i="12"/>
  <c r="B3" i="49" s="1"/>
  <c r="G20" i="46" l="1"/>
  <c r="I8" i="46"/>
  <c r="E6" i="46"/>
  <c r="J4" i="49"/>
  <c r="B12" i="49"/>
  <c r="J12" i="49"/>
  <c r="E12" i="46"/>
  <c r="H27" i="46"/>
  <c r="J10" i="46"/>
  <c r="I5" i="49"/>
  <c r="B23" i="46"/>
  <c r="H9" i="46"/>
  <c r="F8" i="49"/>
  <c r="F19" i="46"/>
  <c r="I16" i="46"/>
  <c r="D5" i="46"/>
  <c r="G15" i="49"/>
  <c r="J15" i="46"/>
  <c r="C3" i="49"/>
  <c r="H22" i="49"/>
  <c r="F13" i="46"/>
  <c r="I27" i="46"/>
  <c r="H25" i="46"/>
  <c r="D23" i="46"/>
  <c r="H20" i="46"/>
  <c r="G18" i="46"/>
  <c r="C16" i="46"/>
  <c r="G13" i="46"/>
  <c r="F11" i="46"/>
  <c r="B9" i="46"/>
  <c r="F6" i="46"/>
  <c r="E4" i="46"/>
  <c r="G7" i="49"/>
  <c r="H14" i="49"/>
  <c r="I21" i="49"/>
  <c r="F27" i="46"/>
  <c r="B25" i="46"/>
  <c r="F22" i="46"/>
  <c r="E20" i="46"/>
  <c r="J17" i="46"/>
  <c r="E15" i="46"/>
  <c r="D13" i="46"/>
  <c r="I10" i="46"/>
  <c r="D8" i="46"/>
  <c r="C6" i="46"/>
  <c r="F3" i="49"/>
  <c r="E9" i="49"/>
  <c r="F16" i="49"/>
  <c r="G23" i="49"/>
  <c r="C25" i="46"/>
  <c r="J26" i="46"/>
  <c r="I24" i="46"/>
  <c r="E22" i="46"/>
  <c r="I19" i="46"/>
  <c r="H17" i="46"/>
  <c r="D15" i="46"/>
  <c r="H12" i="46"/>
  <c r="G10" i="46"/>
  <c r="C8" i="46"/>
  <c r="G5" i="46"/>
  <c r="D10" i="49"/>
  <c r="E17" i="49"/>
  <c r="F24" i="49"/>
  <c r="B18" i="46"/>
  <c r="I26" i="46"/>
  <c r="D24" i="46"/>
  <c r="C22" i="46"/>
  <c r="H19" i="46"/>
  <c r="C17" i="46"/>
  <c r="B15" i="46"/>
  <c r="G12" i="46"/>
  <c r="B10" i="46"/>
  <c r="J7" i="46"/>
  <c r="F5" i="46"/>
  <c r="B4" i="49"/>
  <c r="C11" i="49"/>
  <c r="D18" i="49"/>
  <c r="E25" i="49"/>
  <c r="I3" i="46"/>
  <c r="G26" i="46"/>
  <c r="C24" i="46"/>
  <c r="G21" i="46"/>
  <c r="B17" i="46"/>
  <c r="F14" i="46"/>
  <c r="J9" i="46"/>
  <c r="E7" i="46"/>
  <c r="C19" i="49"/>
  <c r="D26" i="49"/>
  <c r="H3" i="46"/>
  <c r="B26" i="46"/>
  <c r="J23" i="46"/>
  <c r="F21" i="46"/>
  <c r="J18" i="46"/>
  <c r="E14" i="46"/>
  <c r="I11" i="46"/>
  <c r="D7" i="46"/>
  <c r="H4" i="46"/>
  <c r="B20" i="49"/>
  <c r="C27" i="49"/>
  <c r="J25" i="46"/>
  <c r="E23" i="46"/>
  <c r="D21" i="46"/>
  <c r="I18" i="46"/>
  <c r="D16" i="46"/>
  <c r="C14" i="46"/>
  <c r="H11" i="46"/>
  <c r="C9" i="46"/>
  <c r="B7" i="46"/>
  <c r="G4" i="46"/>
  <c r="H6" i="49"/>
  <c r="I13" i="49"/>
  <c r="J20" i="49"/>
  <c r="D4" i="49"/>
  <c r="B6" i="49"/>
  <c r="H8" i="49"/>
  <c r="E11" i="49"/>
  <c r="C13" i="49"/>
  <c r="I15" i="49"/>
  <c r="G17" i="49"/>
  <c r="E19" i="49"/>
  <c r="C21" i="49"/>
  <c r="B22" i="49"/>
  <c r="I23" i="49"/>
  <c r="C28" i="12"/>
  <c r="E3" i="46"/>
  <c r="E27" i="46"/>
  <c r="F26" i="46"/>
  <c r="G25" i="46"/>
  <c r="H24" i="46"/>
  <c r="J22" i="46"/>
  <c r="D20" i="46"/>
  <c r="F18" i="46"/>
  <c r="H16" i="46"/>
  <c r="J14" i="46"/>
  <c r="B14" i="46"/>
  <c r="D12" i="46"/>
  <c r="F10" i="46"/>
  <c r="G9" i="46"/>
  <c r="I7" i="46"/>
  <c r="J6" i="46"/>
  <c r="C5" i="46"/>
  <c r="G3" i="49"/>
  <c r="D28" i="12"/>
  <c r="B3" i="46"/>
  <c r="D3" i="46"/>
  <c r="D27" i="46"/>
  <c r="E26" i="46"/>
  <c r="F25" i="46"/>
  <c r="G24" i="46"/>
  <c r="H23" i="46"/>
  <c r="I22" i="46"/>
  <c r="J21" i="46"/>
  <c r="B21" i="46"/>
  <c r="C20" i="46"/>
  <c r="D19" i="46"/>
  <c r="E18" i="46"/>
  <c r="F17" i="46"/>
  <c r="G16" i="46"/>
  <c r="H15" i="46"/>
  <c r="I14" i="46"/>
  <c r="J13" i="46"/>
  <c r="B13" i="46"/>
  <c r="C12" i="46"/>
  <c r="D11" i="46"/>
  <c r="E10" i="46"/>
  <c r="F9" i="46"/>
  <c r="G8" i="46"/>
  <c r="H7" i="46"/>
  <c r="I6" i="46"/>
  <c r="J5" i="46"/>
  <c r="B5" i="46"/>
  <c r="C4" i="46"/>
  <c r="F4" i="49"/>
  <c r="E5" i="49"/>
  <c r="D6" i="49"/>
  <c r="C7" i="49"/>
  <c r="B8" i="49"/>
  <c r="J8" i="49"/>
  <c r="I9" i="49"/>
  <c r="H10" i="49"/>
  <c r="G11" i="49"/>
  <c r="F12" i="49"/>
  <c r="E13" i="49"/>
  <c r="D14" i="49"/>
  <c r="C15" i="49"/>
  <c r="B16" i="49"/>
  <c r="J16" i="49"/>
  <c r="I17" i="49"/>
  <c r="H18" i="49"/>
  <c r="G19" i="49"/>
  <c r="F20" i="49"/>
  <c r="E21" i="49"/>
  <c r="D22" i="49"/>
  <c r="C23" i="49"/>
  <c r="B24" i="49"/>
  <c r="J24" i="49"/>
  <c r="I25" i="49"/>
  <c r="H26" i="49"/>
  <c r="G27" i="49"/>
  <c r="J3" i="46"/>
  <c r="J27" i="46"/>
  <c r="B27" i="46"/>
  <c r="C26" i="46"/>
  <c r="D25" i="46"/>
  <c r="E24" i="46"/>
  <c r="F23" i="46"/>
  <c r="G22" i="46"/>
  <c r="H21" i="46"/>
  <c r="I20" i="46"/>
  <c r="J19" i="46"/>
  <c r="B19" i="46"/>
  <c r="C18" i="46"/>
  <c r="D17" i="46"/>
  <c r="E16" i="46"/>
  <c r="F15" i="46"/>
  <c r="G14" i="46"/>
  <c r="H13" i="46"/>
  <c r="I12" i="46"/>
  <c r="J11" i="46"/>
  <c r="B11" i="46"/>
  <c r="C10" i="46"/>
  <c r="D9" i="46"/>
  <c r="E8" i="46"/>
  <c r="F7" i="46"/>
  <c r="G6" i="46"/>
  <c r="H5" i="46"/>
  <c r="I4" i="46"/>
  <c r="K28" i="46"/>
  <c r="J28" i="12"/>
  <c r="E28" i="12"/>
  <c r="F28" i="12"/>
  <c r="G28" i="12"/>
  <c r="H28" i="12"/>
  <c r="I28" i="12"/>
  <c r="B28" i="12"/>
  <c r="B4" i="14"/>
  <c r="B4" i="39" s="1"/>
  <c r="C4" i="14"/>
  <c r="D4" i="14"/>
  <c r="D4" i="45" s="1"/>
  <c r="E4" i="14"/>
  <c r="F4" i="14"/>
  <c r="F4" i="39" s="1"/>
  <c r="G4" i="14"/>
  <c r="G4" i="45" s="1"/>
  <c r="B5" i="14"/>
  <c r="B5" i="39" s="1"/>
  <c r="C5" i="14"/>
  <c r="C5" i="45" s="1"/>
  <c r="D5" i="14"/>
  <c r="D5" i="39" s="1"/>
  <c r="E5" i="14"/>
  <c r="F5" i="14"/>
  <c r="F5" i="45" s="1"/>
  <c r="G5" i="14"/>
  <c r="B6" i="14"/>
  <c r="B6" i="39" s="1"/>
  <c r="C6" i="14"/>
  <c r="C6" i="45" s="1"/>
  <c r="D6" i="14"/>
  <c r="D6" i="39" s="1"/>
  <c r="E6" i="14"/>
  <c r="E6" i="45" s="1"/>
  <c r="F6" i="14"/>
  <c r="F6" i="39" s="1"/>
  <c r="G6" i="14"/>
  <c r="B7" i="14"/>
  <c r="B7" i="45" s="1"/>
  <c r="C7" i="14"/>
  <c r="D7" i="14"/>
  <c r="D7" i="39" s="1"/>
  <c r="E7" i="14"/>
  <c r="E7" i="45" s="1"/>
  <c r="F7" i="14"/>
  <c r="F7" i="39" s="1"/>
  <c r="G7" i="14"/>
  <c r="G7" i="45" s="1"/>
  <c r="B8" i="14"/>
  <c r="B8" i="39" s="1"/>
  <c r="C8" i="14"/>
  <c r="D8" i="14"/>
  <c r="D8" i="45" s="1"/>
  <c r="E8" i="14"/>
  <c r="F8" i="14"/>
  <c r="F8" i="39" s="1"/>
  <c r="G8" i="14"/>
  <c r="G8" i="45" s="1"/>
  <c r="B9" i="14"/>
  <c r="B9" i="39" s="1"/>
  <c r="C9" i="14"/>
  <c r="C9" i="45" s="1"/>
  <c r="D9" i="14"/>
  <c r="D9" i="39" s="1"/>
  <c r="E9" i="14"/>
  <c r="F9" i="14"/>
  <c r="F9" i="45" s="1"/>
  <c r="G9" i="14"/>
  <c r="B10" i="14"/>
  <c r="B10" i="39" s="1"/>
  <c r="C10" i="14"/>
  <c r="C10" i="45" s="1"/>
  <c r="D10" i="14"/>
  <c r="D10" i="39" s="1"/>
  <c r="E10" i="14"/>
  <c r="E10" i="45" s="1"/>
  <c r="F10" i="14"/>
  <c r="F10" i="39" s="1"/>
  <c r="G10" i="14"/>
  <c r="B11" i="14"/>
  <c r="B11" i="45" s="1"/>
  <c r="C11" i="14"/>
  <c r="D11" i="14"/>
  <c r="D11" i="39" s="1"/>
  <c r="E11" i="14"/>
  <c r="E11" i="45" s="1"/>
  <c r="F11" i="14"/>
  <c r="F11" i="39" s="1"/>
  <c r="G11" i="14"/>
  <c r="G11" i="45" s="1"/>
  <c r="B12" i="14"/>
  <c r="B12" i="39" s="1"/>
  <c r="C12" i="14"/>
  <c r="D12" i="14"/>
  <c r="D12" i="45" s="1"/>
  <c r="E12" i="14"/>
  <c r="F12" i="14"/>
  <c r="F12" i="39" s="1"/>
  <c r="G12" i="14"/>
  <c r="G12" i="45" s="1"/>
  <c r="B13" i="14"/>
  <c r="B13" i="39" s="1"/>
  <c r="C13" i="14"/>
  <c r="C13" i="45" s="1"/>
  <c r="D13" i="14"/>
  <c r="D13" i="39" s="1"/>
  <c r="E13" i="14"/>
  <c r="F13" i="14"/>
  <c r="F13" i="45" s="1"/>
  <c r="G13" i="14"/>
  <c r="B14" i="14"/>
  <c r="B14" i="39" s="1"/>
  <c r="C14" i="14"/>
  <c r="C14" i="45" s="1"/>
  <c r="D14" i="14"/>
  <c r="D14" i="39" s="1"/>
  <c r="E14" i="14"/>
  <c r="E14" i="45" s="1"/>
  <c r="F14" i="14"/>
  <c r="F14" i="39" s="1"/>
  <c r="G14" i="14"/>
  <c r="B15" i="14"/>
  <c r="B15" i="45" s="1"/>
  <c r="C15" i="14"/>
  <c r="D15" i="14"/>
  <c r="D15" i="39" s="1"/>
  <c r="E15" i="14"/>
  <c r="E15" i="45" s="1"/>
  <c r="F15" i="14"/>
  <c r="F15" i="39" s="1"/>
  <c r="G15" i="14"/>
  <c r="G15" i="45" s="1"/>
  <c r="B16" i="14"/>
  <c r="B16" i="39" s="1"/>
  <c r="C16" i="14"/>
  <c r="D16" i="14"/>
  <c r="D16" i="45" s="1"/>
  <c r="E16" i="14"/>
  <c r="F16" i="14"/>
  <c r="F16" i="39" s="1"/>
  <c r="G16" i="14"/>
  <c r="G16" i="45" s="1"/>
  <c r="B17" i="14"/>
  <c r="B17" i="39" s="1"/>
  <c r="C17" i="14"/>
  <c r="C17" i="45" s="1"/>
  <c r="D17" i="14"/>
  <c r="D17" i="39" s="1"/>
  <c r="E17" i="14"/>
  <c r="F17" i="14"/>
  <c r="F17" i="45" s="1"/>
  <c r="G17" i="14"/>
  <c r="B18" i="14"/>
  <c r="B18" i="39" s="1"/>
  <c r="C18" i="14"/>
  <c r="C18" i="45" s="1"/>
  <c r="D18" i="14"/>
  <c r="D18" i="39" s="1"/>
  <c r="E18" i="14"/>
  <c r="E18" i="45" s="1"/>
  <c r="F18" i="14"/>
  <c r="F18" i="39" s="1"/>
  <c r="G18" i="14"/>
  <c r="B19" i="14"/>
  <c r="B19" i="45" s="1"/>
  <c r="C19" i="14"/>
  <c r="D19" i="14"/>
  <c r="D19" i="39" s="1"/>
  <c r="E19" i="14"/>
  <c r="E19" i="45" s="1"/>
  <c r="F19" i="14"/>
  <c r="F19" i="39" s="1"/>
  <c r="G19" i="14"/>
  <c r="G19" i="45" s="1"/>
  <c r="B20" i="14"/>
  <c r="B20" i="39" s="1"/>
  <c r="C20" i="14"/>
  <c r="D20" i="14"/>
  <c r="D20" i="45" s="1"/>
  <c r="E20" i="14"/>
  <c r="F20" i="14"/>
  <c r="F20" i="39" s="1"/>
  <c r="G20" i="14"/>
  <c r="G20" i="45" s="1"/>
  <c r="B21" i="14"/>
  <c r="B21" i="39" s="1"/>
  <c r="C21" i="14"/>
  <c r="C21" i="45" s="1"/>
  <c r="D21" i="14"/>
  <c r="D21" i="39" s="1"/>
  <c r="E21" i="14"/>
  <c r="F21" i="14"/>
  <c r="F21" i="45" s="1"/>
  <c r="G21" i="14"/>
  <c r="B22" i="14"/>
  <c r="B22" i="39" s="1"/>
  <c r="C22" i="14"/>
  <c r="C22" i="45" s="1"/>
  <c r="D22" i="14"/>
  <c r="D22" i="39" s="1"/>
  <c r="E22" i="14"/>
  <c r="E22" i="45" s="1"/>
  <c r="F22" i="14"/>
  <c r="F22" i="39" s="1"/>
  <c r="G22" i="14"/>
  <c r="B23" i="14"/>
  <c r="B23" i="45" s="1"/>
  <c r="C23" i="14"/>
  <c r="D23" i="14"/>
  <c r="D23" i="39" s="1"/>
  <c r="E23" i="14"/>
  <c r="E23" i="45" s="1"/>
  <c r="F23" i="14"/>
  <c r="F23" i="39" s="1"/>
  <c r="G23" i="14"/>
  <c r="G23" i="45" s="1"/>
  <c r="B24" i="14"/>
  <c r="B24" i="39" s="1"/>
  <c r="C24" i="14"/>
  <c r="D24" i="14"/>
  <c r="D24" i="45" s="1"/>
  <c r="E24" i="14"/>
  <c r="F24" i="14"/>
  <c r="F24" i="39" s="1"/>
  <c r="G24" i="14"/>
  <c r="G24" i="45" s="1"/>
  <c r="B25" i="14"/>
  <c r="B25" i="39" s="1"/>
  <c r="C25" i="14"/>
  <c r="C25" i="45" s="1"/>
  <c r="D25" i="14"/>
  <c r="D25" i="39" s="1"/>
  <c r="E25" i="14"/>
  <c r="F25" i="14"/>
  <c r="F25" i="45" s="1"/>
  <c r="G25" i="14"/>
  <c r="B26" i="14"/>
  <c r="B26" i="39" s="1"/>
  <c r="C26" i="14"/>
  <c r="C26" i="45" s="1"/>
  <c r="D26" i="14"/>
  <c r="D26" i="39" s="1"/>
  <c r="E26" i="14"/>
  <c r="E26" i="45" s="1"/>
  <c r="F26" i="14"/>
  <c r="F26" i="39" s="1"/>
  <c r="G26" i="14"/>
  <c r="B27" i="14"/>
  <c r="B27" i="45" s="1"/>
  <c r="C27" i="14"/>
  <c r="D27" i="14"/>
  <c r="D27" i="45" s="1"/>
  <c r="E27" i="14"/>
  <c r="E27" i="45" s="1"/>
  <c r="F27" i="14"/>
  <c r="F27" i="39" s="1"/>
  <c r="G27" i="14"/>
  <c r="G27" i="45" s="1"/>
  <c r="C3" i="14"/>
  <c r="D3" i="14"/>
  <c r="D3" i="39" s="1"/>
  <c r="E3" i="14"/>
  <c r="E3" i="45" s="1"/>
  <c r="F3" i="14"/>
  <c r="F3" i="45" s="1"/>
  <c r="G3" i="14"/>
  <c r="B3" i="14"/>
  <c r="B3" i="45" s="1"/>
  <c r="R28" i="44"/>
  <c r="Q28" i="44"/>
  <c r="P28" i="44"/>
  <c r="O28" i="44"/>
  <c r="N28" i="44"/>
  <c r="M28" i="44"/>
  <c r="L28" i="44"/>
  <c r="K28" i="44"/>
  <c r="J28" i="44"/>
  <c r="G28" i="44"/>
  <c r="F28" i="44"/>
  <c r="E28" i="44"/>
  <c r="D28" i="44"/>
  <c r="C28" i="44"/>
  <c r="B28" i="44"/>
  <c r="R27" i="44"/>
  <c r="Q27" i="44"/>
  <c r="P27" i="44"/>
  <c r="O27" i="44"/>
  <c r="N27" i="44"/>
  <c r="M27" i="44"/>
  <c r="L27" i="44"/>
  <c r="K27" i="44"/>
  <c r="J27" i="44"/>
  <c r="I27" i="44"/>
  <c r="H27" i="44"/>
  <c r="G27" i="44"/>
  <c r="F27" i="44"/>
  <c r="E27" i="44"/>
  <c r="D27" i="44"/>
  <c r="C27" i="44"/>
  <c r="B27" i="44"/>
  <c r="R26" i="44"/>
  <c r="Q26" i="44"/>
  <c r="P26" i="44"/>
  <c r="O26" i="44"/>
  <c r="N26" i="44"/>
  <c r="M26" i="44"/>
  <c r="L26" i="44"/>
  <c r="K26" i="44"/>
  <c r="J26" i="44"/>
  <c r="I26" i="44"/>
  <c r="H26" i="44"/>
  <c r="G26" i="44"/>
  <c r="F26" i="44"/>
  <c r="E26" i="44"/>
  <c r="D26" i="44"/>
  <c r="C26" i="44"/>
  <c r="B26" i="44"/>
  <c r="R25" i="44"/>
  <c r="Q25" i="44"/>
  <c r="P25" i="44"/>
  <c r="O25" i="44"/>
  <c r="N25" i="44"/>
  <c r="M25" i="44"/>
  <c r="L25" i="44"/>
  <c r="K25" i="44"/>
  <c r="J25" i="44"/>
  <c r="I25" i="44"/>
  <c r="H25" i="44"/>
  <c r="G25" i="44"/>
  <c r="F25" i="44"/>
  <c r="E25" i="44"/>
  <c r="D25" i="44"/>
  <c r="C25" i="44"/>
  <c r="B25" i="44"/>
  <c r="R24" i="44"/>
  <c r="Q24" i="44"/>
  <c r="P24" i="44"/>
  <c r="O24" i="44"/>
  <c r="N24" i="44"/>
  <c r="M24" i="44"/>
  <c r="L24" i="44"/>
  <c r="K24" i="44"/>
  <c r="J24" i="44"/>
  <c r="I24" i="44"/>
  <c r="H24" i="44"/>
  <c r="G24" i="44"/>
  <c r="F24" i="44"/>
  <c r="E24" i="44"/>
  <c r="D24" i="44"/>
  <c r="C24" i="44"/>
  <c r="B24" i="44"/>
  <c r="R23" i="44"/>
  <c r="Q23" i="44"/>
  <c r="P23" i="44"/>
  <c r="O23" i="44"/>
  <c r="N23" i="44"/>
  <c r="M23" i="44"/>
  <c r="L23" i="44"/>
  <c r="K23" i="44"/>
  <c r="J23" i="44"/>
  <c r="I23" i="44"/>
  <c r="H23" i="44"/>
  <c r="G23" i="44"/>
  <c r="F23" i="44"/>
  <c r="E23" i="44"/>
  <c r="D23" i="44"/>
  <c r="C23" i="44"/>
  <c r="B23" i="44"/>
  <c r="R22" i="44"/>
  <c r="Q22" i="44"/>
  <c r="P22" i="44"/>
  <c r="O22" i="44"/>
  <c r="N22" i="44"/>
  <c r="M22" i="44"/>
  <c r="L22" i="44"/>
  <c r="K22" i="44"/>
  <c r="J22" i="44"/>
  <c r="I22" i="44"/>
  <c r="H22" i="44"/>
  <c r="G22" i="44"/>
  <c r="F22" i="44"/>
  <c r="E22" i="44"/>
  <c r="D22" i="44"/>
  <c r="C22" i="44"/>
  <c r="B22" i="44"/>
  <c r="R21" i="44"/>
  <c r="Q21" i="44"/>
  <c r="P21" i="44"/>
  <c r="O21" i="44"/>
  <c r="N21" i="44"/>
  <c r="M21" i="44"/>
  <c r="L21" i="44"/>
  <c r="K21" i="44"/>
  <c r="J21" i="44"/>
  <c r="I21" i="44"/>
  <c r="H21" i="44"/>
  <c r="G21" i="44"/>
  <c r="F21" i="44"/>
  <c r="E21" i="44"/>
  <c r="D21" i="44"/>
  <c r="C21" i="44"/>
  <c r="B21" i="44"/>
  <c r="R20" i="44"/>
  <c r="Q20" i="44"/>
  <c r="P20" i="44"/>
  <c r="O20" i="44"/>
  <c r="N20" i="44"/>
  <c r="M20" i="44"/>
  <c r="L20" i="44"/>
  <c r="K20" i="44"/>
  <c r="J20" i="44"/>
  <c r="I20" i="44"/>
  <c r="G20" i="44"/>
  <c r="F20" i="44"/>
  <c r="E20" i="44"/>
  <c r="D20" i="44"/>
  <c r="C20" i="44"/>
  <c r="B20" i="44"/>
  <c r="R19" i="44"/>
  <c r="Q19" i="44"/>
  <c r="P19" i="44"/>
  <c r="O19" i="44"/>
  <c r="N19" i="44"/>
  <c r="M19" i="44"/>
  <c r="L19" i="44"/>
  <c r="K19" i="44"/>
  <c r="J19" i="44"/>
  <c r="I19" i="44"/>
  <c r="H19" i="44"/>
  <c r="G19" i="44"/>
  <c r="F19" i="44"/>
  <c r="E19" i="44"/>
  <c r="D19" i="44"/>
  <c r="C19" i="44"/>
  <c r="B19" i="44"/>
  <c r="R18" i="44"/>
  <c r="Q18" i="44"/>
  <c r="P18" i="44"/>
  <c r="O18" i="44"/>
  <c r="N18" i="44"/>
  <c r="M18" i="44"/>
  <c r="L18" i="44"/>
  <c r="K18" i="44"/>
  <c r="J18" i="44"/>
  <c r="I18" i="44"/>
  <c r="H18" i="44"/>
  <c r="G18" i="44"/>
  <c r="F18" i="44"/>
  <c r="E18" i="44"/>
  <c r="D18" i="44"/>
  <c r="C18" i="44"/>
  <c r="B18" i="44"/>
  <c r="R17" i="44"/>
  <c r="Q17" i="44"/>
  <c r="P17" i="44"/>
  <c r="O17" i="44"/>
  <c r="N17" i="44"/>
  <c r="M17" i="44"/>
  <c r="L17" i="44"/>
  <c r="K17" i="44"/>
  <c r="J17" i="44"/>
  <c r="I17" i="44"/>
  <c r="H17" i="44"/>
  <c r="G17" i="44"/>
  <c r="F17" i="44"/>
  <c r="E17" i="44"/>
  <c r="D17" i="44"/>
  <c r="C17" i="44"/>
  <c r="B17" i="44"/>
  <c r="R16" i="44"/>
  <c r="Q16" i="44"/>
  <c r="P16" i="44"/>
  <c r="O16" i="44"/>
  <c r="N16" i="44"/>
  <c r="M16" i="44"/>
  <c r="L16" i="44"/>
  <c r="K16" i="44"/>
  <c r="J16" i="44"/>
  <c r="I16" i="44"/>
  <c r="H16" i="44"/>
  <c r="G16" i="44"/>
  <c r="F16" i="44"/>
  <c r="E16" i="44"/>
  <c r="D16" i="44"/>
  <c r="C16" i="44"/>
  <c r="B16" i="44"/>
  <c r="R15" i="44"/>
  <c r="Q15" i="44"/>
  <c r="P15" i="44"/>
  <c r="O15" i="44"/>
  <c r="N15" i="44"/>
  <c r="M15" i="44"/>
  <c r="L15" i="44"/>
  <c r="K15" i="44"/>
  <c r="J15" i="44"/>
  <c r="I15" i="44"/>
  <c r="H15" i="44"/>
  <c r="G15" i="44"/>
  <c r="F15" i="44"/>
  <c r="E15" i="44"/>
  <c r="D15" i="44"/>
  <c r="C15" i="44"/>
  <c r="B15" i="44"/>
  <c r="R14" i="44"/>
  <c r="Q14" i="44"/>
  <c r="P14" i="44"/>
  <c r="O14" i="44"/>
  <c r="N14" i="44"/>
  <c r="M14" i="44"/>
  <c r="L14" i="44"/>
  <c r="K14" i="44"/>
  <c r="J14" i="44"/>
  <c r="I14" i="44"/>
  <c r="H14" i="44"/>
  <c r="G14" i="44"/>
  <c r="F14" i="44"/>
  <c r="E14" i="44"/>
  <c r="D14" i="44"/>
  <c r="C14" i="44"/>
  <c r="B14" i="44"/>
  <c r="R13" i="44"/>
  <c r="Q13" i="44"/>
  <c r="P13" i="44"/>
  <c r="O13" i="44"/>
  <c r="N13" i="44"/>
  <c r="M13" i="44"/>
  <c r="L13" i="44"/>
  <c r="K13" i="44"/>
  <c r="J13" i="44"/>
  <c r="I13" i="44"/>
  <c r="H13" i="44"/>
  <c r="G13" i="44"/>
  <c r="F13" i="44"/>
  <c r="E13" i="44"/>
  <c r="D13" i="44"/>
  <c r="C13" i="44"/>
  <c r="B13" i="44"/>
  <c r="R12" i="44"/>
  <c r="Q12" i="44"/>
  <c r="P12" i="44"/>
  <c r="O12" i="44"/>
  <c r="N12" i="44"/>
  <c r="M12" i="44"/>
  <c r="L12" i="44"/>
  <c r="K12" i="44"/>
  <c r="J12" i="44"/>
  <c r="I12" i="44"/>
  <c r="H12" i="44"/>
  <c r="G12" i="44"/>
  <c r="F12" i="44"/>
  <c r="E12" i="44"/>
  <c r="D12" i="44"/>
  <c r="C12" i="44"/>
  <c r="B12" i="44"/>
  <c r="R11" i="44"/>
  <c r="Q11" i="44"/>
  <c r="P11" i="44"/>
  <c r="O11" i="44"/>
  <c r="N11" i="44"/>
  <c r="M11" i="44"/>
  <c r="L11" i="44"/>
  <c r="K11" i="44"/>
  <c r="J11" i="44"/>
  <c r="I11" i="44"/>
  <c r="H11" i="44"/>
  <c r="G11" i="44"/>
  <c r="F11" i="44"/>
  <c r="E11" i="44"/>
  <c r="D11" i="44"/>
  <c r="C11" i="44"/>
  <c r="B11" i="44"/>
  <c r="R10" i="44"/>
  <c r="Q10" i="44"/>
  <c r="P10" i="44"/>
  <c r="O10" i="44"/>
  <c r="N10" i="44"/>
  <c r="M10" i="44"/>
  <c r="L10" i="44"/>
  <c r="K10" i="44"/>
  <c r="J10" i="44"/>
  <c r="H10" i="44"/>
  <c r="G10" i="44"/>
  <c r="F10" i="44"/>
  <c r="E10" i="44"/>
  <c r="D10" i="44"/>
  <c r="C10" i="44"/>
  <c r="B10" i="44"/>
  <c r="R9" i="44"/>
  <c r="Q9" i="44"/>
  <c r="P9" i="44"/>
  <c r="O9" i="44"/>
  <c r="N9" i="44"/>
  <c r="M9" i="44"/>
  <c r="L9" i="44"/>
  <c r="K9" i="44"/>
  <c r="J9" i="44"/>
  <c r="I9" i="44"/>
  <c r="H9" i="44"/>
  <c r="G9" i="44"/>
  <c r="F9" i="44"/>
  <c r="E9" i="44"/>
  <c r="D9" i="44"/>
  <c r="C9" i="44"/>
  <c r="B9" i="44"/>
  <c r="R8" i="44"/>
  <c r="Q8" i="44"/>
  <c r="P8" i="44"/>
  <c r="O8" i="44"/>
  <c r="N8" i="44"/>
  <c r="M8" i="44"/>
  <c r="L8" i="44"/>
  <c r="K8" i="44"/>
  <c r="J8" i="44"/>
  <c r="I8" i="44"/>
  <c r="H8" i="44"/>
  <c r="G8" i="44"/>
  <c r="F8" i="44"/>
  <c r="E8" i="44"/>
  <c r="D8" i="44"/>
  <c r="C8" i="44"/>
  <c r="B8" i="44"/>
  <c r="R7" i="44"/>
  <c r="Q7" i="44"/>
  <c r="P7" i="44"/>
  <c r="O7" i="44"/>
  <c r="N7" i="44"/>
  <c r="M7" i="44"/>
  <c r="L7" i="44"/>
  <c r="K7" i="44"/>
  <c r="J7" i="44"/>
  <c r="I7" i="44"/>
  <c r="H7" i="44"/>
  <c r="G7" i="44"/>
  <c r="F7" i="44"/>
  <c r="E7" i="44"/>
  <c r="D7" i="44"/>
  <c r="C7" i="44"/>
  <c r="B7" i="44"/>
  <c r="R6" i="44"/>
  <c r="Q6" i="44"/>
  <c r="P6" i="44"/>
  <c r="O6" i="44"/>
  <c r="N6" i="44"/>
  <c r="M6" i="44"/>
  <c r="L6" i="44"/>
  <c r="K6" i="44"/>
  <c r="J6" i="44"/>
  <c r="I6" i="44"/>
  <c r="H6" i="44"/>
  <c r="G6" i="44"/>
  <c r="F6" i="44"/>
  <c r="E6" i="44"/>
  <c r="D6" i="44"/>
  <c r="C6" i="44"/>
  <c r="B6" i="44"/>
  <c r="R5" i="44"/>
  <c r="Q5" i="44"/>
  <c r="P5" i="44"/>
  <c r="O5" i="44"/>
  <c r="N5" i="44"/>
  <c r="M5" i="44"/>
  <c r="L5" i="44"/>
  <c r="K5" i="44"/>
  <c r="J5" i="44"/>
  <c r="I5" i="44"/>
  <c r="H5" i="44"/>
  <c r="G5" i="44"/>
  <c r="F5" i="44"/>
  <c r="E5" i="44"/>
  <c r="D5" i="44"/>
  <c r="C5" i="44"/>
  <c r="B5" i="44"/>
  <c r="R4" i="44"/>
  <c r="Q4" i="44"/>
  <c r="P4" i="44"/>
  <c r="O4" i="44"/>
  <c r="N4" i="44"/>
  <c r="M4" i="44"/>
  <c r="L4" i="44"/>
  <c r="K4" i="44"/>
  <c r="J4" i="44"/>
  <c r="I4" i="44"/>
  <c r="H4" i="44"/>
  <c r="G4" i="44"/>
  <c r="F4" i="44"/>
  <c r="E4" i="44"/>
  <c r="D4" i="44"/>
  <c r="C4" i="44"/>
  <c r="B4" i="44"/>
  <c r="R3" i="44"/>
  <c r="Q3" i="44"/>
  <c r="P3" i="44"/>
  <c r="O3" i="44"/>
  <c r="N3" i="44"/>
  <c r="M3" i="44"/>
  <c r="L3" i="44"/>
  <c r="K3" i="44"/>
  <c r="J3" i="44"/>
  <c r="I3" i="44"/>
  <c r="H3" i="44"/>
  <c r="G3" i="44"/>
  <c r="F3" i="44"/>
  <c r="E3" i="44"/>
  <c r="D3" i="44"/>
  <c r="C3" i="44"/>
  <c r="B3" i="44"/>
  <c r="C28" i="42"/>
  <c r="D28" i="42"/>
  <c r="E28" i="42"/>
  <c r="F28" i="42"/>
  <c r="G28" i="42"/>
  <c r="J28" i="42"/>
  <c r="K28" i="42"/>
  <c r="L28" i="42"/>
  <c r="M28" i="42"/>
  <c r="N28" i="42"/>
  <c r="O28" i="42"/>
  <c r="P28" i="42"/>
  <c r="Q28" i="42"/>
  <c r="R28" i="42"/>
  <c r="B28" i="42"/>
  <c r="B4" i="42"/>
  <c r="C4" i="42"/>
  <c r="D4" i="42"/>
  <c r="E4" i="42"/>
  <c r="F4" i="42"/>
  <c r="G4" i="42"/>
  <c r="H4" i="42"/>
  <c r="I4" i="42"/>
  <c r="J4" i="42"/>
  <c r="K4" i="42"/>
  <c r="L4" i="42"/>
  <c r="M4" i="42"/>
  <c r="N4" i="42"/>
  <c r="O4" i="42"/>
  <c r="P4" i="42"/>
  <c r="Q4" i="42"/>
  <c r="R4" i="42"/>
  <c r="B5" i="42"/>
  <c r="C5" i="42"/>
  <c r="D5" i="42"/>
  <c r="E5" i="42"/>
  <c r="F5" i="42"/>
  <c r="G5" i="42"/>
  <c r="H5" i="42"/>
  <c r="I5" i="42"/>
  <c r="J5" i="42"/>
  <c r="K5" i="42"/>
  <c r="L5" i="42"/>
  <c r="M5" i="42"/>
  <c r="N5" i="42"/>
  <c r="O5" i="42"/>
  <c r="P5" i="42"/>
  <c r="Q5" i="42"/>
  <c r="R5" i="42"/>
  <c r="B6" i="42"/>
  <c r="C6" i="42"/>
  <c r="D6" i="42"/>
  <c r="E6" i="42"/>
  <c r="F6" i="42"/>
  <c r="G6" i="42"/>
  <c r="H6" i="42"/>
  <c r="I6" i="42"/>
  <c r="J6" i="42"/>
  <c r="K6" i="42"/>
  <c r="L6" i="42"/>
  <c r="M6" i="42"/>
  <c r="N6" i="42"/>
  <c r="O6" i="42"/>
  <c r="P6" i="42"/>
  <c r="Q6" i="42"/>
  <c r="R6" i="42"/>
  <c r="B7" i="42"/>
  <c r="C7" i="42"/>
  <c r="D7" i="42"/>
  <c r="E7" i="42"/>
  <c r="F7" i="42"/>
  <c r="G7" i="42"/>
  <c r="H7" i="42"/>
  <c r="I7" i="42"/>
  <c r="J7" i="42"/>
  <c r="K7" i="42"/>
  <c r="L7" i="42"/>
  <c r="M7" i="42"/>
  <c r="N7" i="42"/>
  <c r="O7" i="42"/>
  <c r="P7" i="42"/>
  <c r="Q7" i="42"/>
  <c r="R7" i="42"/>
  <c r="B8" i="42"/>
  <c r="C8" i="42"/>
  <c r="D8" i="42"/>
  <c r="E8" i="42"/>
  <c r="F8" i="42"/>
  <c r="G8" i="42"/>
  <c r="H8" i="42"/>
  <c r="I8" i="42"/>
  <c r="J8" i="42"/>
  <c r="K8" i="42"/>
  <c r="L8" i="42"/>
  <c r="M8" i="42"/>
  <c r="N8" i="42"/>
  <c r="O8" i="42"/>
  <c r="P8" i="42"/>
  <c r="Q8" i="42"/>
  <c r="R8" i="42"/>
  <c r="B9" i="42"/>
  <c r="C9" i="42"/>
  <c r="D9" i="42"/>
  <c r="E9" i="42"/>
  <c r="F9" i="42"/>
  <c r="G9" i="42"/>
  <c r="H9" i="42"/>
  <c r="I9" i="42"/>
  <c r="J9" i="42"/>
  <c r="K9" i="42"/>
  <c r="L9" i="42"/>
  <c r="M9" i="42"/>
  <c r="N9" i="42"/>
  <c r="O9" i="42"/>
  <c r="P9" i="42"/>
  <c r="Q9" i="42"/>
  <c r="R9" i="42"/>
  <c r="B10" i="42"/>
  <c r="C10" i="42"/>
  <c r="D10" i="42"/>
  <c r="E10" i="42"/>
  <c r="F10" i="42"/>
  <c r="G10" i="42"/>
  <c r="H10" i="42"/>
  <c r="J10" i="42"/>
  <c r="K10" i="42"/>
  <c r="L10" i="42"/>
  <c r="M10" i="42"/>
  <c r="N10" i="42"/>
  <c r="O10" i="42"/>
  <c r="P10" i="42"/>
  <c r="Q10" i="42"/>
  <c r="R10" i="42"/>
  <c r="B11" i="42"/>
  <c r="C11" i="42"/>
  <c r="D11" i="42"/>
  <c r="E11" i="42"/>
  <c r="F11" i="42"/>
  <c r="G11" i="42"/>
  <c r="H11" i="42"/>
  <c r="I11" i="42"/>
  <c r="J11" i="42"/>
  <c r="K11" i="42"/>
  <c r="L11" i="42"/>
  <c r="M11" i="42"/>
  <c r="N11" i="42"/>
  <c r="O11" i="42"/>
  <c r="P11" i="42"/>
  <c r="Q11" i="42"/>
  <c r="R11" i="42"/>
  <c r="B12" i="42"/>
  <c r="C12" i="42"/>
  <c r="D12" i="42"/>
  <c r="E12" i="42"/>
  <c r="F12" i="42"/>
  <c r="G12" i="42"/>
  <c r="H12" i="42"/>
  <c r="I12" i="42"/>
  <c r="J12" i="42"/>
  <c r="K12" i="42"/>
  <c r="L12" i="42"/>
  <c r="M12" i="42"/>
  <c r="N12" i="42"/>
  <c r="O12" i="42"/>
  <c r="P12" i="42"/>
  <c r="Q12" i="42"/>
  <c r="R12" i="42"/>
  <c r="B13" i="42"/>
  <c r="C13" i="42"/>
  <c r="D13" i="42"/>
  <c r="E13" i="42"/>
  <c r="F13" i="42"/>
  <c r="G13" i="42"/>
  <c r="H13" i="42"/>
  <c r="I13" i="42"/>
  <c r="J13" i="42"/>
  <c r="K13" i="42"/>
  <c r="L13" i="42"/>
  <c r="M13" i="42"/>
  <c r="N13" i="42"/>
  <c r="O13" i="42"/>
  <c r="P13" i="42"/>
  <c r="Q13" i="42"/>
  <c r="R13" i="42"/>
  <c r="B14" i="42"/>
  <c r="C14" i="42"/>
  <c r="D14" i="42"/>
  <c r="E14" i="42"/>
  <c r="F14" i="42"/>
  <c r="G14" i="42"/>
  <c r="H14" i="42"/>
  <c r="I14" i="42"/>
  <c r="J14" i="42"/>
  <c r="K14" i="42"/>
  <c r="L14" i="42"/>
  <c r="M14" i="42"/>
  <c r="N14" i="42"/>
  <c r="O14" i="42"/>
  <c r="P14" i="42"/>
  <c r="Q14" i="42"/>
  <c r="R14" i="42"/>
  <c r="B15" i="42"/>
  <c r="C15" i="42"/>
  <c r="D15" i="42"/>
  <c r="E15" i="42"/>
  <c r="F15" i="42"/>
  <c r="G15" i="42"/>
  <c r="H15" i="42"/>
  <c r="I15" i="42"/>
  <c r="J15" i="42"/>
  <c r="K15" i="42"/>
  <c r="L15" i="42"/>
  <c r="M15" i="42"/>
  <c r="N15" i="42"/>
  <c r="O15" i="42"/>
  <c r="P15" i="42"/>
  <c r="Q15" i="42"/>
  <c r="R15" i="42"/>
  <c r="B16" i="42"/>
  <c r="C16" i="42"/>
  <c r="D16" i="42"/>
  <c r="E16" i="42"/>
  <c r="F16" i="42"/>
  <c r="G16" i="42"/>
  <c r="H16" i="42"/>
  <c r="I16" i="42"/>
  <c r="J16" i="42"/>
  <c r="K16" i="42"/>
  <c r="L16" i="42"/>
  <c r="M16" i="42"/>
  <c r="N16" i="42"/>
  <c r="O16" i="42"/>
  <c r="P16" i="42"/>
  <c r="Q16" i="42"/>
  <c r="R16" i="42"/>
  <c r="B17" i="42"/>
  <c r="C17" i="42"/>
  <c r="D17" i="42"/>
  <c r="E17" i="42"/>
  <c r="F17" i="42"/>
  <c r="G17" i="42"/>
  <c r="H17" i="42"/>
  <c r="I17" i="42"/>
  <c r="J17" i="42"/>
  <c r="K17" i="42"/>
  <c r="L17" i="42"/>
  <c r="M17" i="42"/>
  <c r="N17" i="42"/>
  <c r="O17" i="42"/>
  <c r="P17" i="42"/>
  <c r="Q17" i="42"/>
  <c r="R17" i="42"/>
  <c r="B18" i="42"/>
  <c r="C18" i="42"/>
  <c r="D18" i="42"/>
  <c r="E18" i="42"/>
  <c r="F18" i="42"/>
  <c r="G18" i="42"/>
  <c r="H18" i="42"/>
  <c r="I18" i="42"/>
  <c r="J18" i="42"/>
  <c r="K18" i="42"/>
  <c r="L18" i="42"/>
  <c r="M18" i="42"/>
  <c r="N18" i="42"/>
  <c r="O18" i="42"/>
  <c r="P18" i="42"/>
  <c r="Q18" i="42"/>
  <c r="R18" i="42"/>
  <c r="B19" i="42"/>
  <c r="C19" i="42"/>
  <c r="D19" i="42"/>
  <c r="E19" i="42"/>
  <c r="F19" i="42"/>
  <c r="G19" i="42"/>
  <c r="H19" i="42"/>
  <c r="I19" i="42"/>
  <c r="J19" i="42"/>
  <c r="K19" i="42"/>
  <c r="L19" i="42"/>
  <c r="M19" i="42"/>
  <c r="N19" i="42"/>
  <c r="O19" i="42"/>
  <c r="P19" i="42"/>
  <c r="Q19" i="42"/>
  <c r="R19" i="42"/>
  <c r="B20" i="42"/>
  <c r="C20" i="42"/>
  <c r="D20" i="42"/>
  <c r="E20" i="42"/>
  <c r="F20" i="42"/>
  <c r="G20" i="42"/>
  <c r="I20" i="42"/>
  <c r="J20" i="42"/>
  <c r="K20" i="42"/>
  <c r="L20" i="42"/>
  <c r="M20" i="42"/>
  <c r="N20" i="42"/>
  <c r="O20" i="42"/>
  <c r="P20" i="42"/>
  <c r="Q20" i="42"/>
  <c r="R20" i="42"/>
  <c r="B21" i="42"/>
  <c r="C21" i="42"/>
  <c r="D21" i="42"/>
  <c r="E21" i="42"/>
  <c r="F21" i="42"/>
  <c r="G21" i="42"/>
  <c r="H21" i="42"/>
  <c r="I21" i="42"/>
  <c r="J21" i="42"/>
  <c r="K21" i="42"/>
  <c r="L21" i="42"/>
  <c r="M21" i="42"/>
  <c r="N21" i="42"/>
  <c r="O21" i="42"/>
  <c r="P21" i="42"/>
  <c r="Q21" i="42"/>
  <c r="R21" i="42"/>
  <c r="B22" i="42"/>
  <c r="C22" i="42"/>
  <c r="D22" i="42"/>
  <c r="E22" i="42"/>
  <c r="F22" i="42"/>
  <c r="G22" i="42"/>
  <c r="H22" i="42"/>
  <c r="I22" i="42"/>
  <c r="J22" i="42"/>
  <c r="K22" i="42"/>
  <c r="L22" i="42"/>
  <c r="M22" i="42"/>
  <c r="N22" i="42"/>
  <c r="O22" i="42"/>
  <c r="P22" i="42"/>
  <c r="Q22" i="42"/>
  <c r="R22" i="42"/>
  <c r="B23" i="42"/>
  <c r="C23" i="42"/>
  <c r="D23" i="42"/>
  <c r="E23" i="42"/>
  <c r="F23" i="42"/>
  <c r="G23" i="42"/>
  <c r="H23" i="42"/>
  <c r="I23" i="42"/>
  <c r="J23" i="42"/>
  <c r="K23" i="42"/>
  <c r="L23" i="42"/>
  <c r="M23" i="42"/>
  <c r="N23" i="42"/>
  <c r="O23" i="42"/>
  <c r="P23" i="42"/>
  <c r="Q23" i="42"/>
  <c r="R23" i="42"/>
  <c r="B24" i="42"/>
  <c r="C24" i="42"/>
  <c r="D24" i="42"/>
  <c r="E24" i="42"/>
  <c r="F24" i="42"/>
  <c r="G24" i="42"/>
  <c r="H24" i="42"/>
  <c r="I24" i="42"/>
  <c r="J24" i="42"/>
  <c r="K24" i="42"/>
  <c r="L24" i="42"/>
  <c r="M24" i="42"/>
  <c r="N24" i="42"/>
  <c r="O24" i="42"/>
  <c r="P24" i="42"/>
  <c r="Q24" i="42"/>
  <c r="R24" i="42"/>
  <c r="B25" i="42"/>
  <c r="C25" i="42"/>
  <c r="D25" i="42"/>
  <c r="E25" i="42"/>
  <c r="F25" i="42"/>
  <c r="G25" i="42"/>
  <c r="H25" i="42"/>
  <c r="I25" i="42"/>
  <c r="J25" i="42"/>
  <c r="K25" i="42"/>
  <c r="L25" i="42"/>
  <c r="M25" i="42"/>
  <c r="N25" i="42"/>
  <c r="O25" i="42"/>
  <c r="P25" i="42"/>
  <c r="Q25" i="42"/>
  <c r="R25" i="42"/>
  <c r="B26" i="42"/>
  <c r="C26" i="42"/>
  <c r="D26" i="42"/>
  <c r="E26" i="42"/>
  <c r="F26" i="42"/>
  <c r="G26" i="42"/>
  <c r="H26" i="42"/>
  <c r="I26" i="42"/>
  <c r="J26" i="42"/>
  <c r="K26" i="42"/>
  <c r="L26" i="42"/>
  <c r="M26" i="42"/>
  <c r="N26" i="42"/>
  <c r="O26" i="42"/>
  <c r="P26" i="42"/>
  <c r="Q26" i="42"/>
  <c r="R26" i="42"/>
  <c r="B27" i="42"/>
  <c r="C27" i="42"/>
  <c r="D27" i="42"/>
  <c r="E27" i="42"/>
  <c r="F27" i="42"/>
  <c r="G27" i="42"/>
  <c r="H27" i="42"/>
  <c r="I27" i="42"/>
  <c r="J27" i="42"/>
  <c r="K27" i="42"/>
  <c r="L27" i="42"/>
  <c r="M27" i="42"/>
  <c r="N27" i="42"/>
  <c r="O27" i="42"/>
  <c r="P27" i="42"/>
  <c r="Q27" i="42"/>
  <c r="R27" i="42"/>
  <c r="C3" i="42"/>
  <c r="D3" i="42"/>
  <c r="E3" i="42"/>
  <c r="F3" i="42"/>
  <c r="G3" i="42"/>
  <c r="H3" i="42"/>
  <c r="I3" i="42"/>
  <c r="J3" i="42"/>
  <c r="K3" i="42"/>
  <c r="L3" i="42"/>
  <c r="M3" i="42"/>
  <c r="N3" i="42"/>
  <c r="O3" i="42"/>
  <c r="P3" i="42"/>
  <c r="Q3" i="42"/>
  <c r="R3" i="42"/>
  <c r="B3" i="42"/>
  <c r="J28" i="41"/>
  <c r="K28" i="41"/>
  <c r="L28" i="41"/>
  <c r="M28" i="41"/>
  <c r="N28" i="41"/>
  <c r="O28" i="41"/>
  <c r="P28" i="41"/>
  <c r="Q28" i="41"/>
  <c r="R28" i="41"/>
  <c r="B28" i="41"/>
  <c r="C28" i="41"/>
  <c r="D28" i="41"/>
  <c r="E28" i="41"/>
  <c r="F28" i="41"/>
  <c r="G28" i="41"/>
  <c r="H20" i="41"/>
  <c r="H20" i="42" s="1"/>
  <c r="I10" i="41"/>
  <c r="I10" i="44" s="1"/>
  <c r="G27" i="38"/>
  <c r="G26" i="38"/>
  <c r="G25" i="38"/>
  <c r="G24" i="38"/>
  <c r="G23" i="38"/>
  <c r="G22" i="38"/>
  <c r="G21" i="38"/>
  <c r="G20" i="38"/>
  <c r="G19" i="38"/>
  <c r="G18" i="38"/>
  <c r="G17" i="38"/>
  <c r="G16" i="38"/>
  <c r="G15" i="38"/>
  <c r="G14" i="38"/>
  <c r="G13" i="38"/>
  <c r="G12" i="38"/>
  <c r="G11" i="38"/>
  <c r="G10" i="38"/>
  <c r="G9" i="38"/>
  <c r="G8" i="38"/>
  <c r="G7" i="38"/>
  <c r="G6" i="38"/>
  <c r="G5" i="38"/>
  <c r="G4" i="38"/>
  <c r="B21" i="37"/>
  <c r="B17" i="37"/>
  <c r="B14" i="37"/>
  <c r="B3" i="37"/>
  <c r="B21" i="36"/>
  <c r="B17" i="36"/>
  <c r="B14" i="36"/>
  <c r="B3" i="36"/>
  <c r="C5" i="13"/>
  <c r="C5" i="37" s="1"/>
  <c r="D5" i="13"/>
  <c r="D5" i="36" s="1"/>
  <c r="E5" i="13"/>
  <c r="E5" i="37" s="1"/>
  <c r="F5" i="13"/>
  <c r="F5" i="36" s="1"/>
  <c r="C6" i="13"/>
  <c r="C6" i="37" s="1"/>
  <c r="D6" i="13"/>
  <c r="D6" i="37" s="1"/>
  <c r="E6" i="13"/>
  <c r="E6" i="36" s="1"/>
  <c r="F6" i="13"/>
  <c r="F6" i="37" s="1"/>
  <c r="C7" i="13"/>
  <c r="C7" i="37" s="1"/>
  <c r="D7" i="13"/>
  <c r="D7" i="36" s="1"/>
  <c r="E7" i="13"/>
  <c r="E7" i="36" s="1"/>
  <c r="F7" i="13"/>
  <c r="F7" i="37" s="1"/>
  <c r="C8" i="13"/>
  <c r="C8" i="36" s="1"/>
  <c r="D8" i="13"/>
  <c r="D8" i="37" s="1"/>
  <c r="E8" i="13"/>
  <c r="E8" i="36" s="1"/>
  <c r="F8" i="13"/>
  <c r="F8" i="37" s="1"/>
  <c r="C9" i="13"/>
  <c r="C9" i="37" s="1"/>
  <c r="D9" i="13"/>
  <c r="D9" i="36" s="1"/>
  <c r="E9" i="13"/>
  <c r="E9" i="37" s="1"/>
  <c r="F9" i="13"/>
  <c r="F9" i="37" s="1"/>
  <c r="C10" i="13"/>
  <c r="C10" i="36" s="1"/>
  <c r="D10" i="13"/>
  <c r="D10" i="37" s="1"/>
  <c r="E10" i="13"/>
  <c r="E10" i="36" s="1"/>
  <c r="F10" i="13"/>
  <c r="F10" i="36" s="1"/>
  <c r="C11" i="13"/>
  <c r="C11" i="37" s="1"/>
  <c r="D11" i="13"/>
  <c r="D11" i="37" s="1"/>
  <c r="E11" i="13"/>
  <c r="E11" i="37" s="1"/>
  <c r="F11" i="13"/>
  <c r="F11" i="36" s="1"/>
  <c r="C12" i="13"/>
  <c r="C12" i="36" s="1"/>
  <c r="D12" i="13"/>
  <c r="D12" i="37" s="1"/>
  <c r="E12" i="13"/>
  <c r="E12" i="37" s="1"/>
  <c r="F12" i="13"/>
  <c r="F12" i="36" s="1"/>
  <c r="C13" i="13"/>
  <c r="C13" i="37" s="1"/>
  <c r="D13" i="13"/>
  <c r="D13" i="36" s="1"/>
  <c r="E13" i="13"/>
  <c r="E13" i="37" s="1"/>
  <c r="F13" i="13"/>
  <c r="F13" i="36" s="1"/>
  <c r="C14" i="13"/>
  <c r="C14" i="37" s="1"/>
  <c r="D14" i="13"/>
  <c r="D14" i="37" s="1"/>
  <c r="E14" i="13"/>
  <c r="E14" i="36" s="1"/>
  <c r="F14" i="13"/>
  <c r="F14" i="37" s="1"/>
  <c r="C15" i="13"/>
  <c r="C15" i="37" s="1"/>
  <c r="D15" i="13"/>
  <c r="D15" i="36" s="1"/>
  <c r="E15" i="13"/>
  <c r="E15" i="36" s="1"/>
  <c r="F15" i="13"/>
  <c r="F15" i="37" s="1"/>
  <c r="C16" i="13"/>
  <c r="C16" i="36" s="1"/>
  <c r="D16" i="13"/>
  <c r="D16" i="37" s="1"/>
  <c r="E16" i="13"/>
  <c r="E16" i="37" s="1"/>
  <c r="F16" i="13"/>
  <c r="F16" i="37" s="1"/>
  <c r="C17" i="13"/>
  <c r="C17" i="37" s="1"/>
  <c r="D17" i="13"/>
  <c r="D17" i="36" s="1"/>
  <c r="E17" i="13"/>
  <c r="E17" i="37" s="1"/>
  <c r="F17" i="13"/>
  <c r="F17" i="36" s="1"/>
  <c r="C18" i="13"/>
  <c r="C18" i="36" s="1"/>
  <c r="D18" i="13"/>
  <c r="D18" i="37" s="1"/>
  <c r="E18" i="13"/>
  <c r="E18" i="37" s="1"/>
  <c r="F18" i="13"/>
  <c r="F18" i="36" s="1"/>
  <c r="C19" i="13"/>
  <c r="C19" i="37" s="1"/>
  <c r="D19" i="13"/>
  <c r="D19" i="37" s="1"/>
  <c r="E19" i="13"/>
  <c r="E19" i="37" s="1"/>
  <c r="F19" i="13"/>
  <c r="F19" i="36" s="1"/>
  <c r="C20" i="13"/>
  <c r="C20" i="37" s="1"/>
  <c r="D20" i="13"/>
  <c r="D20" i="37" s="1"/>
  <c r="E20" i="13"/>
  <c r="E20" i="37" s="1"/>
  <c r="F20" i="13"/>
  <c r="F20" i="37" s="1"/>
  <c r="C21" i="13"/>
  <c r="C21" i="36" s="1"/>
  <c r="D21" i="13"/>
  <c r="D21" i="37" s="1"/>
  <c r="E21" i="13"/>
  <c r="E21" i="37" s="1"/>
  <c r="F21" i="13"/>
  <c r="F21" i="36" s="1"/>
  <c r="C22" i="13"/>
  <c r="C22" i="36" s="1"/>
  <c r="D22" i="13"/>
  <c r="D22" i="37" s="1"/>
  <c r="E22" i="13"/>
  <c r="E22" i="37" s="1"/>
  <c r="F22" i="13"/>
  <c r="F22" i="37" s="1"/>
  <c r="C23" i="13"/>
  <c r="C23" i="37" s="1"/>
  <c r="D23" i="13"/>
  <c r="D23" i="36" s="1"/>
  <c r="E23" i="13"/>
  <c r="E23" i="37" s="1"/>
  <c r="F23" i="13"/>
  <c r="F23" i="37" s="1"/>
  <c r="C24" i="13"/>
  <c r="C24" i="37" s="1"/>
  <c r="D24" i="13"/>
  <c r="D24" i="37" s="1"/>
  <c r="E24" i="13"/>
  <c r="E24" i="37" s="1"/>
  <c r="F24" i="13"/>
  <c r="F24" i="37" s="1"/>
  <c r="C25" i="13"/>
  <c r="C25" i="37" s="1"/>
  <c r="D25" i="13"/>
  <c r="D25" i="37" s="1"/>
  <c r="E25" i="13"/>
  <c r="E25" i="37" s="1"/>
  <c r="F25" i="13"/>
  <c r="F25" i="37" s="1"/>
  <c r="C26" i="13"/>
  <c r="C26" i="37" s="1"/>
  <c r="D26" i="13"/>
  <c r="D26" i="37" s="1"/>
  <c r="E26" i="13"/>
  <c r="E26" i="37" s="1"/>
  <c r="F26" i="13"/>
  <c r="F26" i="37" s="1"/>
  <c r="C27" i="13"/>
  <c r="C27" i="37" s="1"/>
  <c r="D27" i="13"/>
  <c r="D27" i="37" s="1"/>
  <c r="E27" i="13"/>
  <c r="E27" i="37" s="1"/>
  <c r="F27" i="13"/>
  <c r="F27" i="37" s="1"/>
  <c r="C4" i="13"/>
  <c r="C4" i="37" s="1"/>
  <c r="D4" i="13"/>
  <c r="D4" i="37" s="1"/>
  <c r="E4" i="13"/>
  <c r="E4" i="37" s="1"/>
  <c r="F4" i="13"/>
  <c r="F4" i="37" s="1"/>
  <c r="C3" i="13"/>
  <c r="C3" i="36" s="1"/>
  <c r="D3" i="13"/>
  <c r="D3" i="37" s="1"/>
  <c r="E3" i="13"/>
  <c r="E3" i="37" s="1"/>
  <c r="F3" i="13"/>
  <c r="F3" i="37" s="1"/>
  <c r="B6" i="45" l="1"/>
  <c r="G7" i="39"/>
  <c r="C7" i="36"/>
  <c r="C10" i="37"/>
  <c r="C13" i="39"/>
  <c r="D3" i="36"/>
  <c r="C23" i="36"/>
  <c r="E6" i="37"/>
  <c r="D11" i="45"/>
  <c r="F28" i="49"/>
  <c r="F28" i="46"/>
  <c r="D28" i="46"/>
  <c r="D28" i="49"/>
  <c r="G28" i="46"/>
  <c r="G28" i="49"/>
  <c r="C19" i="36"/>
  <c r="C8" i="37"/>
  <c r="F16" i="45"/>
  <c r="E28" i="49"/>
  <c r="E28" i="46"/>
  <c r="C17" i="36"/>
  <c r="C28" i="14"/>
  <c r="C28" i="45" s="1"/>
  <c r="B22" i="45"/>
  <c r="J28" i="49"/>
  <c r="J28" i="46"/>
  <c r="E13" i="36"/>
  <c r="G23" i="39"/>
  <c r="F27" i="45"/>
  <c r="C28" i="49"/>
  <c r="C28" i="46"/>
  <c r="E12" i="36"/>
  <c r="E18" i="39"/>
  <c r="B28" i="46"/>
  <c r="B28" i="49"/>
  <c r="F19" i="37"/>
  <c r="I28" i="49"/>
  <c r="I28" i="46"/>
  <c r="E5" i="36"/>
  <c r="G28" i="14"/>
  <c r="G28" i="45" s="1"/>
  <c r="H28" i="46"/>
  <c r="H28" i="49"/>
  <c r="D27" i="36"/>
  <c r="E22" i="36"/>
  <c r="F16" i="36"/>
  <c r="D11" i="36"/>
  <c r="E14" i="37"/>
  <c r="B3" i="39"/>
  <c r="E23" i="39"/>
  <c r="C18" i="39"/>
  <c r="G12" i="39"/>
  <c r="E7" i="39"/>
  <c r="D6" i="45"/>
  <c r="F11" i="45"/>
  <c r="B17" i="45"/>
  <c r="D22" i="45"/>
  <c r="C27" i="36"/>
  <c r="E21" i="36"/>
  <c r="E16" i="36"/>
  <c r="C11" i="36"/>
  <c r="E8" i="37"/>
  <c r="C16" i="37"/>
  <c r="C21" i="37"/>
  <c r="G27" i="39"/>
  <c r="E22" i="39"/>
  <c r="C17" i="39"/>
  <c r="G11" i="39"/>
  <c r="E6" i="39"/>
  <c r="D7" i="45"/>
  <c r="F12" i="45"/>
  <c r="B18" i="45"/>
  <c r="D23" i="45"/>
  <c r="F25" i="36"/>
  <c r="F9" i="36"/>
  <c r="C5" i="36"/>
  <c r="E27" i="39"/>
  <c r="C22" i="39"/>
  <c r="G16" i="39"/>
  <c r="E11" i="39"/>
  <c r="C6" i="39"/>
  <c r="F7" i="45"/>
  <c r="B13" i="45"/>
  <c r="D18" i="45"/>
  <c r="F23" i="45"/>
  <c r="C25" i="36"/>
  <c r="E20" i="36"/>
  <c r="C15" i="36"/>
  <c r="C9" i="36"/>
  <c r="E26" i="39"/>
  <c r="C21" i="39"/>
  <c r="G15" i="39"/>
  <c r="E10" i="39"/>
  <c r="C5" i="39"/>
  <c r="F8" i="45"/>
  <c r="B14" i="45"/>
  <c r="D19" i="45"/>
  <c r="F24" i="45"/>
  <c r="F24" i="36"/>
  <c r="D19" i="36"/>
  <c r="F8" i="36"/>
  <c r="F17" i="37"/>
  <c r="C26" i="39"/>
  <c r="G20" i="39"/>
  <c r="E15" i="39"/>
  <c r="C10" i="39"/>
  <c r="G4" i="39"/>
  <c r="B9" i="45"/>
  <c r="D14" i="45"/>
  <c r="F19" i="45"/>
  <c r="B25" i="45"/>
  <c r="E24" i="36"/>
  <c r="F11" i="37"/>
  <c r="C18" i="37"/>
  <c r="C25" i="39"/>
  <c r="G19" i="39"/>
  <c r="E14" i="39"/>
  <c r="C9" i="39"/>
  <c r="F4" i="45"/>
  <c r="B10" i="45"/>
  <c r="D15" i="45"/>
  <c r="F20" i="45"/>
  <c r="B26" i="45"/>
  <c r="F3" i="36"/>
  <c r="C24" i="36"/>
  <c r="C13" i="36"/>
  <c r="D5" i="37"/>
  <c r="D13" i="37"/>
  <c r="G24" i="39"/>
  <c r="E19" i="39"/>
  <c r="C14" i="39"/>
  <c r="G8" i="39"/>
  <c r="B5" i="45"/>
  <c r="D10" i="45"/>
  <c r="F15" i="45"/>
  <c r="B21" i="45"/>
  <c r="D26" i="45"/>
  <c r="E18" i="36"/>
  <c r="E3" i="36"/>
  <c r="D26" i="36"/>
  <c r="D24" i="36"/>
  <c r="D22" i="36"/>
  <c r="D20" i="36"/>
  <c r="D18" i="36"/>
  <c r="D16" i="36"/>
  <c r="D14" i="36"/>
  <c r="D12" i="36"/>
  <c r="D10" i="36"/>
  <c r="D8" i="36"/>
  <c r="D6" i="36"/>
  <c r="C3" i="37"/>
  <c r="C22" i="37"/>
  <c r="G26" i="39"/>
  <c r="G26" i="45"/>
  <c r="E25" i="39"/>
  <c r="E25" i="45"/>
  <c r="C24" i="39"/>
  <c r="C24" i="45"/>
  <c r="G22" i="39"/>
  <c r="G22" i="45"/>
  <c r="E21" i="39"/>
  <c r="E21" i="45"/>
  <c r="C20" i="39"/>
  <c r="C20" i="45"/>
  <c r="G18" i="39"/>
  <c r="G18" i="45"/>
  <c r="E17" i="39"/>
  <c r="E17" i="45"/>
  <c r="C16" i="39"/>
  <c r="C16" i="45"/>
  <c r="G14" i="39"/>
  <c r="G14" i="45"/>
  <c r="E13" i="39"/>
  <c r="E13" i="45"/>
  <c r="C12" i="39"/>
  <c r="C12" i="45"/>
  <c r="G10" i="39"/>
  <c r="G10" i="45"/>
  <c r="E9" i="39"/>
  <c r="E9" i="45"/>
  <c r="C8" i="39"/>
  <c r="C8" i="45"/>
  <c r="G6" i="39"/>
  <c r="G6" i="45"/>
  <c r="E5" i="39"/>
  <c r="E5" i="45"/>
  <c r="C4" i="39"/>
  <c r="C4" i="45"/>
  <c r="C20" i="36"/>
  <c r="F5" i="37"/>
  <c r="E10" i="37"/>
  <c r="C12" i="37"/>
  <c r="F13" i="37"/>
  <c r="D15" i="37"/>
  <c r="E26" i="36"/>
  <c r="E7" i="37"/>
  <c r="F10" i="37"/>
  <c r="E15" i="37"/>
  <c r="F18" i="37"/>
  <c r="D23" i="37"/>
  <c r="D28" i="14"/>
  <c r="D3" i="45"/>
  <c r="F21" i="37"/>
  <c r="C26" i="36"/>
  <c r="C14" i="36"/>
  <c r="C6" i="36"/>
  <c r="D7" i="37"/>
  <c r="F27" i="36"/>
  <c r="F23" i="36"/>
  <c r="F15" i="36"/>
  <c r="F7" i="36"/>
  <c r="E27" i="36"/>
  <c r="E25" i="36"/>
  <c r="E23" i="36"/>
  <c r="E19" i="36"/>
  <c r="E17" i="36"/>
  <c r="E11" i="36"/>
  <c r="E9" i="36"/>
  <c r="D9" i="37"/>
  <c r="D17" i="37"/>
  <c r="C28" i="13"/>
  <c r="C28" i="37" s="1"/>
  <c r="D25" i="36"/>
  <c r="D21" i="36"/>
  <c r="F12" i="37"/>
  <c r="F28" i="13"/>
  <c r="F28" i="36" s="1"/>
  <c r="E28" i="13"/>
  <c r="E28" i="37" s="1"/>
  <c r="F26" i="36"/>
  <c r="F22" i="36"/>
  <c r="F20" i="36"/>
  <c r="F14" i="36"/>
  <c r="F6" i="36"/>
  <c r="E4" i="36"/>
  <c r="I28" i="41"/>
  <c r="I10" i="42"/>
  <c r="F28" i="14"/>
  <c r="F3" i="39"/>
  <c r="C27" i="45"/>
  <c r="C27" i="39"/>
  <c r="G25" i="45"/>
  <c r="G25" i="39"/>
  <c r="E24" i="45"/>
  <c r="E24" i="39"/>
  <c r="C23" i="45"/>
  <c r="C23" i="39"/>
  <c r="G21" i="45"/>
  <c r="G21" i="39"/>
  <c r="E20" i="45"/>
  <c r="E20" i="39"/>
  <c r="C19" i="45"/>
  <c r="C19" i="39"/>
  <c r="G17" i="45"/>
  <c r="G17" i="39"/>
  <c r="E16" i="45"/>
  <c r="E16" i="39"/>
  <c r="C15" i="45"/>
  <c r="C15" i="39"/>
  <c r="G13" i="45"/>
  <c r="G13" i="39"/>
  <c r="E12" i="45"/>
  <c r="E12" i="39"/>
  <c r="C11" i="45"/>
  <c r="C11" i="39"/>
  <c r="G9" i="45"/>
  <c r="G9" i="39"/>
  <c r="E8" i="45"/>
  <c r="E8" i="39"/>
  <c r="C7" i="45"/>
  <c r="C7" i="39"/>
  <c r="G5" i="45"/>
  <c r="G5" i="39"/>
  <c r="E4" i="45"/>
  <c r="E4" i="39"/>
  <c r="H20" i="44"/>
  <c r="G3" i="39"/>
  <c r="D27" i="39"/>
  <c r="G3" i="45"/>
  <c r="B28" i="14"/>
  <c r="B4" i="45"/>
  <c r="D5" i="45"/>
  <c r="F6" i="45"/>
  <c r="B8" i="45"/>
  <c r="D9" i="45"/>
  <c r="F10" i="45"/>
  <c r="B12" i="45"/>
  <c r="D13" i="45"/>
  <c r="F14" i="45"/>
  <c r="B16" i="45"/>
  <c r="D17" i="45"/>
  <c r="F18" i="45"/>
  <c r="B20" i="45"/>
  <c r="D21" i="45"/>
  <c r="F22" i="45"/>
  <c r="B24" i="45"/>
  <c r="D25" i="45"/>
  <c r="F26" i="45"/>
  <c r="E3" i="39"/>
  <c r="B27" i="39"/>
  <c r="F25" i="39"/>
  <c r="D24" i="39"/>
  <c r="B23" i="39"/>
  <c r="F21" i="39"/>
  <c r="D20" i="39"/>
  <c r="B19" i="39"/>
  <c r="F17" i="39"/>
  <c r="D16" i="39"/>
  <c r="B15" i="39"/>
  <c r="F13" i="39"/>
  <c r="D12" i="39"/>
  <c r="B11" i="39"/>
  <c r="F9" i="39"/>
  <c r="D8" i="39"/>
  <c r="B7" i="39"/>
  <c r="F5" i="39"/>
  <c r="D4" i="39"/>
  <c r="E28" i="14"/>
  <c r="C3" i="39"/>
  <c r="C3" i="45"/>
  <c r="H28" i="41"/>
  <c r="F4" i="36"/>
  <c r="D28" i="13"/>
  <c r="D4" i="36"/>
  <c r="C4" i="36"/>
  <c r="T27" i="34"/>
  <c r="S27" i="34"/>
  <c r="R27" i="34"/>
  <c r="Q27" i="34"/>
  <c r="P27" i="34"/>
  <c r="O27" i="34"/>
  <c r="N27" i="34"/>
  <c r="M27" i="34"/>
  <c r="L27" i="34"/>
  <c r="K27" i="34"/>
  <c r="J27" i="34"/>
  <c r="I27" i="34"/>
  <c r="H27" i="34"/>
  <c r="G27" i="34"/>
  <c r="F27" i="34"/>
  <c r="E27" i="34"/>
  <c r="D27" i="34"/>
  <c r="C27" i="34"/>
  <c r="B27" i="34"/>
  <c r="T26" i="34"/>
  <c r="S26" i="34"/>
  <c r="R26" i="34"/>
  <c r="Q26" i="34"/>
  <c r="P26" i="34"/>
  <c r="O26" i="34"/>
  <c r="N26" i="34"/>
  <c r="M26" i="34"/>
  <c r="L26" i="34"/>
  <c r="K26" i="34"/>
  <c r="J26" i="34"/>
  <c r="I26" i="34"/>
  <c r="H26" i="34"/>
  <c r="G26" i="34"/>
  <c r="F26" i="34"/>
  <c r="E26" i="34"/>
  <c r="D26" i="34"/>
  <c r="C26" i="34"/>
  <c r="B26" i="34"/>
  <c r="T25" i="34"/>
  <c r="S25" i="34"/>
  <c r="R25" i="34"/>
  <c r="Q25" i="34"/>
  <c r="P25" i="34"/>
  <c r="O25" i="34"/>
  <c r="N25" i="34"/>
  <c r="M25" i="34"/>
  <c r="L25" i="34"/>
  <c r="K25" i="34"/>
  <c r="J25" i="34"/>
  <c r="I25" i="34"/>
  <c r="H25" i="34"/>
  <c r="G25" i="34"/>
  <c r="F25" i="34"/>
  <c r="E25" i="34"/>
  <c r="D25" i="34"/>
  <c r="C25" i="34"/>
  <c r="B25" i="34"/>
  <c r="T24" i="34"/>
  <c r="S24" i="34"/>
  <c r="R24" i="34"/>
  <c r="Q24" i="34"/>
  <c r="P24" i="34"/>
  <c r="O24" i="34"/>
  <c r="N24" i="34"/>
  <c r="M24" i="34"/>
  <c r="L24" i="34"/>
  <c r="K24" i="34"/>
  <c r="J24" i="34"/>
  <c r="I24" i="34"/>
  <c r="H24" i="34"/>
  <c r="G24" i="34"/>
  <c r="F24" i="34"/>
  <c r="E24" i="34"/>
  <c r="D24" i="34"/>
  <c r="C24" i="34"/>
  <c r="B24" i="34"/>
  <c r="T23" i="34"/>
  <c r="S23" i="34"/>
  <c r="R23" i="34"/>
  <c r="Q23" i="34"/>
  <c r="P23" i="34"/>
  <c r="O23" i="34"/>
  <c r="N23" i="34"/>
  <c r="M23" i="34"/>
  <c r="L23" i="34"/>
  <c r="K23" i="34"/>
  <c r="J23" i="34"/>
  <c r="I23" i="34"/>
  <c r="H23" i="34"/>
  <c r="G23" i="34"/>
  <c r="F23" i="34"/>
  <c r="E23" i="34"/>
  <c r="D23" i="34"/>
  <c r="C23" i="34"/>
  <c r="B23" i="34"/>
  <c r="T22" i="34"/>
  <c r="S22" i="34"/>
  <c r="R22" i="34"/>
  <c r="Q22" i="34"/>
  <c r="P22" i="34"/>
  <c r="O22" i="34"/>
  <c r="N22" i="34"/>
  <c r="M22" i="34"/>
  <c r="L22" i="34"/>
  <c r="K22" i="34"/>
  <c r="J22" i="34"/>
  <c r="I22" i="34"/>
  <c r="H22" i="34"/>
  <c r="G22" i="34"/>
  <c r="F22" i="34"/>
  <c r="E22" i="34"/>
  <c r="D22" i="34"/>
  <c r="C22" i="34"/>
  <c r="B22" i="34"/>
  <c r="T21" i="34"/>
  <c r="S21" i="34"/>
  <c r="R21" i="34"/>
  <c r="Q21" i="34"/>
  <c r="P21" i="34"/>
  <c r="O21" i="34"/>
  <c r="N21" i="34"/>
  <c r="M21" i="34"/>
  <c r="L21" i="34"/>
  <c r="K21" i="34"/>
  <c r="J21" i="34"/>
  <c r="I21" i="34"/>
  <c r="H21" i="34"/>
  <c r="G21" i="34"/>
  <c r="F21" i="34"/>
  <c r="E21" i="34"/>
  <c r="D21" i="34"/>
  <c r="C21" i="34"/>
  <c r="B21" i="34"/>
  <c r="T20" i="34"/>
  <c r="S20" i="34"/>
  <c r="R20" i="34"/>
  <c r="Q20" i="34"/>
  <c r="P20" i="34"/>
  <c r="O20" i="34"/>
  <c r="N20" i="34"/>
  <c r="M20" i="34"/>
  <c r="L20" i="34"/>
  <c r="K20" i="34"/>
  <c r="J20" i="34"/>
  <c r="I20" i="34"/>
  <c r="H20" i="34"/>
  <c r="G20" i="34"/>
  <c r="F20" i="34"/>
  <c r="E20" i="34"/>
  <c r="D20" i="34"/>
  <c r="C20" i="34"/>
  <c r="B20" i="34"/>
  <c r="T19" i="34"/>
  <c r="S19" i="34"/>
  <c r="R19" i="34"/>
  <c r="Q19" i="34"/>
  <c r="P19" i="34"/>
  <c r="O19" i="34"/>
  <c r="N19" i="34"/>
  <c r="M19" i="34"/>
  <c r="L19" i="34"/>
  <c r="K19" i="34"/>
  <c r="J19" i="34"/>
  <c r="I19" i="34"/>
  <c r="H19" i="34"/>
  <c r="G19" i="34"/>
  <c r="F19" i="34"/>
  <c r="E19" i="34"/>
  <c r="D19" i="34"/>
  <c r="C19" i="34"/>
  <c r="B19" i="34"/>
  <c r="T18" i="34"/>
  <c r="S18" i="34"/>
  <c r="R18" i="34"/>
  <c r="Q18" i="34"/>
  <c r="P18" i="34"/>
  <c r="O18" i="34"/>
  <c r="N18" i="34"/>
  <c r="M18" i="34"/>
  <c r="L18" i="34"/>
  <c r="K18" i="34"/>
  <c r="J18" i="34"/>
  <c r="I18" i="34"/>
  <c r="H18" i="34"/>
  <c r="G18" i="34"/>
  <c r="F18" i="34"/>
  <c r="E18" i="34"/>
  <c r="D18" i="34"/>
  <c r="C18" i="34"/>
  <c r="B18" i="34"/>
  <c r="T17" i="34"/>
  <c r="S17" i="34"/>
  <c r="R17" i="34"/>
  <c r="Q17" i="34"/>
  <c r="P17" i="34"/>
  <c r="O17" i="34"/>
  <c r="N17" i="34"/>
  <c r="M17" i="34"/>
  <c r="L17" i="34"/>
  <c r="K17" i="34"/>
  <c r="J17" i="34"/>
  <c r="I17" i="34"/>
  <c r="H17" i="34"/>
  <c r="G17" i="34"/>
  <c r="F17" i="34"/>
  <c r="E17" i="34"/>
  <c r="D17" i="34"/>
  <c r="C17" i="34"/>
  <c r="B17" i="34"/>
  <c r="T16" i="34"/>
  <c r="S16" i="34"/>
  <c r="R16" i="34"/>
  <c r="Q16" i="34"/>
  <c r="P16" i="34"/>
  <c r="O16" i="34"/>
  <c r="N16" i="34"/>
  <c r="M16" i="34"/>
  <c r="L16" i="34"/>
  <c r="K16" i="34"/>
  <c r="J16" i="34"/>
  <c r="I16" i="34"/>
  <c r="H16" i="34"/>
  <c r="G16" i="34"/>
  <c r="F16" i="34"/>
  <c r="E16" i="34"/>
  <c r="D16" i="34"/>
  <c r="C16" i="34"/>
  <c r="B16" i="34"/>
  <c r="T15" i="34"/>
  <c r="S15" i="34"/>
  <c r="R15" i="34"/>
  <c r="Q15" i="34"/>
  <c r="P15" i="34"/>
  <c r="O15" i="34"/>
  <c r="N15" i="34"/>
  <c r="M15" i="34"/>
  <c r="L15" i="34"/>
  <c r="K15" i="34"/>
  <c r="J15" i="34"/>
  <c r="I15" i="34"/>
  <c r="H15" i="34"/>
  <c r="G15" i="34"/>
  <c r="F15" i="34"/>
  <c r="E15" i="34"/>
  <c r="D15" i="34"/>
  <c r="C15" i="34"/>
  <c r="B15" i="34"/>
  <c r="T14" i="34"/>
  <c r="S14" i="34"/>
  <c r="R14" i="34"/>
  <c r="Q14" i="34"/>
  <c r="P14" i="34"/>
  <c r="O14" i="34"/>
  <c r="N14" i="34"/>
  <c r="M14" i="34"/>
  <c r="L14" i="34"/>
  <c r="K14" i="34"/>
  <c r="J14" i="34"/>
  <c r="I14" i="34"/>
  <c r="H14" i="34"/>
  <c r="G14" i="34"/>
  <c r="F14" i="34"/>
  <c r="E14" i="34"/>
  <c r="D14" i="34"/>
  <c r="C14" i="34"/>
  <c r="B14" i="34"/>
  <c r="T13" i="34"/>
  <c r="S13" i="34"/>
  <c r="R13" i="34"/>
  <c r="Q13" i="34"/>
  <c r="P13" i="34"/>
  <c r="O13" i="34"/>
  <c r="N13" i="34"/>
  <c r="M13" i="34"/>
  <c r="L13" i="34"/>
  <c r="K13" i="34"/>
  <c r="J13" i="34"/>
  <c r="I13" i="34"/>
  <c r="H13" i="34"/>
  <c r="G13" i="34"/>
  <c r="F13" i="34"/>
  <c r="E13" i="34"/>
  <c r="D13" i="34"/>
  <c r="C13" i="34"/>
  <c r="B13" i="34"/>
  <c r="T12" i="34"/>
  <c r="S12" i="34"/>
  <c r="R12" i="34"/>
  <c r="Q12" i="34"/>
  <c r="P12" i="34"/>
  <c r="O12" i="34"/>
  <c r="N12" i="34"/>
  <c r="M12" i="34"/>
  <c r="L12" i="34"/>
  <c r="K12" i="34"/>
  <c r="J12" i="34"/>
  <c r="I12" i="34"/>
  <c r="H12" i="34"/>
  <c r="G12" i="34"/>
  <c r="F12" i="34"/>
  <c r="E12" i="34"/>
  <c r="D12" i="34"/>
  <c r="C12" i="34"/>
  <c r="B12" i="34"/>
  <c r="T11" i="34"/>
  <c r="S11" i="34"/>
  <c r="R11" i="34"/>
  <c r="Q11" i="34"/>
  <c r="P11" i="34"/>
  <c r="O11" i="34"/>
  <c r="N11" i="34"/>
  <c r="M11" i="34"/>
  <c r="L11" i="34"/>
  <c r="K11" i="34"/>
  <c r="J11" i="34"/>
  <c r="I11" i="34"/>
  <c r="H11" i="34"/>
  <c r="G11" i="34"/>
  <c r="F11" i="34"/>
  <c r="E11" i="34"/>
  <c r="D11" i="34"/>
  <c r="C11" i="34"/>
  <c r="B11" i="34"/>
  <c r="T10" i="34"/>
  <c r="S10" i="34"/>
  <c r="R10" i="34"/>
  <c r="Q10" i="34"/>
  <c r="P10" i="34"/>
  <c r="O10" i="34"/>
  <c r="N10" i="34"/>
  <c r="M10" i="34"/>
  <c r="L10" i="34"/>
  <c r="K10" i="34"/>
  <c r="J10" i="34"/>
  <c r="I10" i="34"/>
  <c r="H10" i="34"/>
  <c r="G10" i="34"/>
  <c r="F10" i="34"/>
  <c r="E10" i="34"/>
  <c r="D10" i="34"/>
  <c r="C10" i="34"/>
  <c r="B10" i="34"/>
  <c r="T9" i="34"/>
  <c r="S9" i="34"/>
  <c r="R9" i="34"/>
  <c r="Q9" i="34"/>
  <c r="P9" i="34"/>
  <c r="O9" i="34"/>
  <c r="N9" i="34"/>
  <c r="M9" i="34"/>
  <c r="L9" i="34"/>
  <c r="K9" i="34"/>
  <c r="J9" i="34"/>
  <c r="I9" i="34"/>
  <c r="H9" i="34"/>
  <c r="G9" i="34"/>
  <c r="F9" i="34"/>
  <c r="E9" i="34"/>
  <c r="D9" i="34"/>
  <c r="C9" i="34"/>
  <c r="B9" i="34"/>
  <c r="T8" i="34"/>
  <c r="S8" i="34"/>
  <c r="R8" i="34"/>
  <c r="Q8" i="34"/>
  <c r="P8" i="34"/>
  <c r="O8" i="34"/>
  <c r="N8" i="34"/>
  <c r="M8" i="34"/>
  <c r="L8" i="34"/>
  <c r="K8" i="34"/>
  <c r="J8" i="34"/>
  <c r="I8" i="34"/>
  <c r="H8" i="34"/>
  <c r="G8" i="34"/>
  <c r="F8" i="34"/>
  <c r="E8" i="34"/>
  <c r="D8" i="34"/>
  <c r="C8" i="34"/>
  <c r="B8" i="34"/>
  <c r="T7" i="34"/>
  <c r="S7" i="34"/>
  <c r="R7" i="34"/>
  <c r="Q7" i="34"/>
  <c r="P7" i="34"/>
  <c r="O7" i="34"/>
  <c r="N7" i="34"/>
  <c r="M7" i="34"/>
  <c r="L7" i="34"/>
  <c r="K7" i="34"/>
  <c r="J7" i="34"/>
  <c r="I7" i="34"/>
  <c r="H7" i="34"/>
  <c r="G7" i="34"/>
  <c r="F7" i="34"/>
  <c r="E7" i="34"/>
  <c r="D7" i="34"/>
  <c r="C7" i="34"/>
  <c r="B7" i="34"/>
  <c r="T6" i="34"/>
  <c r="S6" i="34"/>
  <c r="R6" i="34"/>
  <c r="Q6" i="34"/>
  <c r="P6" i="34"/>
  <c r="O6" i="34"/>
  <c r="N6" i="34"/>
  <c r="M6" i="34"/>
  <c r="L6" i="34"/>
  <c r="K6" i="34"/>
  <c r="J6" i="34"/>
  <c r="I6" i="34"/>
  <c r="H6" i="34"/>
  <c r="G6" i="34"/>
  <c r="F6" i="34"/>
  <c r="E6" i="34"/>
  <c r="D6" i="34"/>
  <c r="C6" i="34"/>
  <c r="B6" i="34"/>
  <c r="T5" i="34"/>
  <c r="S5" i="34"/>
  <c r="R5" i="34"/>
  <c r="Q5" i="34"/>
  <c r="P5" i="34"/>
  <c r="O5" i="34"/>
  <c r="N5" i="34"/>
  <c r="M5" i="34"/>
  <c r="L5" i="34"/>
  <c r="K5" i="34"/>
  <c r="J5" i="34"/>
  <c r="I5" i="34"/>
  <c r="H5" i="34"/>
  <c r="G5" i="34"/>
  <c r="F5" i="34"/>
  <c r="E5" i="34"/>
  <c r="D5" i="34"/>
  <c r="C5" i="34"/>
  <c r="B5" i="34"/>
  <c r="T4" i="34"/>
  <c r="S4" i="34"/>
  <c r="R4" i="34"/>
  <c r="Q4" i="34"/>
  <c r="P4" i="34"/>
  <c r="O4" i="34"/>
  <c r="N4" i="34"/>
  <c r="M4" i="34"/>
  <c r="L4" i="34"/>
  <c r="K4" i="34"/>
  <c r="J4" i="34"/>
  <c r="I4" i="34"/>
  <c r="H4" i="34"/>
  <c r="G4" i="34"/>
  <c r="F4" i="34"/>
  <c r="E4" i="34"/>
  <c r="D4" i="34"/>
  <c r="C4" i="34"/>
  <c r="B4" i="34"/>
  <c r="T3" i="34"/>
  <c r="S3" i="34"/>
  <c r="R3" i="34"/>
  <c r="Q3" i="34"/>
  <c r="P3" i="34"/>
  <c r="O3" i="34"/>
  <c r="N3" i="34"/>
  <c r="M3" i="34"/>
  <c r="L3" i="34"/>
  <c r="K3" i="34"/>
  <c r="J3" i="34"/>
  <c r="I3" i="34"/>
  <c r="H3" i="34"/>
  <c r="G3" i="34"/>
  <c r="F3" i="34"/>
  <c r="E3" i="34"/>
  <c r="D3" i="34"/>
  <c r="C3" i="34"/>
  <c r="B3" i="34"/>
  <c r="T2" i="34"/>
  <c r="S2" i="34"/>
  <c r="R2" i="34"/>
  <c r="Q2" i="34"/>
  <c r="P2" i="34"/>
  <c r="O2" i="34"/>
  <c r="N2" i="34"/>
  <c r="M2" i="34"/>
  <c r="L2" i="34"/>
  <c r="K2" i="34"/>
  <c r="J2" i="34"/>
  <c r="I2" i="34"/>
  <c r="H2" i="34"/>
  <c r="G2" i="34"/>
  <c r="F2" i="34"/>
  <c r="E2" i="34"/>
  <c r="D2" i="34"/>
  <c r="C2" i="34"/>
  <c r="B2" i="34"/>
  <c r="AB27" i="33"/>
  <c r="AA27" i="33"/>
  <c r="Z27" i="33"/>
  <c r="Y27" i="33"/>
  <c r="X27" i="33"/>
  <c r="W27" i="33"/>
  <c r="V27" i="33"/>
  <c r="U27" i="33"/>
  <c r="T27" i="33"/>
  <c r="S27" i="33"/>
  <c r="R27" i="33"/>
  <c r="Q27" i="33"/>
  <c r="P27" i="33"/>
  <c r="O27" i="33"/>
  <c r="N27" i="33"/>
  <c r="M27" i="33"/>
  <c r="L27" i="33"/>
  <c r="K27" i="33"/>
  <c r="J27" i="33"/>
  <c r="I27" i="33"/>
  <c r="H27" i="33"/>
  <c r="G27" i="33"/>
  <c r="F27" i="33"/>
  <c r="E27" i="33"/>
  <c r="D27" i="33"/>
  <c r="C27" i="33"/>
  <c r="B27" i="33"/>
  <c r="AB26" i="33"/>
  <c r="AA26" i="33"/>
  <c r="Z26" i="33"/>
  <c r="Y26" i="33"/>
  <c r="X26" i="33"/>
  <c r="W26" i="33"/>
  <c r="V26" i="33"/>
  <c r="U26" i="33"/>
  <c r="T26" i="33"/>
  <c r="S26" i="33"/>
  <c r="R26" i="33"/>
  <c r="Q26" i="33"/>
  <c r="P26" i="33"/>
  <c r="O26" i="33"/>
  <c r="N26" i="33"/>
  <c r="M26" i="33"/>
  <c r="L26" i="33"/>
  <c r="K26" i="33"/>
  <c r="J26" i="33"/>
  <c r="I26" i="33"/>
  <c r="H26" i="33"/>
  <c r="G26" i="33"/>
  <c r="F26" i="33"/>
  <c r="E26" i="33"/>
  <c r="D26" i="33"/>
  <c r="C26" i="33"/>
  <c r="B26" i="33"/>
  <c r="AB25" i="33"/>
  <c r="AA25" i="33"/>
  <c r="Z25" i="33"/>
  <c r="Y25" i="33"/>
  <c r="X25" i="33"/>
  <c r="W25" i="33"/>
  <c r="V25" i="33"/>
  <c r="U25" i="33"/>
  <c r="T25" i="33"/>
  <c r="S25" i="33"/>
  <c r="R25" i="33"/>
  <c r="Q25" i="33"/>
  <c r="P25" i="33"/>
  <c r="O25" i="33"/>
  <c r="N25" i="33"/>
  <c r="M25" i="33"/>
  <c r="L25" i="33"/>
  <c r="K25" i="33"/>
  <c r="J25" i="33"/>
  <c r="I25" i="33"/>
  <c r="H25" i="33"/>
  <c r="G25" i="33"/>
  <c r="F25" i="33"/>
  <c r="E25" i="33"/>
  <c r="D25" i="33"/>
  <c r="C25" i="33"/>
  <c r="B25" i="33"/>
  <c r="AB24" i="33"/>
  <c r="AA24" i="33"/>
  <c r="Z24" i="33"/>
  <c r="Y24" i="33"/>
  <c r="X24" i="33"/>
  <c r="W24" i="33"/>
  <c r="V24" i="33"/>
  <c r="U24" i="33"/>
  <c r="T24" i="33"/>
  <c r="S24" i="33"/>
  <c r="R24" i="33"/>
  <c r="Q24" i="33"/>
  <c r="P24" i="33"/>
  <c r="O24" i="33"/>
  <c r="N24" i="33"/>
  <c r="M24" i="33"/>
  <c r="L24" i="33"/>
  <c r="K24" i="33"/>
  <c r="J24" i="33"/>
  <c r="I24" i="33"/>
  <c r="H24" i="33"/>
  <c r="G24" i="33"/>
  <c r="F24" i="33"/>
  <c r="E24" i="33"/>
  <c r="D24" i="33"/>
  <c r="C24" i="33"/>
  <c r="B24" i="33"/>
  <c r="AB23" i="33"/>
  <c r="AA23" i="33"/>
  <c r="Z23" i="33"/>
  <c r="Y23" i="33"/>
  <c r="X23" i="33"/>
  <c r="W23" i="33"/>
  <c r="V23" i="33"/>
  <c r="U23" i="33"/>
  <c r="T23" i="33"/>
  <c r="S23" i="33"/>
  <c r="R23" i="33"/>
  <c r="Q23" i="33"/>
  <c r="P23" i="33"/>
  <c r="O23" i="33"/>
  <c r="N23" i="33"/>
  <c r="M23" i="33"/>
  <c r="L23" i="33"/>
  <c r="K23" i="33"/>
  <c r="J23" i="33"/>
  <c r="I23" i="33"/>
  <c r="H23" i="33"/>
  <c r="G23" i="33"/>
  <c r="F23" i="33"/>
  <c r="E23" i="33"/>
  <c r="D23" i="33"/>
  <c r="C23" i="33"/>
  <c r="B23" i="33"/>
  <c r="AB22" i="33"/>
  <c r="AA22" i="33"/>
  <c r="Z22" i="33"/>
  <c r="Y22" i="33"/>
  <c r="X22" i="33"/>
  <c r="W22" i="33"/>
  <c r="V22" i="33"/>
  <c r="U22" i="33"/>
  <c r="T22" i="33"/>
  <c r="S22" i="33"/>
  <c r="R22" i="33"/>
  <c r="Q22" i="33"/>
  <c r="P22" i="33"/>
  <c r="O22" i="33"/>
  <c r="N22" i="33"/>
  <c r="M22" i="33"/>
  <c r="L22" i="33"/>
  <c r="K22" i="33"/>
  <c r="J22" i="33"/>
  <c r="I22" i="33"/>
  <c r="H22" i="33"/>
  <c r="G22" i="33"/>
  <c r="F22" i="33"/>
  <c r="E22" i="33"/>
  <c r="D22" i="33"/>
  <c r="C22" i="33"/>
  <c r="B22" i="33"/>
  <c r="AB21" i="33"/>
  <c r="AA21" i="33"/>
  <c r="Z21" i="33"/>
  <c r="Y21" i="33"/>
  <c r="X21" i="33"/>
  <c r="W21" i="33"/>
  <c r="V21" i="33"/>
  <c r="U21" i="33"/>
  <c r="T21" i="33"/>
  <c r="S21" i="33"/>
  <c r="R21" i="33"/>
  <c r="Q21" i="33"/>
  <c r="P21" i="33"/>
  <c r="O21" i="33"/>
  <c r="N21" i="33"/>
  <c r="M21" i="33"/>
  <c r="L21" i="33"/>
  <c r="K21" i="33"/>
  <c r="J21" i="33"/>
  <c r="I21" i="33"/>
  <c r="H21" i="33"/>
  <c r="G21" i="33"/>
  <c r="F21" i="33"/>
  <c r="E21" i="33"/>
  <c r="D21" i="33"/>
  <c r="C21" i="33"/>
  <c r="B21" i="33"/>
  <c r="AB20" i="33"/>
  <c r="AA20" i="33"/>
  <c r="Z20" i="33"/>
  <c r="Y20" i="33"/>
  <c r="X20" i="33"/>
  <c r="W20" i="33"/>
  <c r="V20" i="33"/>
  <c r="U20" i="33"/>
  <c r="T20" i="33"/>
  <c r="S20" i="33"/>
  <c r="R20" i="33"/>
  <c r="Q20" i="33"/>
  <c r="P20" i="33"/>
  <c r="O20" i="33"/>
  <c r="N20" i="33"/>
  <c r="M20" i="33"/>
  <c r="L20" i="33"/>
  <c r="K20" i="33"/>
  <c r="J20" i="33"/>
  <c r="I20" i="33"/>
  <c r="H20" i="33"/>
  <c r="G20" i="33"/>
  <c r="F20" i="33"/>
  <c r="E20" i="33"/>
  <c r="D20" i="33"/>
  <c r="C20" i="33"/>
  <c r="B20"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19" i="33"/>
  <c r="AB18" i="33"/>
  <c r="AA18" i="33"/>
  <c r="Z18" i="33"/>
  <c r="Y18" i="33"/>
  <c r="X18" i="33"/>
  <c r="W18" i="33"/>
  <c r="V18" i="33"/>
  <c r="U18" i="33"/>
  <c r="T18" i="33"/>
  <c r="S18" i="33"/>
  <c r="R18" i="33"/>
  <c r="Q18" i="33"/>
  <c r="P18" i="33"/>
  <c r="O18" i="33"/>
  <c r="N18" i="33"/>
  <c r="M18" i="33"/>
  <c r="L18" i="33"/>
  <c r="K18" i="33"/>
  <c r="J18" i="33"/>
  <c r="I18" i="33"/>
  <c r="H18" i="33"/>
  <c r="G18" i="33"/>
  <c r="F18" i="33"/>
  <c r="E18" i="33"/>
  <c r="D18" i="33"/>
  <c r="C18" i="33"/>
  <c r="B18" i="33"/>
  <c r="AB17" i="33"/>
  <c r="AA17" i="33"/>
  <c r="Z17" i="33"/>
  <c r="Y17" i="33"/>
  <c r="X17" i="33"/>
  <c r="W17" i="33"/>
  <c r="V17" i="33"/>
  <c r="U17" i="33"/>
  <c r="T17" i="33"/>
  <c r="S17" i="33"/>
  <c r="R17" i="33"/>
  <c r="Q17" i="33"/>
  <c r="P17" i="33"/>
  <c r="O17" i="33"/>
  <c r="N17" i="33"/>
  <c r="M17" i="33"/>
  <c r="L17" i="33"/>
  <c r="K17" i="33"/>
  <c r="J17" i="33"/>
  <c r="I17" i="33"/>
  <c r="H17" i="33"/>
  <c r="G17" i="33"/>
  <c r="F17" i="33"/>
  <c r="E17" i="33"/>
  <c r="D17" i="33"/>
  <c r="C17" i="33"/>
  <c r="B17" i="33"/>
  <c r="AB16" i="33"/>
  <c r="AA16" i="33"/>
  <c r="Z16" i="33"/>
  <c r="Y16" i="33"/>
  <c r="X16" i="33"/>
  <c r="W16" i="33"/>
  <c r="V16" i="33"/>
  <c r="U16" i="33"/>
  <c r="T16" i="33"/>
  <c r="S16" i="33"/>
  <c r="R16" i="33"/>
  <c r="Q16" i="33"/>
  <c r="P16" i="33"/>
  <c r="O16" i="33"/>
  <c r="N16" i="33"/>
  <c r="M16" i="33"/>
  <c r="L16" i="33"/>
  <c r="K16" i="33"/>
  <c r="J16" i="33"/>
  <c r="I16" i="33"/>
  <c r="H16" i="33"/>
  <c r="G16" i="33"/>
  <c r="F16" i="33"/>
  <c r="E16" i="33"/>
  <c r="D16" i="33"/>
  <c r="C16" i="33"/>
  <c r="B16" i="33"/>
  <c r="AB15" i="33"/>
  <c r="AA15" i="33"/>
  <c r="Z15" i="33"/>
  <c r="Y15" i="33"/>
  <c r="X15" i="33"/>
  <c r="W15" i="33"/>
  <c r="V15" i="33"/>
  <c r="U15" i="33"/>
  <c r="T15" i="33"/>
  <c r="S15" i="33"/>
  <c r="R15" i="33"/>
  <c r="Q15" i="33"/>
  <c r="P15" i="33"/>
  <c r="O15" i="33"/>
  <c r="N15" i="33"/>
  <c r="M15" i="33"/>
  <c r="L15" i="33"/>
  <c r="K15" i="33"/>
  <c r="J15" i="33"/>
  <c r="I15" i="33"/>
  <c r="H15" i="33"/>
  <c r="G15" i="33"/>
  <c r="F15" i="33"/>
  <c r="E15" i="33"/>
  <c r="D15" i="33"/>
  <c r="C15" i="33"/>
  <c r="B15" i="33"/>
  <c r="AB14" i="33"/>
  <c r="AA14" i="33"/>
  <c r="Z14" i="33"/>
  <c r="Y14" i="33"/>
  <c r="X14" i="33"/>
  <c r="W14" i="33"/>
  <c r="V14" i="33"/>
  <c r="U14" i="33"/>
  <c r="T14" i="33"/>
  <c r="S14" i="33"/>
  <c r="R14" i="33"/>
  <c r="Q14" i="33"/>
  <c r="P14" i="33"/>
  <c r="O14" i="33"/>
  <c r="N14" i="33"/>
  <c r="M14" i="33"/>
  <c r="L14" i="33"/>
  <c r="K14" i="33"/>
  <c r="J14" i="33"/>
  <c r="I14" i="33"/>
  <c r="H14" i="33"/>
  <c r="G14" i="33"/>
  <c r="F14" i="33"/>
  <c r="E14" i="33"/>
  <c r="D14" i="33"/>
  <c r="C14" i="33"/>
  <c r="B14" i="33"/>
  <c r="AB13" i="33"/>
  <c r="AA13" i="33"/>
  <c r="Z13" i="33"/>
  <c r="Y13" i="33"/>
  <c r="X13" i="33"/>
  <c r="W13" i="33"/>
  <c r="V13" i="33"/>
  <c r="U13" i="33"/>
  <c r="T13" i="33"/>
  <c r="S13" i="33"/>
  <c r="R13" i="33"/>
  <c r="Q13" i="33"/>
  <c r="P13" i="33"/>
  <c r="O13" i="33"/>
  <c r="N13" i="33"/>
  <c r="M13" i="33"/>
  <c r="L13" i="33"/>
  <c r="K13" i="33"/>
  <c r="J13" i="33"/>
  <c r="I13" i="33"/>
  <c r="H13" i="33"/>
  <c r="G13" i="33"/>
  <c r="F13" i="33"/>
  <c r="E13" i="33"/>
  <c r="D13" i="33"/>
  <c r="C13" i="33"/>
  <c r="B13" i="33"/>
  <c r="AB12" i="33"/>
  <c r="AA12" i="33"/>
  <c r="Z12" i="33"/>
  <c r="Y12" i="33"/>
  <c r="X12" i="33"/>
  <c r="W12" i="33"/>
  <c r="V12" i="33"/>
  <c r="U12" i="33"/>
  <c r="T12" i="33"/>
  <c r="S12" i="33"/>
  <c r="R12" i="33"/>
  <c r="Q12" i="33"/>
  <c r="P12" i="33"/>
  <c r="O12" i="33"/>
  <c r="N12" i="33"/>
  <c r="M12" i="33"/>
  <c r="L12" i="33"/>
  <c r="K12" i="33"/>
  <c r="J12" i="33"/>
  <c r="I12" i="33"/>
  <c r="H12" i="33"/>
  <c r="G12" i="33"/>
  <c r="F12" i="33"/>
  <c r="E12" i="33"/>
  <c r="D12" i="33"/>
  <c r="C12" i="33"/>
  <c r="B12" i="33"/>
  <c r="AB11" i="33"/>
  <c r="AA11" i="33"/>
  <c r="Z11" i="33"/>
  <c r="Y11" i="33"/>
  <c r="X11" i="33"/>
  <c r="W11" i="33"/>
  <c r="V11" i="33"/>
  <c r="U11" i="33"/>
  <c r="T11" i="33"/>
  <c r="S11" i="33"/>
  <c r="R11" i="33"/>
  <c r="Q11" i="33"/>
  <c r="P11" i="33"/>
  <c r="O11" i="33"/>
  <c r="N11" i="33"/>
  <c r="M11" i="33"/>
  <c r="L11" i="33"/>
  <c r="K11" i="33"/>
  <c r="J11" i="33"/>
  <c r="I11" i="33"/>
  <c r="H11" i="33"/>
  <c r="G11" i="33"/>
  <c r="F11" i="33"/>
  <c r="E11" i="33"/>
  <c r="D11" i="33"/>
  <c r="C11" i="33"/>
  <c r="B11"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10" i="33"/>
  <c r="AB9" i="33"/>
  <c r="AA9" i="33"/>
  <c r="Z9" i="33"/>
  <c r="Y9" i="33"/>
  <c r="X9" i="33"/>
  <c r="W9" i="33"/>
  <c r="V9" i="33"/>
  <c r="U9" i="33"/>
  <c r="T9" i="33"/>
  <c r="S9" i="33"/>
  <c r="R9" i="33"/>
  <c r="Q9" i="33"/>
  <c r="P9" i="33"/>
  <c r="O9" i="33"/>
  <c r="N9" i="33"/>
  <c r="M9" i="33"/>
  <c r="L9" i="33"/>
  <c r="K9" i="33"/>
  <c r="J9" i="33"/>
  <c r="I9" i="33"/>
  <c r="H9" i="33"/>
  <c r="G9" i="33"/>
  <c r="F9" i="33"/>
  <c r="E9" i="33"/>
  <c r="D9" i="33"/>
  <c r="C9" i="33"/>
  <c r="B9" i="33"/>
  <c r="AB8" i="33"/>
  <c r="AA8" i="33"/>
  <c r="Z8" i="33"/>
  <c r="Y8" i="33"/>
  <c r="X8" i="33"/>
  <c r="W8" i="33"/>
  <c r="V8" i="33"/>
  <c r="U8" i="33"/>
  <c r="T8" i="33"/>
  <c r="S8" i="33"/>
  <c r="R8" i="33"/>
  <c r="Q8" i="33"/>
  <c r="P8" i="33"/>
  <c r="O8" i="33"/>
  <c r="N8" i="33"/>
  <c r="M8" i="33"/>
  <c r="L8" i="33"/>
  <c r="K8" i="33"/>
  <c r="J8" i="33"/>
  <c r="I8" i="33"/>
  <c r="H8" i="33"/>
  <c r="G8" i="33"/>
  <c r="F8" i="33"/>
  <c r="E8" i="33"/>
  <c r="D8" i="33"/>
  <c r="C8" i="33"/>
  <c r="B8" i="33"/>
  <c r="AB7" i="33"/>
  <c r="AA7" i="33"/>
  <c r="Z7" i="33"/>
  <c r="Y7" i="33"/>
  <c r="X7" i="33"/>
  <c r="W7" i="33"/>
  <c r="V7" i="33"/>
  <c r="U7" i="33"/>
  <c r="T7" i="33"/>
  <c r="S7" i="33"/>
  <c r="R7" i="33"/>
  <c r="Q7" i="33"/>
  <c r="P7" i="33"/>
  <c r="O7" i="33"/>
  <c r="N7" i="33"/>
  <c r="M7" i="33"/>
  <c r="L7" i="33"/>
  <c r="K7" i="33"/>
  <c r="J7" i="33"/>
  <c r="I7" i="33"/>
  <c r="H7" i="33"/>
  <c r="G7" i="33"/>
  <c r="F7" i="33"/>
  <c r="E7" i="33"/>
  <c r="D7" i="33"/>
  <c r="C7" i="33"/>
  <c r="B7" i="33"/>
  <c r="AB6" i="33"/>
  <c r="AA6" i="33"/>
  <c r="Z6" i="33"/>
  <c r="Y6" i="33"/>
  <c r="X6" i="33"/>
  <c r="W6" i="33"/>
  <c r="V6" i="33"/>
  <c r="U6" i="33"/>
  <c r="T6" i="33"/>
  <c r="S6" i="33"/>
  <c r="R6" i="33"/>
  <c r="Q6" i="33"/>
  <c r="P6" i="33"/>
  <c r="O6" i="33"/>
  <c r="N6" i="33"/>
  <c r="M6" i="33"/>
  <c r="L6" i="33"/>
  <c r="K6" i="33"/>
  <c r="J6" i="33"/>
  <c r="I6" i="33"/>
  <c r="H6" i="33"/>
  <c r="G6" i="33"/>
  <c r="F6" i="33"/>
  <c r="E6" i="33"/>
  <c r="D6" i="33"/>
  <c r="C6" i="33"/>
  <c r="B6" i="33"/>
  <c r="AB5" i="33"/>
  <c r="AA5" i="33"/>
  <c r="Z5" i="33"/>
  <c r="Y5" i="33"/>
  <c r="X5" i="33"/>
  <c r="W5" i="33"/>
  <c r="V5" i="33"/>
  <c r="U5" i="33"/>
  <c r="T5" i="33"/>
  <c r="S5" i="33"/>
  <c r="R5" i="33"/>
  <c r="Q5" i="33"/>
  <c r="P5" i="33"/>
  <c r="O5" i="33"/>
  <c r="N5" i="33"/>
  <c r="M5" i="33"/>
  <c r="L5" i="33"/>
  <c r="K5" i="33"/>
  <c r="J5" i="33"/>
  <c r="I5" i="33"/>
  <c r="H5" i="33"/>
  <c r="G5" i="33"/>
  <c r="F5" i="33"/>
  <c r="E5" i="33"/>
  <c r="D5" i="33"/>
  <c r="C5" i="33"/>
  <c r="B5" i="33"/>
  <c r="AB4" i="33"/>
  <c r="AA4" i="33"/>
  <c r="Z4" i="33"/>
  <c r="Y4" i="33"/>
  <c r="X4" i="33"/>
  <c r="W4" i="33"/>
  <c r="V4" i="33"/>
  <c r="U4" i="33"/>
  <c r="T4" i="33"/>
  <c r="S4" i="33"/>
  <c r="R4" i="33"/>
  <c r="Q4" i="33"/>
  <c r="P4" i="33"/>
  <c r="O4" i="33"/>
  <c r="N4" i="33"/>
  <c r="M4" i="33"/>
  <c r="L4" i="33"/>
  <c r="K4" i="33"/>
  <c r="J4" i="33"/>
  <c r="I4" i="33"/>
  <c r="H4" i="33"/>
  <c r="G4" i="33"/>
  <c r="F4" i="33"/>
  <c r="E4" i="33"/>
  <c r="D4" i="33"/>
  <c r="C4" i="33"/>
  <c r="B4" i="33"/>
  <c r="AB3" i="33"/>
  <c r="AA3" i="33"/>
  <c r="Z3" i="33"/>
  <c r="Y3" i="33"/>
  <c r="X3" i="33"/>
  <c r="W3" i="33"/>
  <c r="V3" i="33"/>
  <c r="U3" i="33"/>
  <c r="T3" i="33"/>
  <c r="S3" i="33"/>
  <c r="R3" i="33"/>
  <c r="Q3" i="33"/>
  <c r="P3" i="33"/>
  <c r="O3" i="33"/>
  <c r="N3" i="33"/>
  <c r="M3" i="33"/>
  <c r="L3" i="33"/>
  <c r="K3" i="33"/>
  <c r="J3" i="33"/>
  <c r="I3" i="33"/>
  <c r="H3" i="33"/>
  <c r="G3" i="33"/>
  <c r="F3" i="33"/>
  <c r="E3" i="33"/>
  <c r="D3" i="33"/>
  <c r="C3" i="33"/>
  <c r="B3" i="33"/>
  <c r="AB2" i="33"/>
  <c r="AA2" i="33"/>
  <c r="Z2" i="33"/>
  <c r="Y2" i="33"/>
  <c r="X2" i="33"/>
  <c r="W2" i="33"/>
  <c r="V2" i="33"/>
  <c r="U2" i="33"/>
  <c r="T2" i="33"/>
  <c r="S2" i="33"/>
  <c r="R2" i="33"/>
  <c r="Q2" i="33"/>
  <c r="P2" i="33"/>
  <c r="O2" i="33"/>
  <c r="N2" i="33"/>
  <c r="M2" i="33"/>
  <c r="L2" i="33"/>
  <c r="K2" i="33"/>
  <c r="J2" i="33"/>
  <c r="I2" i="33"/>
  <c r="H2" i="33"/>
  <c r="G2" i="33"/>
  <c r="F2" i="33"/>
  <c r="E2" i="33"/>
  <c r="D2" i="33"/>
  <c r="C2" i="33"/>
  <c r="B2" i="33"/>
  <c r="M27" i="32"/>
  <c r="L27" i="32"/>
  <c r="K27" i="32"/>
  <c r="I27" i="32"/>
  <c r="H27" i="32"/>
  <c r="G27" i="32"/>
  <c r="F27" i="32"/>
  <c r="E27" i="32"/>
  <c r="D27" i="32"/>
  <c r="C27" i="32"/>
  <c r="B27" i="32"/>
  <c r="M26" i="32"/>
  <c r="L26" i="32"/>
  <c r="K26" i="32"/>
  <c r="J26" i="32"/>
  <c r="I26" i="32"/>
  <c r="H26" i="32"/>
  <c r="G26" i="32"/>
  <c r="F26" i="32"/>
  <c r="E26" i="32"/>
  <c r="D26" i="32"/>
  <c r="C26" i="32"/>
  <c r="B26" i="32"/>
  <c r="M25" i="32"/>
  <c r="L25" i="32"/>
  <c r="K25" i="32"/>
  <c r="J25" i="32"/>
  <c r="I25" i="32"/>
  <c r="H25" i="32"/>
  <c r="G25" i="32"/>
  <c r="F25" i="32"/>
  <c r="E25" i="32"/>
  <c r="D25" i="32"/>
  <c r="C25" i="32"/>
  <c r="B25" i="32"/>
  <c r="M24" i="32"/>
  <c r="L24" i="32"/>
  <c r="K24" i="32"/>
  <c r="J24" i="32"/>
  <c r="I24" i="32"/>
  <c r="H24" i="32"/>
  <c r="G24" i="32"/>
  <c r="F24" i="32"/>
  <c r="E24" i="32"/>
  <c r="D24" i="32"/>
  <c r="C24" i="32"/>
  <c r="B24" i="32"/>
  <c r="M23" i="32"/>
  <c r="L23" i="32"/>
  <c r="K23" i="32"/>
  <c r="J23" i="32"/>
  <c r="I23" i="32"/>
  <c r="H23" i="32"/>
  <c r="G23" i="32"/>
  <c r="F23" i="32"/>
  <c r="E23" i="32"/>
  <c r="D23" i="32"/>
  <c r="C23" i="32"/>
  <c r="B23" i="32"/>
  <c r="M22" i="32"/>
  <c r="L22" i="32"/>
  <c r="K22" i="32"/>
  <c r="J22" i="32"/>
  <c r="I22" i="32"/>
  <c r="H22" i="32"/>
  <c r="G22" i="32"/>
  <c r="F22" i="32"/>
  <c r="E22" i="32"/>
  <c r="D22" i="32"/>
  <c r="C22" i="32"/>
  <c r="B22" i="32"/>
  <c r="M21" i="32"/>
  <c r="L21" i="32"/>
  <c r="K21" i="32"/>
  <c r="J21" i="32"/>
  <c r="I21" i="32"/>
  <c r="H21" i="32"/>
  <c r="G21" i="32"/>
  <c r="F21" i="32"/>
  <c r="E21" i="32"/>
  <c r="D21" i="32"/>
  <c r="C21" i="32"/>
  <c r="B21" i="32"/>
  <c r="M20" i="32"/>
  <c r="L20" i="32"/>
  <c r="K20" i="32"/>
  <c r="J20" i="32"/>
  <c r="I20" i="32"/>
  <c r="H20" i="32"/>
  <c r="G20" i="32"/>
  <c r="F20" i="32"/>
  <c r="E20" i="32"/>
  <c r="D20" i="32"/>
  <c r="C20" i="32"/>
  <c r="B20" i="32"/>
  <c r="M19" i="32"/>
  <c r="L19" i="32"/>
  <c r="K19" i="32"/>
  <c r="J19" i="32"/>
  <c r="I19" i="32"/>
  <c r="H19" i="32"/>
  <c r="G19" i="32"/>
  <c r="F19" i="32"/>
  <c r="E19" i="32"/>
  <c r="D19" i="32"/>
  <c r="C19" i="32"/>
  <c r="B19" i="32"/>
  <c r="M18" i="32"/>
  <c r="L18" i="32"/>
  <c r="K18" i="32"/>
  <c r="J18" i="32"/>
  <c r="I18" i="32"/>
  <c r="H18" i="32"/>
  <c r="G18" i="32"/>
  <c r="F18" i="32"/>
  <c r="E18" i="32"/>
  <c r="D18" i="32"/>
  <c r="C18" i="32"/>
  <c r="B18" i="32"/>
  <c r="M17" i="32"/>
  <c r="L17" i="32"/>
  <c r="K17" i="32"/>
  <c r="J17" i="32"/>
  <c r="I17" i="32"/>
  <c r="H17" i="32"/>
  <c r="G17" i="32"/>
  <c r="F17" i="32"/>
  <c r="E17" i="32"/>
  <c r="D17" i="32"/>
  <c r="C17" i="32"/>
  <c r="B17" i="32"/>
  <c r="M16" i="32"/>
  <c r="L16" i="32"/>
  <c r="K16" i="32"/>
  <c r="J16" i="32"/>
  <c r="I16" i="32"/>
  <c r="H16" i="32"/>
  <c r="G16" i="32"/>
  <c r="F16" i="32"/>
  <c r="E16" i="32"/>
  <c r="D16" i="32"/>
  <c r="C16" i="32"/>
  <c r="B16" i="32"/>
  <c r="M15" i="32"/>
  <c r="L15" i="32"/>
  <c r="K15" i="32"/>
  <c r="J15" i="32"/>
  <c r="I15" i="32"/>
  <c r="H15" i="32"/>
  <c r="G15" i="32"/>
  <c r="F15" i="32"/>
  <c r="E15" i="32"/>
  <c r="D15" i="32"/>
  <c r="C15" i="32"/>
  <c r="B15" i="32"/>
  <c r="M14" i="32"/>
  <c r="L14" i="32"/>
  <c r="K14" i="32"/>
  <c r="J14" i="32"/>
  <c r="I14" i="32"/>
  <c r="H14" i="32"/>
  <c r="G14" i="32"/>
  <c r="F14" i="32"/>
  <c r="E14" i="32"/>
  <c r="D14" i="32"/>
  <c r="C14" i="32"/>
  <c r="B14" i="32"/>
  <c r="M13" i="32"/>
  <c r="L13" i="32"/>
  <c r="K13" i="32"/>
  <c r="J13" i="32"/>
  <c r="I13" i="32"/>
  <c r="H13" i="32"/>
  <c r="G13" i="32"/>
  <c r="F13" i="32"/>
  <c r="E13" i="32"/>
  <c r="D13" i="32"/>
  <c r="C13" i="32"/>
  <c r="B13" i="32"/>
  <c r="M12" i="32"/>
  <c r="L12" i="32"/>
  <c r="K12" i="32"/>
  <c r="J12" i="32"/>
  <c r="I12" i="32"/>
  <c r="H12" i="32"/>
  <c r="G12" i="32"/>
  <c r="F12" i="32"/>
  <c r="E12" i="32"/>
  <c r="D12" i="32"/>
  <c r="C12" i="32"/>
  <c r="B12" i="32"/>
  <c r="M11" i="32"/>
  <c r="L11" i="32"/>
  <c r="K11" i="32"/>
  <c r="J11" i="32"/>
  <c r="I11" i="32"/>
  <c r="H11" i="32"/>
  <c r="G11" i="32"/>
  <c r="F11" i="32"/>
  <c r="E11" i="32"/>
  <c r="D11" i="32"/>
  <c r="C11" i="32"/>
  <c r="B11" i="32"/>
  <c r="M10" i="32"/>
  <c r="L10" i="32"/>
  <c r="K10" i="32"/>
  <c r="J10" i="32"/>
  <c r="I10" i="32"/>
  <c r="H10" i="32"/>
  <c r="G10" i="32"/>
  <c r="F10" i="32"/>
  <c r="E10" i="32"/>
  <c r="D10" i="32"/>
  <c r="C10" i="32"/>
  <c r="B10" i="32"/>
  <c r="M9" i="32"/>
  <c r="L9" i="32"/>
  <c r="K9" i="32"/>
  <c r="J9" i="32"/>
  <c r="I9" i="32"/>
  <c r="H9" i="32"/>
  <c r="G9" i="32"/>
  <c r="F9" i="32"/>
  <c r="E9" i="32"/>
  <c r="D9" i="32"/>
  <c r="C9" i="32"/>
  <c r="B9" i="32"/>
  <c r="M8" i="32"/>
  <c r="L8" i="32"/>
  <c r="K8" i="32"/>
  <c r="J8" i="32"/>
  <c r="I8" i="32"/>
  <c r="H8" i="32"/>
  <c r="G8" i="32"/>
  <c r="F8" i="32"/>
  <c r="E8" i="32"/>
  <c r="D8" i="32"/>
  <c r="C8" i="32"/>
  <c r="B8" i="32"/>
  <c r="M7" i="32"/>
  <c r="L7" i="32"/>
  <c r="K7" i="32"/>
  <c r="J7" i="32"/>
  <c r="I7" i="32"/>
  <c r="H7" i="32"/>
  <c r="G7" i="32"/>
  <c r="F7" i="32"/>
  <c r="E7" i="32"/>
  <c r="D7" i="32"/>
  <c r="C7" i="32"/>
  <c r="B7" i="32"/>
  <c r="M6" i="32"/>
  <c r="L6" i="32"/>
  <c r="K6" i="32"/>
  <c r="J6" i="32"/>
  <c r="I6" i="32"/>
  <c r="H6" i="32"/>
  <c r="G6" i="32"/>
  <c r="F6" i="32"/>
  <c r="E6" i="32"/>
  <c r="D6" i="32"/>
  <c r="C6" i="32"/>
  <c r="B6" i="32"/>
  <c r="M5" i="32"/>
  <c r="L5" i="32"/>
  <c r="K5" i="32"/>
  <c r="J5" i="32"/>
  <c r="I5" i="32"/>
  <c r="H5" i="32"/>
  <c r="G5" i="32"/>
  <c r="F5" i="32"/>
  <c r="E5" i="32"/>
  <c r="D5" i="32"/>
  <c r="C5" i="32"/>
  <c r="B5" i="32"/>
  <c r="M4" i="32"/>
  <c r="L4" i="32"/>
  <c r="K4" i="32"/>
  <c r="J4" i="32"/>
  <c r="I4" i="32"/>
  <c r="H4" i="32"/>
  <c r="G4" i="32"/>
  <c r="F4" i="32"/>
  <c r="E4" i="32"/>
  <c r="D4" i="32"/>
  <c r="C4" i="32"/>
  <c r="B4" i="32"/>
  <c r="M3" i="32"/>
  <c r="L3" i="32"/>
  <c r="K3" i="32"/>
  <c r="J3" i="32"/>
  <c r="I3" i="32"/>
  <c r="H3" i="32"/>
  <c r="G3" i="32"/>
  <c r="F3" i="32"/>
  <c r="E3" i="32"/>
  <c r="D3" i="32"/>
  <c r="C3" i="32"/>
  <c r="B3" i="32"/>
  <c r="M2" i="32"/>
  <c r="L2" i="32"/>
  <c r="K2" i="32"/>
  <c r="J2" i="32"/>
  <c r="I2" i="32"/>
  <c r="H2" i="32"/>
  <c r="G2" i="32"/>
  <c r="F2" i="32"/>
  <c r="E2" i="32"/>
  <c r="D2" i="32"/>
  <c r="C2" i="32"/>
  <c r="B2" i="32"/>
  <c r="Z26" i="31"/>
  <c r="Y26" i="31"/>
  <c r="X26" i="31"/>
  <c r="W26" i="31"/>
  <c r="V26" i="31"/>
  <c r="U26" i="31"/>
  <c r="T26" i="31"/>
  <c r="S26" i="31"/>
  <c r="R26" i="31"/>
  <c r="Q26" i="31"/>
  <c r="P26" i="31"/>
  <c r="O26" i="31"/>
  <c r="N26" i="31"/>
  <c r="M26" i="31"/>
  <c r="L26" i="31"/>
  <c r="K26" i="31"/>
  <c r="J26" i="31"/>
  <c r="I26" i="31"/>
  <c r="H26" i="31"/>
  <c r="G26" i="31"/>
  <c r="F26" i="31"/>
  <c r="E26" i="31"/>
  <c r="D26" i="31"/>
  <c r="C26" i="31"/>
  <c r="B26" i="31"/>
  <c r="Z25" i="31"/>
  <c r="Y25" i="31"/>
  <c r="X25" i="31"/>
  <c r="W25" i="31"/>
  <c r="V25" i="31"/>
  <c r="U25" i="31"/>
  <c r="T25" i="31"/>
  <c r="S25" i="31"/>
  <c r="R25" i="31"/>
  <c r="Q25" i="31"/>
  <c r="P25" i="31"/>
  <c r="O25" i="31"/>
  <c r="N25" i="31"/>
  <c r="M25" i="31"/>
  <c r="L25" i="31"/>
  <c r="K25" i="31"/>
  <c r="J25" i="31"/>
  <c r="I25" i="31"/>
  <c r="H25" i="31"/>
  <c r="G25" i="31"/>
  <c r="F25" i="31"/>
  <c r="E25" i="31"/>
  <c r="D25" i="31"/>
  <c r="C25" i="31"/>
  <c r="B25" i="31"/>
  <c r="Z24" i="31"/>
  <c r="Y24" i="31"/>
  <c r="X24" i="31"/>
  <c r="W24" i="31"/>
  <c r="V24" i="31"/>
  <c r="U24" i="31"/>
  <c r="T24" i="31"/>
  <c r="S24" i="31"/>
  <c r="R24" i="31"/>
  <c r="Q24" i="31"/>
  <c r="P24" i="31"/>
  <c r="O24" i="31"/>
  <c r="N24" i="31"/>
  <c r="M24" i="31"/>
  <c r="L24" i="31"/>
  <c r="K24" i="31"/>
  <c r="J24" i="31"/>
  <c r="I24" i="31"/>
  <c r="H24" i="31"/>
  <c r="G24" i="31"/>
  <c r="F24" i="31"/>
  <c r="E24" i="31"/>
  <c r="D24" i="31"/>
  <c r="C24" i="31"/>
  <c r="B24" i="31"/>
  <c r="Z23" i="31"/>
  <c r="Y23" i="31"/>
  <c r="X23" i="31"/>
  <c r="W23" i="31"/>
  <c r="V23" i="31"/>
  <c r="U23" i="31"/>
  <c r="T23" i="31"/>
  <c r="S23" i="31"/>
  <c r="R23" i="31"/>
  <c r="Q23" i="31"/>
  <c r="P23" i="31"/>
  <c r="O23" i="31"/>
  <c r="N23" i="31"/>
  <c r="M23" i="31"/>
  <c r="L23" i="31"/>
  <c r="K23" i="31"/>
  <c r="J23" i="31"/>
  <c r="I23" i="31"/>
  <c r="H23" i="31"/>
  <c r="G23" i="31"/>
  <c r="F23" i="31"/>
  <c r="E23" i="31"/>
  <c r="D23" i="31"/>
  <c r="C23" i="31"/>
  <c r="B23" i="31"/>
  <c r="Z22" i="31"/>
  <c r="Y22" i="31"/>
  <c r="X22" i="31"/>
  <c r="W22" i="31"/>
  <c r="V22" i="31"/>
  <c r="U22" i="31"/>
  <c r="T22" i="31"/>
  <c r="S22" i="31"/>
  <c r="R22" i="31"/>
  <c r="Q22" i="31"/>
  <c r="P22" i="31"/>
  <c r="O22" i="31"/>
  <c r="N22" i="31"/>
  <c r="M22" i="31"/>
  <c r="L22" i="31"/>
  <c r="K22" i="31"/>
  <c r="J22" i="31"/>
  <c r="I22" i="31"/>
  <c r="H22" i="31"/>
  <c r="G22" i="31"/>
  <c r="F22" i="31"/>
  <c r="E22" i="31"/>
  <c r="D22" i="31"/>
  <c r="C22" i="31"/>
  <c r="B22" i="31"/>
  <c r="Z21" i="31"/>
  <c r="Y21" i="31"/>
  <c r="X21" i="31"/>
  <c r="W21" i="31"/>
  <c r="V21" i="31"/>
  <c r="U21" i="31"/>
  <c r="T21" i="31"/>
  <c r="S21" i="31"/>
  <c r="R21" i="31"/>
  <c r="Q21" i="31"/>
  <c r="P21" i="31"/>
  <c r="O21" i="31"/>
  <c r="N21" i="31"/>
  <c r="M21" i="31"/>
  <c r="L21" i="31"/>
  <c r="K21" i="31"/>
  <c r="J21" i="31"/>
  <c r="I21" i="31"/>
  <c r="H21" i="31"/>
  <c r="G21" i="31"/>
  <c r="F21" i="31"/>
  <c r="E21" i="31"/>
  <c r="D21" i="31"/>
  <c r="C21" i="31"/>
  <c r="B21" i="31"/>
  <c r="Z20" i="31"/>
  <c r="Y20" i="31"/>
  <c r="X20" i="31"/>
  <c r="W20" i="31"/>
  <c r="V20" i="31"/>
  <c r="U20" i="31"/>
  <c r="T20" i="31"/>
  <c r="S20" i="31"/>
  <c r="R20" i="31"/>
  <c r="Q20" i="31"/>
  <c r="P20" i="31"/>
  <c r="O20" i="31"/>
  <c r="N20" i="31"/>
  <c r="M20" i="31"/>
  <c r="L20" i="31"/>
  <c r="K20" i="31"/>
  <c r="J20" i="31"/>
  <c r="I20" i="31"/>
  <c r="H20" i="31"/>
  <c r="G20" i="31"/>
  <c r="F20" i="31"/>
  <c r="E20" i="31"/>
  <c r="D20" i="31"/>
  <c r="C20" i="31"/>
  <c r="B20" i="31"/>
  <c r="Z19" i="31"/>
  <c r="Y19" i="31"/>
  <c r="X19" i="31"/>
  <c r="W19" i="31"/>
  <c r="V19" i="31"/>
  <c r="U19" i="31"/>
  <c r="T19" i="31"/>
  <c r="S19" i="31"/>
  <c r="R19" i="31"/>
  <c r="Q19" i="31"/>
  <c r="P19" i="31"/>
  <c r="O19" i="31"/>
  <c r="N19" i="31"/>
  <c r="M19" i="31"/>
  <c r="L19" i="31"/>
  <c r="K19" i="31"/>
  <c r="J19" i="31"/>
  <c r="I19" i="31"/>
  <c r="H19" i="31"/>
  <c r="G19" i="31"/>
  <c r="F19" i="31"/>
  <c r="E19" i="31"/>
  <c r="D19" i="31"/>
  <c r="C19" i="31"/>
  <c r="B19" i="31"/>
  <c r="Z18" i="31"/>
  <c r="Y18" i="31"/>
  <c r="X18" i="31"/>
  <c r="W18" i="31"/>
  <c r="V18" i="31"/>
  <c r="U18" i="31"/>
  <c r="T18" i="31"/>
  <c r="S18" i="31"/>
  <c r="R18" i="31"/>
  <c r="Q18" i="31"/>
  <c r="P18" i="31"/>
  <c r="O18" i="31"/>
  <c r="N18" i="31"/>
  <c r="M18" i="31"/>
  <c r="L18" i="31"/>
  <c r="K18" i="31"/>
  <c r="J18" i="31"/>
  <c r="I18" i="31"/>
  <c r="H18" i="31"/>
  <c r="G18" i="31"/>
  <c r="F18" i="31"/>
  <c r="E18" i="31"/>
  <c r="D18" i="31"/>
  <c r="C18" i="31"/>
  <c r="B18" i="31"/>
  <c r="Z17" i="31"/>
  <c r="Y17" i="31"/>
  <c r="X17" i="31"/>
  <c r="W17" i="31"/>
  <c r="V17" i="31"/>
  <c r="U17" i="31"/>
  <c r="T17" i="31"/>
  <c r="S17" i="31"/>
  <c r="R17" i="31"/>
  <c r="Q17" i="31"/>
  <c r="P17" i="31"/>
  <c r="O17" i="31"/>
  <c r="N17" i="31"/>
  <c r="M17" i="31"/>
  <c r="L17" i="31"/>
  <c r="K17" i="31"/>
  <c r="J17" i="31"/>
  <c r="I17" i="31"/>
  <c r="H17" i="31"/>
  <c r="G17" i="31"/>
  <c r="F17" i="31"/>
  <c r="E17" i="31"/>
  <c r="D17" i="31"/>
  <c r="C17" i="31"/>
  <c r="B17" i="31"/>
  <c r="Z16" i="31"/>
  <c r="Y16" i="31"/>
  <c r="X16" i="31"/>
  <c r="W16" i="31"/>
  <c r="V16" i="31"/>
  <c r="U16" i="31"/>
  <c r="T16" i="31"/>
  <c r="S16" i="31"/>
  <c r="R16" i="31"/>
  <c r="Q16" i="31"/>
  <c r="P16" i="31"/>
  <c r="O16" i="31"/>
  <c r="N16" i="31"/>
  <c r="M16" i="31"/>
  <c r="L16" i="31"/>
  <c r="K16" i="31"/>
  <c r="J16" i="31"/>
  <c r="I16" i="31"/>
  <c r="H16" i="31"/>
  <c r="G16" i="31"/>
  <c r="F16" i="31"/>
  <c r="E16" i="31"/>
  <c r="D16" i="31"/>
  <c r="C16" i="31"/>
  <c r="B16" i="31"/>
  <c r="Z15" i="31"/>
  <c r="Y15" i="31"/>
  <c r="X15" i="31"/>
  <c r="W15" i="31"/>
  <c r="V15" i="31"/>
  <c r="U15" i="31"/>
  <c r="T15" i="31"/>
  <c r="S15" i="31"/>
  <c r="R15" i="31"/>
  <c r="Q15" i="31"/>
  <c r="P15" i="31"/>
  <c r="O15" i="31"/>
  <c r="N15" i="31"/>
  <c r="M15" i="31"/>
  <c r="L15" i="31"/>
  <c r="K15" i="31"/>
  <c r="J15" i="31"/>
  <c r="I15" i="31"/>
  <c r="H15" i="31"/>
  <c r="G15" i="31"/>
  <c r="F15" i="31"/>
  <c r="E15" i="31"/>
  <c r="D15" i="31"/>
  <c r="C15" i="31"/>
  <c r="B15" i="31"/>
  <c r="Z14" i="31"/>
  <c r="Y14" i="31"/>
  <c r="X14" i="31"/>
  <c r="W14" i="31"/>
  <c r="V14" i="31"/>
  <c r="U14" i="31"/>
  <c r="T14" i="31"/>
  <c r="S14" i="31"/>
  <c r="R14" i="31"/>
  <c r="Q14" i="31"/>
  <c r="P14" i="31"/>
  <c r="O14" i="31"/>
  <c r="N14" i="31"/>
  <c r="M14" i="31"/>
  <c r="L14" i="31"/>
  <c r="K14" i="31"/>
  <c r="J14" i="31"/>
  <c r="I14" i="31"/>
  <c r="H14" i="31"/>
  <c r="G14" i="31"/>
  <c r="F14" i="31"/>
  <c r="E14" i="31"/>
  <c r="D14" i="31"/>
  <c r="C14" i="31"/>
  <c r="B14" i="31"/>
  <c r="Z13" i="31"/>
  <c r="Y13" i="31"/>
  <c r="X13" i="31"/>
  <c r="W13" i="31"/>
  <c r="V13" i="31"/>
  <c r="U13" i="31"/>
  <c r="T13" i="31"/>
  <c r="S13" i="31"/>
  <c r="R13" i="31"/>
  <c r="Q13" i="31"/>
  <c r="P13" i="31"/>
  <c r="O13" i="31"/>
  <c r="N13" i="31"/>
  <c r="M13" i="31"/>
  <c r="L13" i="31"/>
  <c r="K13" i="31"/>
  <c r="J13" i="31"/>
  <c r="I13" i="31"/>
  <c r="H13" i="31"/>
  <c r="G13" i="31"/>
  <c r="F13" i="31"/>
  <c r="E13" i="31"/>
  <c r="D13" i="31"/>
  <c r="C13" i="31"/>
  <c r="B13" i="31"/>
  <c r="Z12" i="31"/>
  <c r="Y12" i="31"/>
  <c r="X12" i="31"/>
  <c r="W12" i="31"/>
  <c r="V12" i="31"/>
  <c r="U12" i="31"/>
  <c r="T12" i="31"/>
  <c r="S12" i="31"/>
  <c r="R12" i="31"/>
  <c r="Q12" i="31"/>
  <c r="P12" i="31"/>
  <c r="O12" i="31"/>
  <c r="N12" i="31"/>
  <c r="M12" i="31"/>
  <c r="L12" i="31"/>
  <c r="K12" i="31"/>
  <c r="J12" i="31"/>
  <c r="I12" i="31"/>
  <c r="H12" i="31"/>
  <c r="G12" i="31"/>
  <c r="F12" i="31"/>
  <c r="E12" i="31"/>
  <c r="D12" i="31"/>
  <c r="C12" i="31"/>
  <c r="B12" i="31"/>
  <c r="Z11" i="31"/>
  <c r="Y11" i="31"/>
  <c r="X11" i="31"/>
  <c r="W11" i="31"/>
  <c r="V11" i="31"/>
  <c r="U11" i="31"/>
  <c r="T11" i="31"/>
  <c r="S11" i="31"/>
  <c r="R11" i="31"/>
  <c r="Q11" i="31"/>
  <c r="P11" i="31"/>
  <c r="O11" i="31"/>
  <c r="N11" i="31"/>
  <c r="M11" i="31"/>
  <c r="L11" i="31"/>
  <c r="K11" i="31"/>
  <c r="J11" i="31"/>
  <c r="I11" i="31"/>
  <c r="H11" i="31"/>
  <c r="G11" i="31"/>
  <c r="F11" i="31"/>
  <c r="E11" i="31"/>
  <c r="D11" i="31"/>
  <c r="C11" i="31"/>
  <c r="B11" i="31"/>
  <c r="Z10" i="31"/>
  <c r="Y10" i="31"/>
  <c r="X10" i="31"/>
  <c r="W10" i="31"/>
  <c r="V10" i="31"/>
  <c r="U10" i="31"/>
  <c r="T10" i="31"/>
  <c r="S10" i="31"/>
  <c r="R10" i="31"/>
  <c r="Q10" i="31"/>
  <c r="P10" i="31"/>
  <c r="O10" i="31"/>
  <c r="N10" i="31"/>
  <c r="M10" i="31"/>
  <c r="L10" i="31"/>
  <c r="K10" i="31"/>
  <c r="J10" i="31"/>
  <c r="I10" i="31"/>
  <c r="H10" i="31"/>
  <c r="G10" i="31"/>
  <c r="F10" i="31"/>
  <c r="E10" i="31"/>
  <c r="D10" i="31"/>
  <c r="C10" i="31"/>
  <c r="B10" i="31"/>
  <c r="Z9" i="31"/>
  <c r="Y9" i="31"/>
  <c r="X9" i="31"/>
  <c r="W9" i="31"/>
  <c r="V9" i="31"/>
  <c r="U9" i="31"/>
  <c r="T9" i="31"/>
  <c r="S9" i="31"/>
  <c r="R9" i="31"/>
  <c r="Q9" i="31"/>
  <c r="P9" i="31"/>
  <c r="O9" i="31"/>
  <c r="N9" i="31"/>
  <c r="M9" i="31"/>
  <c r="L9" i="31"/>
  <c r="K9" i="31"/>
  <c r="J9" i="31"/>
  <c r="I9" i="31"/>
  <c r="H9" i="31"/>
  <c r="G9" i="31"/>
  <c r="F9" i="31"/>
  <c r="E9" i="31"/>
  <c r="D9" i="31"/>
  <c r="C9" i="31"/>
  <c r="B9" i="31"/>
  <c r="Z8" i="31"/>
  <c r="Y8" i="31"/>
  <c r="X8" i="31"/>
  <c r="W8" i="31"/>
  <c r="V8" i="31"/>
  <c r="U8" i="31"/>
  <c r="T8" i="31"/>
  <c r="S8" i="31"/>
  <c r="R8" i="31"/>
  <c r="Q8" i="31"/>
  <c r="P8" i="31"/>
  <c r="O8" i="31"/>
  <c r="N8" i="31"/>
  <c r="M8" i="31"/>
  <c r="L8" i="31"/>
  <c r="K8" i="31"/>
  <c r="J8" i="31"/>
  <c r="I8" i="31"/>
  <c r="H8" i="31"/>
  <c r="G8" i="31"/>
  <c r="F8" i="31"/>
  <c r="E8" i="31"/>
  <c r="D8" i="31"/>
  <c r="C8" i="31"/>
  <c r="B8" i="31"/>
  <c r="Z7" i="31"/>
  <c r="Y7" i="31"/>
  <c r="X7" i="31"/>
  <c r="W7" i="31"/>
  <c r="V7" i="31"/>
  <c r="U7" i="31"/>
  <c r="T7" i="31"/>
  <c r="S7" i="31"/>
  <c r="R7" i="31"/>
  <c r="Q7" i="31"/>
  <c r="P7" i="31"/>
  <c r="O7" i="31"/>
  <c r="N7" i="31"/>
  <c r="M7" i="31"/>
  <c r="L7" i="31"/>
  <c r="K7" i="31"/>
  <c r="J7" i="31"/>
  <c r="I7" i="31"/>
  <c r="H7" i="31"/>
  <c r="G7" i="31"/>
  <c r="F7" i="31"/>
  <c r="E7" i="31"/>
  <c r="D7" i="31"/>
  <c r="C7" i="31"/>
  <c r="B7" i="31"/>
  <c r="Z6" i="31"/>
  <c r="Y6" i="31"/>
  <c r="X6" i="31"/>
  <c r="W6" i="31"/>
  <c r="V6" i="31"/>
  <c r="U6" i="31"/>
  <c r="T6" i="31"/>
  <c r="S6" i="31"/>
  <c r="R6" i="31"/>
  <c r="Q6" i="31"/>
  <c r="P6" i="31"/>
  <c r="O6" i="31"/>
  <c r="N6" i="31"/>
  <c r="M6" i="31"/>
  <c r="L6" i="31"/>
  <c r="K6" i="31"/>
  <c r="J6" i="31"/>
  <c r="I6" i="31"/>
  <c r="H6" i="31"/>
  <c r="G6" i="31"/>
  <c r="F6" i="31"/>
  <c r="E6" i="31"/>
  <c r="D6" i="31"/>
  <c r="C6" i="31"/>
  <c r="B6" i="31"/>
  <c r="Z5" i="31"/>
  <c r="Y5" i="31"/>
  <c r="X5" i="31"/>
  <c r="W5" i="31"/>
  <c r="V5" i="31"/>
  <c r="U5" i="31"/>
  <c r="T5" i="31"/>
  <c r="S5" i="31"/>
  <c r="R5" i="31"/>
  <c r="Q5" i="31"/>
  <c r="P5" i="31"/>
  <c r="O5" i="31"/>
  <c r="N5" i="31"/>
  <c r="M5" i="31"/>
  <c r="L5" i="31"/>
  <c r="K5" i="31"/>
  <c r="J5" i="31"/>
  <c r="I5" i="31"/>
  <c r="H5" i="31"/>
  <c r="G5" i="31"/>
  <c r="F5" i="31"/>
  <c r="E5" i="31"/>
  <c r="D5" i="31"/>
  <c r="C5" i="31"/>
  <c r="B5" i="31"/>
  <c r="Z4" i="31"/>
  <c r="Y4" i="31"/>
  <c r="X4" i="31"/>
  <c r="W4" i="31"/>
  <c r="V4" i="31"/>
  <c r="U4" i="31"/>
  <c r="T4" i="31"/>
  <c r="S4" i="31"/>
  <c r="R4" i="31"/>
  <c r="Q4" i="31"/>
  <c r="P4" i="31"/>
  <c r="O4" i="31"/>
  <c r="N4" i="31"/>
  <c r="M4" i="31"/>
  <c r="L4" i="31"/>
  <c r="K4" i="31"/>
  <c r="J4" i="31"/>
  <c r="I4" i="31"/>
  <c r="H4" i="31"/>
  <c r="G4" i="31"/>
  <c r="F4" i="31"/>
  <c r="E4" i="31"/>
  <c r="D4" i="31"/>
  <c r="C4" i="31"/>
  <c r="B4" i="31"/>
  <c r="Z3" i="31"/>
  <c r="Y3" i="31"/>
  <c r="X3" i="31"/>
  <c r="W3" i="31"/>
  <c r="V3" i="31"/>
  <c r="U3" i="31"/>
  <c r="T3" i="31"/>
  <c r="S3" i="31"/>
  <c r="R3" i="31"/>
  <c r="Q3" i="31"/>
  <c r="P3" i="31"/>
  <c r="O3" i="31"/>
  <c r="N3" i="31"/>
  <c r="M3" i="31"/>
  <c r="L3" i="31"/>
  <c r="K3" i="31"/>
  <c r="J3" i="31"/>
  <c r="I3" i="31"/>
  <c r="H3" i="31"/>
  <c r="G3" i="31"/>
  <c r="F3" i="31"/>
  <c r="E3" i="31"/>
  <c r="D3" i="31"/>
  <c r="C3" i="31"/>
  <c r="B3" i="31"/>
  <c r="Z2" i="31"/>
  <c r="Y2" i="31"/>
  <c r="X2" i="31"/>
  <c r="W2" i="31"/>
  <c r="V2" i="31"/>
  <c r="U2" i="31"/>
  <c r="T2" i="31"/>
  <c r="S2" i="31"/>
  <c r="R2" i="31"/>
  <c r="Q2" i="31"/>
  <c r="P2" i="31"/>
  <c r="O2" i="31"/>
  <c r="N2" i="31"/>
  <c r="M2" i="31"/>
  <c r="L2" i="31"/>
  <c r="K2" i="31"/>
  <c r="J2" i="31"/>
  <c r="I2" i="31"/>
  <c r="H2" i="31"/>
  <c r="G2" i="31"/>
  <c r="F2" i="31"/>
  <c r="E2" i="31"/>
  <c r="D2" i="31"/>
  <c r="C2" i="31"/>
  <c r="B2" i="31"/>
  <c r="C27" i="24"/>
  <c r="D27" i="24"/>
  <c r="E27" i="24"/>
  <c r="F27" i="24"/>
  <c r="G27" i="24"/>
  <c r="H27" i="24"/>
  <c r="I27" i="24"/>
  <c r="J27" i="24"/>
  <c r="K27" i="24"/>
  <c r="L27" i="24"/>
  <c r="M27" i="24"/>
  <c r="N27" i="24"/>
  <c r="O27" i="24"/>
  <c r="P27" i="24"/>
  <c r="Q27" i="24"/>
  <c r="R27" i="24"/>
  <c r="S27" i="24"/>
  <c r="T27" i="24"/>
  <c r="B2" i="24"/>
  <c r="B3" i="24"/>
  <c r="B4" i="24"/>
  <c r="B5" i="24"/>
  <c r="B6" i="24"/>
  <c r="B7" i="24"/>
  <c r="B8" i="24"/>
  <c r="B9" i="24"/>
  <c r="B10" i="24"/>
  <c r="B11" i="24"/>
  <c r="B12" i="24"/>
  <c r="B13" i="24"/>
  <c r="B14" i="24"/>
  <c r="B15" i="24"/>
  <c r="B16" i="24"/>
  <c r="B17" i="24"/>
  <c r="B18" i="24"/>
  <c r="B19" i="24"/>
  <c r="B20" i="24"/>
  <c r="B21" i="24"/>
  <c r="B22" i="24"/>
  <c r="B23" i="24"/>
  <c r="B24" i="24"/>
  <c r="B25" i="24"/>
  <c r="B26" i="24"/>
  <c r="B27" i="24"/>
  <c r="C3" i="24"/>
  <c r="D3" i="24"/>
  <c r="E3" i="24"/>
  <c r="F3" i="24"/>
  <c r="G3" i="24"/>
  <c r="H3" i="24"/>
  <c r="I3" i="24"/>
  <c r="J3" i="24"/>
  <c r="K3" i="24"/>
  <c r="L3" i="24"/>
  <c r="M3" i="24"/>
  <c r="N3" i="24"/>
  <c r="O3" i="24"/>
  <c r="P3" i="24"/>
  <c r="Q3" i="24"/>
  <c r="R3" i="24"/>
  <c r="S3" i="24"/>
  <c r="T3" i="24"/>
  <c r="C4" i="24"/>
  <c r="D4" i="24"/>
  <c r="E4" i="24"/>
  <c r="F4" i="24"/>
  <c r="G4" i="24"/>
  <c r="H4" i="24"/>
  <c r="I4" i="24"/>
  <c r="J4" i="24"/>
  <c r="K4" i="24"/>
  <c r="L4" i="24"/>
  <c r="M4" i="24"/>
  <c r="N4" i="24"/>
  <c r="O4" i="24"/>
  <c r="P4" i="24"/>
  <c r="Q4" i="24"/>
  <c r="R4" i="24"/>
  <c r="S4" i="24"/>
  <c r="T4" i="24"/>
  <c r="C5" i="24"/>
  <c r="D5" i="24"/>
  <c r="E5" i="24"/>
  <c r="F5" i="24"/>
  <c r="G5" i="24"/>
  <c r="H5" i="24"/>
  <c r="I5" i="24"/>
  <c r="J5" i="24"/>
  <c r="K5" i="24"/>
  <c r="L5" i="24"/>
  <c r="M5" i="24"/>
  <c r="N5" i="24"/>
  <c r="O5" i="24"/>
  <c r="P5" i="24"/>
  <c r="Q5" i="24"/>
  <c r="R5" i="24"/>
  <c r="S5" i="24"/>
  <c r="T5" i="24"/>
  <c r="C6" i="24"/>
  <c r="D6" i="24"/>
  <c r="E6" i="24"/>
  <c r="F6" i="24"/>
  <c r="G6" i="24"/>
  <c r="H6" i="24"/>
  <c r="I6" i="24"/>
  <c r="J6" i="24"/>
  <c r="K6" i="24"/>
  <c r="L6" i="24"/>
  <c r="M6" i="24"/>
  <c r="N6" i="24"/>
  <c r="O6" i="24"/>
  <c r="P6" i="24"/>
  <c r="Q6" i="24"/>
  <c r="R6" i="24"/>
  <c r="S6" i="24"/>
  <c r="T6" i="24"/>
  <c r="C7" i="24"/>
  <c r="D7" i="24"/>
  <c r="E7" i="24"/>
  <c r="F7" i="24"/>
  <c r="G7" i="24"/>
  <c r="H7" i="24"/>
  <c r="I7" i="24"/>
  <c r="J7" i="24"/>
  <c r="K7" i="24"/>
  <c r="L7" i="24"/>
  <c r="M7" i="24"/>
  <c r="N7" i="24"/>
  <c r="O7" i="24"/>
  <c r="P7" i="24"/>
  <c r="Q7" i="24"/>
  <c r="R7" i="24"/>
  <c r="S7" i="24"/>
  <c r="T7" i="24"/>
  <c r="C8" i="24"/>
  <c r="D8" i="24"/>
  <c r="E8" i="24"/>
  <c r="F8" i="24"/>
  <c r="G8" i="24"/>
  <c r="H8" i="24"/>
  <c r="I8" i="24"/>
  <c r="J8" i="24"/>
  <c r="K8" i="24"/>
  <c r="L8" i="24"/>
  <c r="M8" i="24"/>
  <c r="N8" i="24"/>
  <c r="O8" i="24"/>
  <c r="P8" i="24"/>
  <c r="Q8" i="24"/>
  <c r="R8" i="24"/>
  <c r="S8" i="24"/>
  <c r="T8" i="24"/>
  <c r="C9" i="24"/>
  <c r="D9" i="24"/>
  <c r="E9" i="24"/>
  <c r="F9" i="24"/>
  <c r="G9" i="24"/>
  <c r="H9" i="24"/>
  <c r="I9" i="24"/>
  <c r="J9" i="24"/>
  <c r="K9" i="24"/>
  <c r="L9" i="24"/>
  <c r="M9" i="24"/>
  <c r="N9" i="24"/>
  <c r="O9" i="24"/>
  <c r="P9" i="24"/>
  <c r="Q9" i="24"/>
  <c r="R9" i="24"/>
  <c r="S9" i="24"/>
  <c r="T9" i="24"/>
  <c r="C10" i="24"/>
  <c r="D10" i="24"/>
  <c r="E10" i="24"/>
  <c r="F10" i="24"/>
  <c r="G10" i="24"/>
  <c r="H10" i="24"/>
  <c r="I10" i="24"/>
  <c r="J10" i="24"/>
  <c r="K10" i="24"/>
  <c r="L10" i="24"/>
  <c r="M10" i="24"/>
  <c r="N10" i="24"/>
  <c r="O10" i="24"/>
  <c r="P10" i="24"/>
  <c r="Q10" i="24"/>
  <c r="R10" i="24"/>
  <c r="S10" i="24"/>
  <c r="T10" i="24"/>
  <c r="C11" i="24"/>
  <c r="D11" i="24"/>
  <c r="E11" i="24"/>
  <c r="F11" i="24"/>
  <c r="G11" i="24"/>
  <c r="H11" i="24"/>
  <c r="I11" i="24"/>
  <c r="J11" i="24"/>
  <c r="K11" i="24"/>
  <c r="L11" i="24"/>
  <c r="M11" i="24"/>
  <c r="N11" i="24"/>
  <c r="O11" i="24"/>
  <c r="P11" i="24"/>
  <c r="Q11" i="24"/>
  <c r="R11" i="24"/>
  <c r="S11" i="24"/>
  <c r="T11" i="24"/>
  <c r="C12" i="24"/>
  <c r="D12" i="24"/>
  <c r="E12" i="24"/>
  <c r="F12" i="24"/>
  <c r="G12" i="24"/>
  <c r="H12" i="24"/>
  <c r="I12" i="24"/>
  <c r="J12" i="24"/>
  <c r="K12" i="24"/>
  <c r="L12" i="24"/>
  <c r="M12" i="24"/>
  <c r="N12" i="24"/>
  <c r="O12" i="24"/>
  <c r="P12" i="24"/>
  <c r="Q12" i="24"/>
  <c r="R12" i="24"/>
  <c r="S12" i="24"/>
  <c r="T12" i="24"/>
  <c r="C13" i="24"/>
  <c r="D13" i="24"/>
  <c r="E13" i="24"/>
  <c r="F13" i="24"/>
  <c r="G13" i="24"/>
  <c r="H13" i="24"/>
  <c r="I13" i="24"/>
  <c r="J13" i="24"/>
  <c r="K13" i="24"/>
  <c r="L13" i="24"/>
  <c r="M13" i="24"/>
  <c r="N13" i="24"/>
  <c r="O13" i="24"/>
  <c r="P13" i="24"/>
  <c r="Q13" i="24"/>
  <c r="R13" i="24"/>
  <c r="S13" i="24"/>
  <c r="T13" i="24"/>
  <c r="C14" i="24"/>
  <c r="D14" i="24"/>
  <c r="E14" i="24"/>
  <c r="F14" i="24"/>
  <c r="G14" i="24"/>
  <c r="H14" i="24"/>
  <c r="I14" i="24"/>
  <c r="J14" i="24"/>
  <c r="K14" i="24"/>
  <c r="L14" i="24"/>
  <c r="M14" i="24"/>
  <c r="N14" i="24"/>
  <c r="O14" i="24"/>
  <c r="P14" i="24"/>
  <c r="Q14" i="24"/>
  <c r="R14" i="24"/>
  <c r="S14" i="24"/>
  <c r="T14" i="24"/>
  <c r="C15" i="24"/>
  <c r="D15" i="24"/>
  <c r="E15" i="24"/>
  <c r="F15" i="24"/>
  <c r="G15" i="24"/>
  <c r="H15" i="24"/>
  <c r="I15" i="24"/>
  <c r="J15" i="24"/>
  <c r="K15" i="24"/>
  <c r="L15" i="24"/>
  <c r="M15" i="24"/>
  <c r="N15" i="24"/>
  <c r="O15" i="24"/>
  <c r="P15" i="24"/>
  <c r="Q15" i="24"/>
  <c r="R15" i="24"/>
  <c r="S15" i="24"/>
  <c r="T15" i="24"/>
  <c r="C16" i="24"/>
  <c r="D16" i="24"/>
  <c r="E16" i="24"/>
  <c r="F16" i="24"/>
  <c r="G16" i="24"/>
  <c r="H16" i="24"/>
  <c r="I16" i="24"/>
  <c r="J16" i="24"/>
  <c r="K16" i="24"/>
  <c r="L16" i="24"/>
  <c r="M16" i="24"/>
  <c r="N16" i="24"/>
  <c r="O16" i="24"/>
  <c r="P16" i="24"/>
  <c r="Q16" i="24"/>
  <c r="R16" i="24"/>
  <c r="S16" i="24"/>
  <c r="T16" i="24"/>
  <c r="C17" i="24"/>
  <c r="D17" i="24"/>
  <c r="E17" i="24"/>
  <c r="F17" i="24"/>
  <c r="G17" i="24"/>
  <c r="H17" i="24"/>
  <c r="I17" i="24"/>
  <c r="J17" i="24"/>
  <c r="K17" i="24"/>
  <c r="L17" i="24"/>
  <c r="M17" i="24"/>
  <c r="N17" i="24"/>
  <c r="O17" i="24"/>
  <c r="P17" i="24"/>
  <c r="Q17" i="24"/>
  <c r="R17" i="24"/>
  <c r="S17" i="24"/>
  <c r="T17" i="24"/>
  <c r="C18" i="24"/>
  <c r="D18" i="24"/>
  <c r="E18" i="24"/>
  <c r="F18" i="24"/>
  <c r="G18" i="24"/>
  <c r="H18" i="24"/>
  <c r="I18" i="24"/>
  <c r="J18" i="24"/>
  <c r="K18" i="24"/>
  <c r="L18" i="24"/>
  <c r="M18" i="24"/>
  <c r="N18" i="24"/>
  <c r="O18" i="24"/>
  <c r="P18" i="24"/>
  <c r="Q18" i="24"/>
  <c r="R18" i="24"/>
  <c r="S18" i="24"/>
  <c r="T18" i="24"/>
  <c r="C19" i="24"/>
  <c r="D19" i="24"/>
  <c r="E19" i="24"/>
  <c r="F19" i="24"/>
  <c r="G19" i="24"/>
  <c r="H19" i="24"/>
  <c r="I19" i="24"/>
  <c r="J19" i="24"/>
  <c r="K19" i="24"/>
  <c r="L19" i="24"/>
  <c r="M19" i="24"/>
  <c r="N19" i="24"/>
  <c r="O19" i="24"/>
  <c r="P19" i="24"/>
  <c r="Q19" i="24"/>
  <c r="R19" i="24"/>
  <c r="S19" i="24"/>
  <c r="T19" i="24"/>
  <c r="C20" i="24"/>
  <c r="D20" i="24"/>
  <c r="E20" i="24"/>
  <c r="F20" i="24"/>
  <c r="G20" i="24"/>
  <c r="H20" i="24"/>
  <c r="I20" i="24"/>
  <c r="J20" i="24"/>
  <c r="K20" i="24"/>
  <c r="L20" i="24"/>
  <c r="M20" i="24"/>
  <c r="N20" i="24"/>
  <c r="O20" i="24"/>
  <c r="P20" i="24"/>
  <c r="Q20" i="24"/>
  <c r="R20" i="24"/>
  <c r="S20" i="24"/>
  <c r="T20" i="24"/>
  <c r="C21" i="24"/>
  <c r="D21" i="24"/>
  <c r="E21" i="24"/>
  <c r="F21" i="24"/>
  <c r="G21" i="24"/>
  <c r="H21" i="24"/>
  <c r="I21" i="24"/>
  <c r="J21" i="24"/>
  <c r="K21" i="24"/>
  <c r="L21" i="24"/>
  <c r="M21" i="24"/>
  <c r="N21" i="24"/>
  <c r="O21" i="24"/>
  <c r="P21" i="24"/>
  <c r="Q21" i="24"/>
  <c r="R21" i="24"/>
  <c r="S21" i="24"/>
  <c r="T21" i="24"/>
  <c r="C22" i="24"/>
  <c r="D22" i="24"/>
  <c r="E22" i="24"/>
  <c r="F22" i="24"/>
  <c r="G22" i="24"/>
  <c r="H22" i="24"/>
  <c r="I22" i="24"/>
  <c r="J22" i="24"/>
  <c r="K22" i="24"/>
  <c r="L22" i="24"/>
  <c r="M22" i="24"/>
  <c r="N22" i="24"/>
  <c r="O22" i="24"/>
  <c r="P22" i="24"/>
  <c r="Q22" i="24"/>
  <c r="R22" i="24"/>
  <c r="S22" i="24"/>
  <c r="T22" i="24"/>
  <c r="C23" i="24"/>
  <c r="D23" i="24"/>
  <c r="E23" i="24"/>
  <c r="F23" i="24"/>
  <c r="G23" i="24"/>
  <c r="H23" i="24"/>
  <c r="I23" i="24"/>
  <c r="J23" i="24"/>
  <c r="K23" i="24"/>
  <c r="L23" i="24"/>
  <c r="M23" i="24"/>
  <c r="N23" i="24"/>
  <c r="O23" i="24"/>
  <c r="P23" i="24"/>
  <c r="Q23" i="24"/>
  <c r="R23" i="24"/>
  <c r="S23" i="24"/>
  <c r="T23" i="24"/>
  <c r="C24" i="24"/>
  <c r="D24" i="24"/>
  <c r="E24" i="24"/>
  <c r="F24" i="24"/>
  <c r="G24" i="24"/>
  <c r="H24" i="24"/>
  <c r="I24" i="24"/>
  <c r="J24" i="24"/>
  <c r="K24" i="24"/>
  <c r="L24" i="24"/>
  <c r="M24" i="24"/>
  <c r="N24" i="24"/>
  <c r="O24" i="24"/>
  <c r="P24" i="24"/>
  <c r="Q24" i="24"/>
  <c r="R24" i="24"/>
  <c r="S24" i="24"/>
  <c r="T24" i="24"/>
  <c r="C25" i="24"/>
  <c r="D25" i="24"/>
  <c r="E25" i="24"/>
  <c r="F25" i="24"/>
  <c r="G25" i="24"/>
  <c r="H25" i="24"/>
  <c r="I25" i="24"/>
  <c r="J25" i="24"/>
  <c r="K25" i="24"/>
  <c r="L25" i="24"/>
  <c r="M25" i="24"/>
  <c r="N25" i="24"/>
  <c r="O25" i="24"/>
  <c r="P25" i="24"/>
  <c r="Q25" i="24"/>
  <c r="R25" i="24"/>
  <c r="S25" i="24"/>
  <c r="T25" i="24"/>
  <c r="C26" i="24"/>
  <c r="D26" i="24"/>
  <c r="E26" i="24"/>
  <c r="F26" i="24"/>
  <c r="G26" i="24"/>
  <c r="H26" i="24"/>
  <c r="I26" i="24"/>
  <c r="J26" i="24"/>
  <c r="K26" i="24"/>
  <c r="L26" i="24"/>
  <c r="M26" i="24"/>
  <c r="N26" i="24"/>
  <c r="O26" i="24"/>
  <c r="P26" i="24"/>
  <c r="Q26" i="24"/>
  <c r="R26" i="24"/>
  <c r="S26" i="24"/>
  <c r="T26" i="24"/>
  <c r="C2" i="24"/>
  <c r="D2" i="24"/>
  <c r="E2" i="24"/>
  <c r="F2" i="24"/>
  <c r="G2" i="24"/>
  <c r="H2" i="24"/>
  <c r="I2" i="24"/>
  <c r="J2" i="24"/>
  <c r="K2" i="24"/>
  <c r="L2" i="24"/>
  <c r="M2" i="24"/>
  <c r="N2" i="24"/>
  <c r="O2" i="24"/>
  <c r="P2" i="24"/>
  <c r="Q2" i="24"/>
  <c r="R2" i="24"/>
  <c r="S2" i="24"/>
  <c r="T2" i="24"/>
  <c r="C27" i="30"/>
  <c r="D27" i="30"/>
  <c r="E27" i="30"/>
  <c r="F27" i="30"/>
  <c r="G27" i="30"/>
  <c r="H27" i="30"/>
  <c r="I27" i="30"/>
  <c r="J27" i="30"/>
  <c r="K27" i="30"/>
  <c r="L27" i="30"/>
  <c r="M27" i="30"/>
  <c r="N27" i="30"/>
  <c r="O27" i="30"/>
  <c r="P27" i="30"/>
  <c r="Q27" i="30"/>
  <c r="R27" i="30"/>
  <c r="S27" i="30"/>
  <c r="T27" i="30"/>
  <c r="B27" i="30"/>
  <c r="C27" i="25"/>
  <c r="D27" i="25"/>
  <c r="E27" i="25"/>
  <c r="F27" i="25"/>
  <c r="G27" i="25"/>
  <c r="H27" i="25"/>
  <c r="I27" i="25"/>
  <c r="J27" i="25"/>
  <c r="K27" i="25"/>
  <c r="L27" i="25"/>
  <c r="M27" i="25"/>
  <c r="N27" i="25"/>
  <c r="O27" i="25"/>
  <c r="P27" i="25"/>
  <c r="Q27" i="25"/>
  <c r="R27" i="25"/>
  <c r="S27" i="25"/>
  <c r="T27" i="25"/>
  <c r="U27" i="25"/>
  <c r="V27" i="25"/>
  <c r="W27" i="25"/>
  <c r="X27" i="25"/>
  <c r="Y27" i="25"/>
  <c r="Z27" i="25"/>
  <c r="AA27" i="25"/>
  <c r="AB27" i="25"/>
  <c r="B2" i="25"/>
  <c r="B3" i="25"/>
  <c r="B4" i="25"/>
  <c r="B5" i="25"/>
  <c r="B6" i="25"/>
  <c r="B7" i="25"/>
  <c r="B8" i="25"/>
  <c r="B9" i="25"/>
  <c r="B10" i="25"/>
  <c r="B11" i="25"/>
  <c r="B12" i="25"/>
  <c r="B13" i="25"/>
  <c r="B14" i="25"/>
  <c r="B15" i="25"/>
  <c r="B16" i="25"/>
  <c r="B17" i="25"/>
  <c r="B18" i="25"/>
  <c r="B19" i="25"/>
  <c r="B20" i="25"/>
  <c r="B21" i="25"/>
  <c r="B22" i="25"/>
  <c r="B23" i="25"/>
  <c r="B24" i="25"/>
  <c r="B25" i="25"/>
  <c r="B26" i="25"/>
  <c r="B27" i="25"/>
  <c r="C2" i="25"/>
  <c r="D2" i="25"/>
  <c r="E2" i="25"/>
  <c r="F2" i="25"/>
  <c r="G2" i="25"/>
  <c r="H2" i="25"/>
  <c r="I2" i="25"/>
  <c r="J2" i="25"/>
  <c r="K2" i="25"/>
  <c r="L2" i="25"/>
  <c r="M2" i="25"/>
  <c r="N2" i="25"/>
  <c r="O2" i="25"/>
  <c r="P2" i="25"/>
  <c r="Q2" i="25"/>
  <c r="R2" i="25"/>
  <c r="S2" i="25"/>
  <c r="T2" i="25"/>
  <c r="U2" i="25"/>
  <c r="V2" i="25"/>
  <c r="W2" i="25"/>
  <c r="X2" i="25"/>
  <c r="Y2" i="25"/>
  <c r="Z2" i="25"/>
  <c r="AA2" i="25"/>
  <c r="AB2" i="25"/>
  <c r="C3" i="25"/>
  <c r="D3" i="25"/>
  <c r="E3" i="25"/>
  <c r="F3" i="25"/>
  <c r="G3" i="25"/>
  <c r="H3" i="25"/>
  <c r="I3" i="25"/>
  <c r="J3" i="25"/>
  <c r="K3" i="25"/>
  <c r="L3" i="25"/>
  <c r="M3" i="25"/>
  <c r="N3" i="25"/>
  <c r="O3" i="25"/>
  <c r="P3" i="25"/>
  <c r="Q3" i="25"/>
  <c r="R3" i="25"/>
  <c r="S3" i="25"/>
  <c r="T3" i="25"/>
  <c r="U3" i="25"/>
  <c r="V3" i="25"/>
  <c r="W3" i="25"/>
  <c r="X3" i="25"/>
  <c r="Y3" i="25"/>
  <c r="Z3" i="25"/>
  <c r="AA3" i="25"/>
  <c r="AB3" i="25"/>
  <c r="C4" i="25"/>
  <c r="D4" i="25"/>
  <c r="E4" i="25"/>
  <c r="F4" i="25"/>
  <c r="G4" i="25"/>
  <c r="H4" i="25"/>
  <c r="I4" i="25"/>
  <c r="J4" i="25"/>
  <c r="K4" i="25"/>
  <c r="L4" i="25"/>
  <c r="M4" i="25"/>
  <c r="N4" i="25"/>
  <c r="O4" i="25"/>
  <c r="P4" i="25"/>
  <c r="Q4" i="25"/>
  <c r="R4" i="25"/>
  <c r="S4" i="25"/>
  <c r="T4" i="25"/>
  <c r="U4" i="25"/>
  <c r="V4" i="25"/>
  <c r="W4" i="25"/>
  <c r="X4" i="25"/>
  <c r="Y4" i="25"/>
  <c r="Z4" i="25"/>
  <c r="AA4" i="25"/>
  <c r="AB4" i="25"/>
  <c r="C5" i="25"/>
  <c r="D5" i="25"/>
  <c r="E5" i="25"/>
  <c r="F5" i="25"/>
  <c r="G5" i="25"/>
  <c r="H5" i="25"/>
  <c r="I5" i="25"/>
  <c r="J5" i="25"/>
  <c r="K5" i="25"/>
  <c r="L5" i="25"/>
  <c r="M5" i="25"/>
  <c r="N5" i="25"/>
  <c r="O5" i="25"/>
  <c r="P5" i="25"/>
  <c r="Q5" i="25"/>
  <c r="R5" i="25"/>
  <c r="S5" i="25"/>
  <c r="T5" i="25"/>
  <c r="U5" i="25"/>
  <c r="V5" i="25"/>
  <c r="W5" i="25"/>
  <c r="X5" i="25"/>
  <c r="Y5" i="25"/>
  <c r="Z5" i="25"/>
  <c r="AA5" i="25"/>
  <c r="AB5" i="25"/>
  <c r="C6" i="25"/>
  <c r="D6" i="25"/>
  <c r="E6" i="25"/>
  <c r="F6" i="25"/>
  <c r="G6" i="25"/>
  <c r="H6" i="25"/>
  <c r="I6" i="25"/>
  <c r="J6" i="25"/>
  <c r="K6" i="25"/>
  <c r="L6" i="25"/>
  <c r="M6" i="25"/>
  <c r="N6" i="25"/>
  <c r="O6" i="25"/>
  <c r="P6" i="25"/>
  <c r="Q6" i="25"/>
  <c r="R6" i="25"/>
  <c r="S6" i="25"/>
  <c r="T6" i="25"/>
  <c r="U6" i="25"/>
  <c r="V6" i="25"/>
  <c r="W6" i="25"/>
  <c r="X6" i="25"/>
  <c r="Y6" i="25"/>
  <c r="Z6" i="25"/>
  <c r="AA6" i="25"/>
  <c r="AB6" i="25"/>
  <c r="C7" i="25"/>
  <c r="D7" i="25"/>
  <c r="E7" i="25"/>
  <c r="F7" i="25"/>
  <c r="G7" i="25"/>
  <c r="H7" i="25"/>
  <c r="I7" i="25"/>
  <c r="J7" i="25"/>
  <c r="K7" i="25"/>
  <c r="L7" i="25"/>
  <c r="M7" i="25"/>
  <c r="N7" i="25"/>
  <c r="O7" i="25"/>
  <c r="P7" i="25"/>
  <c r="Q7" i="25"/>
  <c r="R7" i="25"/>
  <c r="S7" i="25"/>
  <c r="T7" i="25"/>
  <c r="U7" i="25"/>
  <c r="V7" i="25"/>
  <c r="W7" i="25"/>
  <c r="X7" i="25"/>
  <c r="Y7" i="25"/>
  <c r="Z7" i="25"/>
  <c r="AA7" i="25"/>
  <c r="AB7" i="25"/>
  <c r="C8" i="25"/>
  <c r="D8" i="25"/>
  <c r="E8" i="25"/>
  <c r="F8" i="25"/>
  <c r="G8" i="25"/>
  <c r="H8" i="25"/>
  <c r="I8" i="25"/>
  <c r="J8" i="25"/>
  <c r="K8" i="25"/>
  <c r="L8" i="25"/>
  <c r="M8" i="25"/>
  <c r="N8" i="25"/>
  <c r="O8" i="25"/>
  <c r="P8" i="25"/>
  <c r="Q8" i="25"/>
  <c r="R8" i="25"/>
  <c r="S8" i="25"/>
  <c r="T8" i="25"/>
  <c r="U8" i="25"/>
  <c r="V8" i="25"/>
  <c r="W8" i="25"/>
  <c r="X8" i="25"/>
  <c r="Y8" i="25"/>
  <c r="Z8" i="25"/>
  <c r="AA8" i="25"/>
  <c r="AB8" i="25"/>
  <c r="C9" i="25"/>
  <c r="D9" i="25"/>
  <c r="E9" i="25"/>
  <c r="F9" i="25"/>
  <c r="G9" i="25"/>
  <c r="H9" i="25"/>
  <c r="I9" i="25"/>
  <c r="J9" i="25"/>
  <c r="K9" i="25"/>
  <c r="L9" i="25"/>
  <c r="M9" i="25"/>
  <c r="N9" i="25"/>
  <c r="O9" i="25"/>
  <c r="P9" i="25"/>
  <c r="Q9" i="25"/>
  <c r="R9" i="25"/>
  <c r="S9" i="25"/>
  <c r="T9" i="25"/>
  <c r="U9" i="25"/>
  <c r="V9" i="25"/>
  <c r="W9" i="25"/>
  <c r="X9" i="25"/>
  <c r="Y9" i="25"/>
  <c r="Z9" i="25"/>
  <c r="AA9" i="25"/>
  <c r="AB9"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C12" i="25"/>
  <c r="D12" i="25"/>
  <c r="E12" i="25"/>
  <c r="F12" i="25"/>
  <c r="G12" i="25"/>
  <c r="H12" i="25"/>
  <c r="I12" i="25"/>
  <c r="J12" i="25"/>
  <c r="K12" i="25"/>
  <c r="L12" i="25"/>
  <c r="M12" i="25"/>
  <c r="N12" i="25"/>
  <c r="O12" i="25"/>
  <c r="P12" i="25"/>
  <c r="Q12" i="25"/>
  <c r="R12" i="25"/>
  <c r="S12" i="25"/>
  <c r="T12" i="25"/>
  <c r="U12" i="25"/>
  <c r="V12" i="25"/>
  <c r="W12" i="25"/>
  <c r="X12" i="25"/>
  <c r="Y12" i="25"/>
  <c r="Z12" i="25"/>
  <c r="AA12" i="25"/>
  <c r="AB12" i="25"/>
  <c r="C13" i="25"/>
  <c r="D13" i="25"/>
  <c r="E13" i="25"/>
  <c r="F13" i="25"/>
  <c r="G13" i="25"/>
  <c r="H13" i="25"/>
  <c r="I13" i="25"/>
  <c r="J13" i="25"/>
  <c r="K13" i="25"/>
  <c r="L13" i="25"/>
  <c r="M13" i="25"/>
  <c r="N13" i="25"/>
  <c r="O13" i="25"/>
  <c r="P13" i="25"/>
  <c r="Q13" i="25"/>
  <c r="R13" i="25"/>
  <c r="S13" i="25"/>
  <c r="T13" i="25"/>
  <c r="U13" i="25"/>
  <c r="V13" i="25"/>
  <c r="W13" i="25"/>
  <c r="X13" i="25"/>
  <c r="Y13" i="25"/>
  <c r="Z13" i="25"/>
  <c r="AA13" i="25"/>
  <c r="AB13" i="25"/>
  <c r="C14" i="25"/>
  <c r="D14" i="25"/>
  <c r="E14" i="25"/>
  <c r="F14" i="25"/>
  <c r="G14" i="25"/>
  <c r="H14" i="25"/>
  <c r="I14" i="25"/>
  <c r="J14" i="25"/>
  <c r="K14" i="25"/>
  <c r="L14" i="25"/>
  <c r="M14" i="25"/>
  <c r="N14" i="25"/>
  <c r="O14" i="25"/>
  <c r="P14" i="25"/>
  <c r="Q14" i="25"/>
  <c r="R14" i="25"/>
  <c r="S14" i="25"/>
  <c r="T14" i="25"/>
  <c r="U14" i="25"/>
  <c r="V14" i="25"/>
  <c r="W14" i="25"/>
  <c r="X14" i="25"/>
  <c r="Y14" i="25"/>
  <c r="Z14" i="25"/>
  <c r="AA14" i="25"/>
  <c r="AB14" i="25"/>
  <c r="C15" i="25"/>
  <c r="D15" i="25"/>
  <c r="E15" i="25"/>
  <c r="F15" i="25"/>
  <c r="G15" i="25"/>
  <c r="H15" i="25"/>
  <c r="I15" i="25"/>
  <c r="J15" i="25"/>
  <c r="K15" i="25"/>
  <c r="L15" i="25"/>
  <c r="M15" i="25"/>
  <c r="N15" i="25"/>
  <c r="O15" i="25"/>
  <c r="P15" i="25"/>
  <c r="Q15" i="25"/>
  <c r="R15" i="25"/>
  <c r="S15" i="25"/>
  <c r="T15" i="25"/>
  <c r="U15" i="25"/>
  <c r="V15" i="25"/>
  <c r="W15" i="25"/>
  <c r="X15" i="25"/>
  <c r="Y15" i="25"/>
  <c r="Z15" i="25"/>
  <c r="AA15" i="25"/>
  <c r="AB15" i="25"/>
  <c r="C16" i="25"/>
  <c r="D16" i="25"/>
  <c r="E16" i="25"/>
  <c r="F16" i="25"/>
  <c r="G16" i="25"/>
  <c r="H16" i="25"/>
  <c r="I16" i="25"/>
  <c r="J16" i="25"/>
  <c r="K16" i="25"/>
  <c r="L16" i="25"/>
  <c r="M16" i="25"/>
  <c r="N16" i="25"/>
  <c r="O16" i="25"/>
  <c r="P16" i="25"/>
  <c r="Q16" i="25"/>
  <c r="R16" i="25"/>
  <c r="S16" i="25"/>
  <c r="T16" i="25"/>
  <c r="U16" i="25"/>
  <c r="V16" i="25"/>
  <c r="W16" i="25"/>
  <c r="X16" i="25"/>
  <c r="Y16" i="25"/>
  <c r="Z16" i="25"/>
  <c r="AA16" i="25"/>
  <c r="AB16" i="25"/>
  <c r="C17" i="25"/>
  <c r="D17" i="25"/>
  <c r="E17" i="25"/>
  <c r="F17" i="25"/>
  <c r="G17" i="25"/>
  <c r="H17" i="25"/>
  <c r="I17" i="25"/>
  <c r="J17" i="25"/>
  <c r="K17" i="25"/>
  <c r="L17" i="25"/>
  <c r="M17" i="25"/>
  <c r="N17" i="25"/>
  <c r="O17" i="25"/>
  <c r="P17" i="25"/>
  <c r="Q17" i="25"/>
  <c r="R17" i="25"/>
  <c r="S17" i="25"/>
  <c r="T17" i="25"/>
  <c r="U17" i="25"/>
  <c r="V17" i="25"/>
  <c r="W17" i="25"/>
  <c r="X17" i="25"/>
  <c r="Y17" i="25"/>
  <c r="Z17" i="25"/>
  <c r="AA17" i="25"/>
  <c r="AB17" i="25"/>
  <c r="C18" i="25"/>
  <c r="D18" i="25"/>
  <c r="E18" i="25"/>
  <c r="F18" i="25"/>
  <c r="G18" i="25"/>
  <c r="H18" i="25"/>
  <c r="I18" i="25"/>
  <c r="J18" i="25"/>
  <c r="K18" i="25"/>
  <c r="L18" i="25"/>
  <c r="M18" i="25"/>
  <c r="N18" i="25"/>
  <c r="O18" i="25"/>
  <c r="P18" i="25"/>
  <c r="Q18" i="25"/>
  <c r="R18" i="25"/>
  <c r="S18" i="25"/>
  <c r="T18" i="25"/>
  <c r="U18" i="25"/>
  <c r="V18" i="25"/>
  <c r="W18" i="25"/>
  <c r="X18" i="25"/>
  <c r="Y18" i="25"/>
  <c r="Z18" i="25"/>
  <c r="AA18" i="25"/>
  <c r="AB18" i="25"/>
  <c r="C19" i="25"/>
  <c r="D19" i="25"/>
  <c r="E19" i="25"/>
  <c r="F19" i="25"/>
  <c r="G19" i="25"/>
  <c r="H19" i="25"/>
  <c r="I19" i="25"/>
  <c r="J19" i="25"/>
  <c r="K19" i="25"/>
  <c r="L19" i="25"/>
  <c r="M19" i="25"/>
  <c r="N19" i="25"/>
  <c r="O19" i="25"/>
  <c r="P19" i="25"/>
  <c r="Q19" i="25"/>
  <c r="R19" i="25"/>
  <c r="S19" i="25"/>
  <c r="T19" i="25"/>
  <c r="U19" i="25"/>
  <c r="V19" i="25"/>
  <c r="W19" i="25"/>
  <c r="X19" i="25"/>
  <c r="Y19" i="25"/>
  <c r="Z19" i="25"/>
  <c r="AA19" i="25"/>
  <c r="AB19" i="25"/>
  <c r="C20" i="25"/>
  <c r="D20" i="25"/>
  <c r="E20" i="25"/>
  <c r="F20" i="25"/>
  <c r="G20" i="25"/>
  <c r="H20" i="25"/>
  <c r="I20" i="25"/>
  <c r="J20" i="25"/>
  <c r="K20" i="25"/>
  <c r="L20" i="25"/>
  <c r="M20" i="25"/>
  <c r="N20" i="25"/>
  <c r="O20" i="25"/>
  <c r="P20" i="25"/>
  <c r="Q20" i="25"/>
  <c r="R20" i="25"/>
  <c r="S20" i="25"/>
  <c r="T20" i="25"/>
  <c r="U20" i="25"/>
  <c r="V20" i="25"/>
  <c r="W20" i="25"/>
  <c r="X20" i="25"/>
  <c r="Y20" i="25"/>
  <c r="Z20" i="25"/>
  <c r="AA20" i="25"/>
  <c r="AB20" i="25"/>
  <c r="C21" i="25"/>
  <c r="D21" i="25"/>
  <c r="E21" i="25"/>
  <c r="F21" i="25"/>
  <c r="G21" i="25"/>
  <c r="H21" i="25"/>
  <c r="I21" i="25"/>
  <c r="J21" i="25"/>
  <c r="K21" i="25"/>
  <c r="L21" i="25"/>
  <c r="M21" i="25"/>
  <c r="N21" i="25"/>
  <c r="O21" i="25"/>
  <c r="P21" i="25"/>
  <c r="Q21" i="25"/>
  <c r="R21" i="25"/>
  <c r="S21" i="25"/>
  <c r="T21" i="25"/>
  <c r="U21" i="25"/>
  <c r="V21" i="25"/>
  <c r="W21" i="25"/>
  <c r="X21" i="25"/>
  <c r="Y21" i="25"/>
  <c r="Z21" i="25"/>
  <c r="AA21" i="25"/>
  <c r="AB21" i="25"/>
  <c r="C22" i="25"/>
  <c r="D22" i="25"/>
  <c r="E22" i="25"/>
  <c r="F22" i="25"/>
  <c r="G22" i="25"/>
  <c r="H22" i="25"/>
  <c r="I22" i="25"/>
  <c r="J22" i="25"/>
  <c r="K22" i="25"/>
  <c r="L22" i="25"/>
  <c r="M22" i="25"/>
  <c r="N22" i="25"/>
  <c r="O22" i="25"/>
  <c r="P22" i="25"/>
  <c r="Q22" i="25"/>
  <c r="R22" i="25"/>
  <c r="S22" i="25"/>
  <c r="T22" i="25"/>
  <c r="U22" i="25"/>
  <c r="V22" i="25"/>
  <c r="W22" i="25"/>
  <c r="X22" i="25"/>
  <c r="Y22" i="25"/>
  <c r="Z22" i="25"/>
  <c r="AA22" i="25"/>
  <c r="AB22" i="25"/>
  <c r="C23" i="25"/>
  <c r="D23" i="25"/>
  <c r="E23" i="25"/>
  <c r="F23" i="25"/>
  <c r="G23" i="25"/>
  <c r="H23" i="25"/>
  <c r="I23" i="25"/>
  <c r="J23" i="25"/>
  <c r="K23" i="25"/>
  <c r="L23" i="25"/>
  <c r="M23" i="25"/>
  <c r="N23" i="25"/>
  <c r="O23" i="25"/>
  <c r="P23" i="25"/>
  <c r="Q23" i="25"/>
  <c r="R23" i="25"/>
  <c r="S23" i="25"/>
  <c r="T23" i="25"/>
  <c r="U23" i="25"/>
  <c r="V23" i="25"/>
  <c r="W23" i="25"/>
  <c r="X23" i="25"/>
  <c r="Y23" i="25"/>
  <c r="Z23" i="25"/>
  <c r="AA23" i="25"/>
  <c r="AB23" i="25"/>
  <c r="C24" i="25"/>
  <c r="D24" i="25"/>
  <c r="E24" i="25"/>
  <c r="F24" i="25"/>
  <c r="G24" i="25"/>
  <c r="H24" i="25"/>
  <c r="I24" i="25"/>
  <c r="J24" i="25"/>
  <c r="K24" i="25"/>
  <c r="L24" i="25"/>
  <c r="M24" i="25"/>
  <c r="N24" i="25"/>
  <c r="O24" i="25"/>
  <c r="P24" i="25"/>
  <c r="Q24" i="25"/>
  <c r="R24" i="25"/>
  <c r="S24" i="25"/>
  <c r="T24" i="25"/>
  <c r="U24" i="25"/>
  <c r="V24" i="25"/>
  <c r="W24" i="25"/>
  <c r="X24" i="25"/>
  <c r="Y24" i="25"/>
  <c r="Z24" i="25"/>
  <c r="AA24" i="25"/>
  <c r="AB24" i="25"/>
  <c r="C25" i="25"/>
  <c r="D25" i="25"/>
  <c r="E25" i="25"/>
  <c r="F25" i="25"/>
  <c r="G25" i="25"/>
  <c r="H25" i="25"/>
  <c r="I25" i="25"/>
  <c r="J25" i="25"/>
  <c r="K25" i="25"/>
  <c r="L25" i="25"/>
  <c r="M25" i="25"/>
  <c r="N25" i="25"/>
  <c r="O25" i="25"/>
  <c r="P25" i="25"/>
  <c r="Q25" i="25"/>
  <c r="R25" i="25"/>
  <c r="S25" i="25"/>
  <c r="T25" i="25"/>
  <c r="U25" i="25"/>
  <c r="V25" i="25"/>
  <c r="W25" i="25"/>
  <c r="X25" i="25"/>
  <c r="Y25" i="25"/>
  <c r="Z25" i="25"/>
  <c r="AA25" i="25"/>
  <c r="AB25" i="25"/>
  <c r="C26" i="25"/>
  <c r="D26" i="25"/>
  <c r="E26" i="25"/>
  <c r="F26" i="25"/>
  <c r="G26" i="25"/>
  <c r="H26" i="25"/>
  <c r="I26" i="25"/>
  <c r="J26" i="25"/>
  <c r="K26" i="25"/>
  <c r="L26" i="25"/>
  <c r="M26" i="25"/>
  <c r="N26" i="25"/>
  <c r="O26" i="25"/>
  <c r="P26" i="25"/>
  <c r="Q26" i="25"/>
  <c r="R26" i="25"/>
  <c r="S26" i="25"/>
  <c r="T26" i="25"/>
  <c r="U26" i="25"/>
  <c r="V26" i="25"/>
  <c r="W26" i="25"/>
  <c r="X26" i="25"/>
  <c r="Y26" i="25"/>
  <c r="Z26" i="25"/>
  <c r="AA26" i="25"/>
  <c r="AB26" i="25"/>
  <c r="C27" i="29"/>
  <c r="D27" i="29"/>
  <c r="E27" i="29"/>
  <c r="F27" i="29"/>
  <c r="G27" i="29"/>
  <c r="H27" i="29"/>
  <c r="I27" i="29"/>
  <c r="J27" i="29"/>
  <c r="K27" i="29"/>
  <c r="L27" i="29"/>
  <c r="M27" i="29"/>
  <c r="N27" i="29"/>
  <c r="O27" i="29"/>
  <c r="P27" i="29"/>
  <c r="Q27" i="29"/>
  <c r="R27" i="29"/>
  <c r="S27" i="29"/>
  <c r="T27" i="29"/>
  <c r="U27" i="29"/>
  <c r="V27" i="29"/>
  <c r="W27" i="29"/>
  <c r="X27" i="29"/>
  <c r="Y27" i="29"/>
  <c r="Z27" i="29"/>
  <c r="AA27" i="29"/>
  <c r="AB27" i="29"/>
  <c r="B27" i="29"/>
  <c r="C27" i="26"/>
  <c r="D27" i="26"/>
  <c r="E27" i="26"/>
  <c r="F27" i="26"/>
  <c r="G27" i="26"/>
  <c r="H27" i="26"/>
  <c r="I27" i="26"/>
  <c r="K27" i="26"/>
  <c r="L27" i="26"/>
  <c r="M27" i="26"/>
  <c r="B2" i="26"/>
  <c r="B3" i="26"/>
  <c r="B4" i="26"/>
  <c r="B5" i="26"/>
  <c r="B6" i="26"/>
  <c r="B7" i="26"/>
  <c r="B8" i="26"/>
  <c r="B9" i="26"/>
  <c r="B10" i="26"/>
  <c r="B11" i="26"/>
  <c r="B12" i="26"/>
  <c r="B13" i="26"/>
  <c r="B14" i="26"/>
  <c r="B15" i="26"/>
  <c r="B16" i="26"/>
  <c r="B17" i="26"/>
  <c r="B18" i="26"/>
  <c r="B19" i="26"/>
  <c r="B20" i="26"/>
  <c r="B21" i="26"/>
  <c r="B22" i="26"/>
  <c r="B23" i="26"/>
  <c r="B24" i="26"/>
  <c r="B25" i="26"/>
  <c r="B26" i="26"/>
  <c r="B27" i="26"/>
  <c r="C3" i="26"/>
  <c r="D3" i="26"/>
  <c r="E3" i="26"/>
  <c r="F3" i="26"/>
  <c r="G3" i="26"/>
  <c r="H3" i="26"/>
  <c r="I3" i="26"/>
  <c r="J3" i="26"/>
  <c r="K3" i="26"/>
  <c r="L3" i="26"/>
  <c r="M3" i="26"/>
  <c r="C4" i="26"/>
  <c r="D4" i="26"/>
  <c r="E4" i="26"/>
  <c r="F4" i="26"/>
  <c r="G4" i="26"/>
  <c r="H4" i="26"/>
  <c r="I4" i="26"/>
  <c r="J4" i="26"/>
  <c r="K4" i="26"/>
  <c r="L4" i="26"/>
  <c r="M4" i="26"/>
  <c r="C5" i="26"/>
  <c r="D5" i="26"/>
  <c r="E5" i="26"/>
  <c r="F5" i="26"/>
  <c r="G5" i="26"/>
  <c r="H5" i="26"/>
  <c r="I5" i="26"/>
  <c r="J5" i="26"/>
  <c r="K5" i="26"/>
  <c r="L5" i="26"/>
  <c r="M5" i="26"/>
  <c r="C6" i="26"/>
  <c r="D6" i="26"/>
  <c r="E6" i="26"/>
  <c r="F6" i="26"/>
  <c r="G6" i="26"/>
  <c r="H6" i="26"/>
  <c r="I6" i="26"/>
  <c r="J6" i="26"/>
  <c r="K6" i="26"/>
  <c r="L6" i="26"/>
  <c r="M6" i="26"/>
  <c r="C7" i="26"/>
  <c r="D7" i="26"/>
  <c r="E7" i="26"/>
  <c r="F7" i="26"/>
  <c r="G7" i="26"/>
  <c r="H7" i="26"/>
  <c r="I7" i="26"/>
  <c r="J7" i="26"/>
  <c r="K7" i="26"/>
  <c r="L7" i="26"/>
  <c r="M7" i="26"/>
  <c r="C8" i="26"/>
  <c r="D8" i="26"/>
  <c r="E8" i="26"/>
  <c r="F8" i="26"/>
  <c r="G8" i="26"/>
  <c r="H8" i="26"/>
  <c r="I8" i="26"/>
  <c r="J8" i="26"/>
  <c r="K8" i="26"/>
  <c r="L8" i="26"/>
  <c r="M8" i="26"/>
  <c r="C9" i="26"/>
  <c r="D9" i="26"/>
  <c r="E9" i="26"/>
  <c r="F9" i="26"/>
  <c r="G9" i="26"/>
  <c r="H9" i="26"/>
  <c r="I9" i="26"/>
  <c r="J9" i="26"/>
  <c r="K9" i="26"/>
  <c r="L9" i="26"/>
  <c r="M9" i="26"/>
  <c r="C10" i="26"/>
  <c r="D10" i="26"/>
  <c r="E10" i="26"/>
  <c r="F10" i="26"/>
  <c r="G10" i="26"/>
  <c r="H10" i="26"/>
  <c r="I10" i="26"/>
  <c r="J10" i="26"/>
  <c r="K10" i="26"/>
  <c r="L10" i="26"/>
  <c r="M10" i="26"/>
  <c r="C11" i="26"/>
  <c r="D11" i="26"/>
  <c r="E11" i="26"/>
  <c r="F11" i="26"/>
  <c r="G11" i="26"/>
  <c r="H11" i="26"/>
  <c r="I11" i="26"/>
  <c r="J11" i="26"/>
  <c r="K11" i="26"/>
  <c r="L11" i="26"/>
  <c r="M11" i="26"/>
  <c r="C12" i="26"/>
  <c r="D12" i="26"/>
  <c r="E12" i="26"/>
  <c r="F12" i="26"/>
  <c r="G12" i="26"/>
  <c r="H12" i="26"/>
  <c r="I12" i="26"/>
  <c r="J12" i="26"/>
  <c r="K12" i="26"/>
  <c r="L12" i="26"/>
  <c r="M12" i="26"/>
  <c r="C13" i="26"/>
  <c r="D13" i="26"/>
  <c r="E13" i="26"/>
  <c r="F13" i="26"/>
  <c r="G13" i="26"/>
  <c r="H13" i="26"/>
  <c r="I13" i="26"/>
  <c r="J13" i="26"/>
  <c r="K13" i="26"/>
  <c r="L13" i="26"/>
  <c r="M13" i="26"/>
  <c r="C14" i="26"/>
  <c r="D14" i="26"/>
  <c r="E14" i="26"/>
  <c r="F14" i="26"/>
  <c r="G14" i="26"/>
  <c r="H14" i="26"/>
  <c r="I14" i="26"/>
  <c r="J14" i="26"/>
  <c r="K14" i="26"/>
  <c r="L14" i="26"/>
  <c r="M14" i="26"/>
  <c r="C15" i="26"/>
  <c r="D15" i="26"/>
  <c r="E15" i="26"/>
  <c r="F15" i="26"/>
  <c r="G15" i="26"/>
  <c r="H15" i="26"/>
  <c r="I15" i="26"/>
  <c r="J15" i="26"/>
  <c r="K15" i="26"/>
  <c r="L15" i="26"/>
  <c r="M15" i="26"/>
  <c r="C16" i="26"/>
  <c r="D16" i="26"/>
  <c r="E16" i="26"/>
  <c r="F16" i="26"/>
  <c r="G16" i="26"/>
  <c r="H16" i="26"/>
  <c r="I16" i="26"/>
  <c r="J16" i="26"/>
  <c r="K16" i="26"/>
  <c r="L16" i="26"/>
  <c r="M16" i="26"/>
  <c r="C17" i="26"/>
  <c r="D17" i="26"/>
  <c r="E17" i="26"/>
  <c r="F17" i="26"/>
  <c r="G17" i="26"/>
  <c r="H17" i="26"/>
  <c r="I17" i="26"/>
  <c r="J17" i="26"/>
  <c r="K17" i="26"/>
  <c r="L17" i="26"/>
  <c r="M17" i="26"/>
  <c r="C18" i="26"/>
  <c r="D18" i="26"/>
  <c r="E18" i="26"/>
  <c r="F18" i="26"/>
  <c r="G18" i="26"/>
  <c r="H18" i="26"/>
  <c r="I18" i="26"/>
  <c r="J18" i="26"/>
  <c r="K18" i="26"/>
  <c r="L18" i="26"/>
  <c r="M18" i="26"/>
  <c r="C19" i="26"/>
  <c r="D19" i="26"/>
  <c r="E19" i="26"/>
  <c r="F19" i="26"/>
  <c r="G19" i="26"/>
  <c r="H19" i="26"/>
  <c r="I19" i="26"/>
  <c r="J19" i="26"/>
  <c r="K19" i="26"/>
  <c r="L19" i="26"/>
  <c r="M19" i="26"/>
  <c r="C20" i="26"/>
  <c r="D20" i="26"/>
  <c r="E20" i="26"/>
  <c r="F20" i="26"/>
  <c r="G20" i="26"/>
  <c r="H20" i="26"/>
  <c r="I20" i="26"/>
  <c r="J20" i="26"/>
  <c r="K20" i="26"/>
  <c r="L20" i="26"/>
  <c r="M20" i="26"/>
  <c r="C21" i="26"/>
  <c r="D21" i="26"/>
  <c r="E21" i="26"/>
  <c r="F21" i="26"/>
  <c r="G21" i="26"/>
  <c r="H21" i="26"/>
  <c r="I21" i="26"/>
  <c r="J21" i="26"/>
  <c r="K21" i="26"/>
  <c r="L21" i="26"/>
  <c r="M21" i="26"/>
  <c r="C22" i="26"/>
  <c r="D22" i="26"/>
  <c r="E22" i="26"/>
  <c r="F22" i="26"/>
  <c r="G22" i="26"/>
  <c r="H22" i="26"/>
  <c r="I22" i="26"/>
  <c r="J22" i="26"/>
  <c r="K22" i="26"/>
  <c r="L22" i="26"/>
  <c r="M22" i="26"/>
  <c r="C23" i="26"/>
  <c r="D23" i="26"/>
  <c r="E23" i="26"/>
  <c r="F23" i="26"/>
  <c r="G23" i="26"/>
  <c r="H23" i="26"/>
  <c r="I23" i="26"/>
  <c r="J23" i="26"/>
  <c r="K23" i="26"/>
  <c r="L23" i="26"/>
  <c r="M23" i="26"/>
  <c r="C24" i="26"/>
  <c r="D24" i="26"/>
  <c r="E24" i="26"/>
  <c r="F24" i="26"/>
  <c r="G24" i="26"/>
  <c r="H24" i="26"/>
  <c r="I24" i="26"/>
  <c r="J24" i="26"/>
  <c r="K24" i="26"/>
  <c r="L24" i="26"/>
  <c r="M24" i="26"/>
  <c r="C25" i="26"/>
  <c r="D25" i="26"/>
  <c r="E25" i="26"/>
  <c r="F25" i="26"/>
  <c r="G25" i="26"/>
  <c r="H25" i="26"/>
  <c r="I25" i="26"/>
  <c r="J25" i="26"/>
  <c r="K25" i="26"/>
  <c r="L25" i="26"/>
  <c r="M25" i="26"/>
  <c r="C26" i="26"/>
  <c r="D26" i="26"/>
  <c r="E26" i="26"/>
  <c r="F26" i="26"/>
  <c r="G26" i="26"/>
  <c r="H26" i="26"/>
  <c r="I26" i="26"/>
  <c r="J26" i="26"/>
  <c r="K26" i="26"/>
  <c r="L26" i="26"/>
  <c r="M26" i="26"/>
  <c r="C2" i="26"/>
  <c r="D2" i="26"/>
  <c r="E2" i="26"/>
  <c r="F2" i="26"/>
  <c r="G2" i="26"/>
  <c r="H2" i="26"/>
  <c r="I2" i="26"/>
  <c r="J2" i="26"/>
  <c r="K2" i="26"/>
  <c r="L2" i="26"/>
  <c r="M2" i="26"/>
  <c r="B27" i="28"/>
  <c r="C27" i="28"/>
  <c r="D27" i="28"/>
  <c r="E27" i="28"/>
  <c r="F27" i="28"/>
  <c r="G27" i="28"/>
  <c r="H27" i="28"/>
  <c r="I27" i="28"/>
  <c r="J27" i="28"/>
  <c r="J27" i="26" s="1"/>
  <c r="K27" i="28"/>
  <c r="L27" i="28"/>
  <c r="M27" i="28"/>
  <c r="J27" i="32" l="1"/>
  <c r="C28" i="39"/>
  <c r="E28" i="36"/>
  <c r="G28" i="39"/>
  <c r="F28" i="37"/>
  <c r="C28" i="36"/>
  <c r="H28" i="42"/>
  <c r="H28" i="44"/>
  <c r="B28" i="45"/>
  <c r="B28" i="39"/>
  <c r="E28" i="45"/>
  <c r="E28" i="39"/>
  <c r="F28" i="45"/>
  <c r="F28" i="39"/>
  <c r="I28" i="42"/>
  <c r="I28" i="44"/>
  <c r="D28" i="45"/>
  <c r="D28" i="39"/>
  <c r="D28" i="36"/>
  <c r="D28" i="37"/>
  <c r="B3" i="11"/>
  <c r="C3" i="11"/>
  <c r="D3" i="11"/>
  <c r="E3" i="11"/>
  <c r="F3" i="11"/>
  <c r="G3" i="11"/>
  <c r="H3" i="11"/>
  <c r="I3" i="11"/>
  <c r="J3" i="11"/>
  <c r="K3" i="11"/>
  <c r="L3" i="11"/>
  <c r="M3" i="11"/>
  <c r="N3" i="11"/>
  <c r="O3" i="11"/>
  <c r="P3" i="11"/>
  <c r="Q3" i="11"/>
  <c r="R3" i="11"/>
  <c r="S3" i="11"/>
  <c r="T3" i="11"/>
  <c r="U3" i="11"/>
  <c r="V3" i="11"/>
  <c r="W3" i="11"/>
  <c r="X3" i="11"/>
  <c r="Y3" i="11"/>
  <c r="Z3" i="11"/>
  <c r="B4" i="11"/>
  <c r="C4" i="11"/>
  <c r="D4" i="11"/>
  <c r="E4" i="11"/>
  <c r="F4" i="11"/>
  <c r="G4" i="11"/>
  <c r="H4" i="11"/>
  <c r="I4" i="11"/>
  <c r="J4" i="11"/>
  <c r="K4" i="11"/>
  <c r="L4" i="11"/>
  <c r="M4" i="11"/>
  <c r="N4" i="11"/>
  <c r="O4" i="11"/>
  <c r="P4" i="11"/>
  <c r="Q4" i="11"/>
  <c r="R4" i="11"/>
  <c r="S4" i="11"/>
  <c r="T4" i="11"/>
  <c r="U4" i="11"/>
  <c r="V4" i="11"/>
  <c r="W4" i="11"/>
  <c r="X4" i="11"/>
  <c r="Y4" i="11"/>
  <c r="Z4" i="11"/>
  <c r="B5" i="11"/>
  <c r="C5" i="11"/>
  <c r="D5" i="11"/>
  <c r="E5" i="11"/>
  <c r="F5" i="11"/>
  <c r="G5" i="11"/>
  <c r="H5" i="11"/>
  <c r="I5" i="11"/>
  <c r="J5" i="11"/>
  <c r="K5" i="11"/>
  <c r="L5" i="11"/>
  <c r="M5" i="11"/>
  <c r="N5" i="11"/>
  <c r="O5" i="11"/>
  <c r="P5" i="11"/>
  <c r="Q5" i="11"/>
  <c r="R5" i="11"/>
  <c r="S5" i="11"/>
  <c r="T5" i="11"/>
  <c r="U5" i="11"/>
  <c r="V5" i="11"/>
  <c r="W5" i="11"/>
  <c r="X5" i="11"/>
  <c r="Y5" i="11"/>
  <c r="Z5" i="11"/>
  <c r="B6" i="11"/>
  <c r="C6" i="11"/>
  <c r="D6" i="11"/>
  <c r="E6" i="11"/>
  <c r="F6" i="11"/>
  <c r="G6" i="11"/>
  <c r="H6" i="11"/>
  <c r="I6" i="11"/>
  <c r="J6" i="11"/>
  <c r="K6" i="11"/>
  <c r="L6" i="11"/>
  <c r="M6" i="11"/>
  <c r="N6" i="11"/>
  <c r="O6" i="11"/>
  <c r="P6" i="11"/>
  <c r="Q6" i="11"/>
  <c r="R6" i="11"/>
  <c r="S6" i="11"/>
  <c r="T6" i="11"/>
  <c r="U6" i="11"/>
  <c r="V6" i="11"/>
  <c r="W6" i="11"/>
  <c r="X6" i="11"/>
  <c r="Y6" i="11"/>
  <c r="Z6" i="11"/>
  <c r="B7" i="11"/>
  <c r="C7" i="11"/>
  <c r="D7" i="11"/>
  <c r="E7" i="11"/>
  <c r="F7" i="11"/>
  <c r="G7" i="11"/>
  <c r="H7" i="11"/>
  <c r="I7" i="11"/>
  <c r="J7" i="11"/>
  <c r="K7" i="11"/>
  <c r="L7" i="11"/>
  <c r="M7" i="11"/>
  <c r="N7" i="11"/>
  <c r="O7" i="11"/>
  <c r="P7" i="11"/>
  <c r="Q7" i="11"/>
  <c r="R7" i="11"/>
  <c r="S7" i="11"/>
  <c r="T7" i="11"/>
  <c r="U7" i="11"/>
  <c r="V7" i="11"/>
  <c r="W7" i="11"/>
  <c r="X7" i="11"/>
  <c r="Y7" i="11"/>
  <c r="Z7" i="11"/>
  <c r="B8" i="11"/>
  <c r="C8" i="11"/>
  <c r="D8" i="11"/>
  <c r="E8" i="11"/>
  <c r="F8" i="11"/>
  <c r="G8" i="11"/>
  <c r="H8" i="11"/>
  <c r="I8" i="11"/>
  <c r="J8" i="11"/>
  <c r="K8" i="11"/>
  <c r="L8" i="11"/>
  <c r="M8" i="11"/>
  <c r="N8" i="11"/>
  <c r="O8" i="11"/>
  <c r="P8" i="11"/>
  <c r="Q8" i="11"/>
  <c r="R8" i="11"/>
  <c r="S8" i="11"/>
  <c r="T8" i="11"/>
  <c r="U8" i="11"/>
  <c r="V8" i="11"/>
  <c r="W8" i="11"/>
  <c r="X8" i="11"/>
  <c r="Y8" i="11"/>
  <c r="Z8" i="11"/>
  <c r="B9" i="11"/>
  <c r="C9" i="11"/>
  <c r="D9" i="11"/>
  <c r="E9" i="11"/>
  <c r="F9" i="11"/>
  <c r="G9" i="11"/>
  <c r="H9" i="11"/>
  <c r="I9" i="11"/>
  <c r="J9" i="11"/>
  <c r="K9" i="11"/>
  <c r="L9" i="11"/>
  <c r="M9" i="11"/>
  <c r="N9" i="11"/>
  <c r="O9" i="11"/>
  <c r="P9" i="11"/>
  <c r="Q9" i="11"/>
  <c r="R9" i="11"/>
  <c r="S9" i="11"/>
  <c r="T9" i="11"/>
  <c r="U9" i="11"/>
  <c r="V9" i="11"/>
  <c r="W9" i="11"/>
  <c r="X9" i="11"/>
  <c r="Y9" i="11"/>
  <c r="Z9" i="11"/>
  <c r="B10" i="11"/>
  <c r="C10" i="11"/>
  <c r="D10" i="11"/>
  <c r="E10" i="11"/>
  <c r="F10" i="11"/>
  <c r="G10" i="11"/>
  <c r="H10" i="11"/>
  <c r="I10" i="11"/>
  <c r="J10" i="11"/>
  <c r="K10" i="11"/>
  <c r="L10" i="11"/>
  <c r="M10" i="11"/>
  <c r="N10" i="11"/>
  <c r="O10" i="11"/>
  <c r="P10" i="11"/>
  <c r="Q10" i="11"/>
  <c r="R10" i="11"/>
  <c r="S10" i="11"/>
  <c r="T10" i="11"/>
  <c r="U10" i="11"/>
  <c r="V10" i="11"/>
  <c r="W10" i="11"/>
  <c r="X10" i="11"/>
  <c r="Y10" i="11"/>
  <c r="Z10" i="11"/>
  <c r="B11" i="11"/>
  <c r="C11" i="11"/>
  <c r="D11" i="11"/>
  <c r="E11" i="11"/>
  <c r="F11" i="11"/>
  <c r="G11" i="11"/>
  <c r="H11" i="11"/>
  <c r="I11" i="11"/>
  <c r="J11" i="11"/>
  <c r="K11" i="11"/>
  <c r="L11" i="11"/>
  <c r="M11" i="11"/>
  <c r="N11" i="11"/>
  <c r="O11" i="11"/>
  <c r="P11" i="11"/>
  <c r="Q11" i="11"/>
  <c r="R11" i="11"/>
  <c r="S11" i="11"/>
  <c r="T11" i="11"/>
  <c r="U11" i="11"/>
  <c r="V11" i="11"/>
  <c r="W11" i="11"/>
  <c r="X11" i="11"/>
  <c r="Y11" i="11"/>
  <c r="Z11" i="11"/>
  <c r="B12" i="11"/>
  <c r="C12" i="11"/>
  <c r="D12" i="11"/>
  <c r="E12" i="11"/>
  <c r="F12" i="11"/>
  <c r="G12" i="11"/>
  <c r="H12" i="11"/>
  <c r="I12" i="11"/>
  <c r="J12" i="11"/>
  <c r="K12" i="11"/>
  <c r="L12" i="11"/>
  <c r="M12" i="11"/>
  <c r="N12" i="11"/>
  <c r="O12" i="11"/>
  <c r="P12" i="11"/>
  <c r="Q12" i="11"/>
  <c r="R12" i="11"/>
  <c r="S12" i="11"/>
  <c r="T12" i="11"/>
  <c r="U12" i="11"/>
  <c r="V12" i="11"/>
  <c r="W12" i="11"/>
  <c r="X12" i="11"/>
  <c r="Y12" i="11"/>
  <c r="Z12" i="11"/>
  <c r="B13" i="11"/>
  <c r="C13" i="11"/>
  <c r="D13" i="11"/>
  <c r="E13" i="11"/>
  <c r="F13" i="11"/>
  <c r="G13" i="11"/>
  <c r="H13" i="11"/>
  <c r="I13" i="11"/>
  <c r="J13" i="11"/>
  <c r="K13" i="11"/>
  <c r="L13" i="11"/>
  <c r="M13" i="11"/>
  <c r="N13" i="11"/>
  <c r="O13" i="11"/>
  <c r="P13" i="11"/>
  <c r="Q13" i="11"/>
  <c r="R13" i="11"/>
  <c r="S13" i="11"/>
  <c r="T13" i="11"/>
  <c r="U13" i="11"/>
  <c r="V13" i="11"/>
  <c r="W13" i="11"/>
  <c r="X13" i="11"/>
  <c r="Y13" i="11"/>
  <c r="Z13" i="11"/>
  <c r="B14" i="11"/>
  <c r="C14" i="11"/>
  <c r="D14" i="11"/>
  <c r="E14" i="11"/>
  <c r="F14" i="11"/>
  <c r="G14" i="11"/>
  <c r="H14" i="11"/>
  <c r="I14" i="11"/>
  <c r="J14" i="11"/>
  <c r="K14" i="11"/>
  <c r="L14" i="11"/>
  <c r="M14" i="11"/>
  <c r="N14" i="11"/>
  <c r="O14" i="11"/>
  <c r="P14" i="11"/>
  <c r="Q14" i="11"/>
  <c r="R14" i="11"/>
  <c r="S14" i="11"/>
  <c r="T14" i="11"/>
  <c r="U14" i="11"/>
  <c r="V14" i="11"/>
  <c r="W14" i="11"/>
  <c r="X14" i="11"/>
  <c r="Y14" i="11"/>
  <c r="Z14" i="11"/>
  <c r="B15" i="11"/>
  <c r="C15" i="11"/>
  <c r="D15" i="11"/>
  <c r="E15" i="11"/>
  <c r="F15" i="11"/>
  <c r="G15" i="11"/>
  <c r="H15" i="11"/>
  <c r="I15" i="11"/>
  <c r="J15" i="11"/>
  <c r="K15" i="11"/>
  <c r="L15" i="11"/>
  <c r="M15" i="11"/>
  <c r="N15" i="11"/>
  <c r="O15" i="11"/>
  <c r="P15" i="11"/>
  <c r="Q15" i="11"/>
  <c r="R15" i="11"/>
  <c r="S15" i="11"/>
  <c r="T15" i="11"/>
  <c r="U15" i="11"/>
  <c r="V15" i="11"/>
  <c r="W15" i="11"/>
  <c r="X15" i="11"/>
  <c r="Y15" i="11"/>
  <c r="Z15" i="11"/>
  <c r="B16" i="11"/>
  <c r="C16" i="11"/>
  <c r="D16" i="11"/>
  <c r="E16" i="11"/>
  <c r="F16" i="11"/>
  <c r="G16" i="11"/>
  <c r="H16" i="11"/>
  <c r="I16" i="11"/>
  <c r="J16" i="11"/>
  <c r="K16" i="11"/>
  <c r="L16" i="11"/>
  <c r="M16" i="11"/>
  <c r="N16" i="11"/>
  <c r="O16" i="11"/>
  <c r="P16" i="11"/>
  <c r="Q16" i="11"/>
  <c r="R16" i="11"/>
  <c r="S16" i="11"/>
  <c r="T16" i="11"/>
  <c r="U16" i="11"/>
  <c r="V16" i="11"/>
  <c r="W16" i="11"/>
  <c r="X16" i="11"/>
  <c r="Y16" i="11"/>
  <c r="Z16" i="11"/>
  <c r="B17" i="11"/>
  <c r="C17" i="11"/>
  <c r="D17" i="11"/>
  <c r="E17" i="11"/>
  <c r="F17" i="11"/>
  <c r="G17" i="11"/>
  <c r="H17" i="11"/>
  <c r="I17" i="11"/>
  <c r="J17" i="11"/>
  <c r="K17" i="11"/>
  <c r="L17" i="11"/>
  <c r="M17" i="11"/>
  <c r="N17" i="11"/>
  <c r="O17" i="11"/>
  <c r="P17" i="11"/>
  <c r="Q17" i="11"/>
  <c r="R17" i="11"/>
  <c r="S17" i="11"/>
  <c r="T17" i="11"/>
  <c r="U17" i="11"/>
  <c r="V17" i="11"/>
  <c r="W17" i="11"/>
  <c r="X17" i="11"/>
  <c r="Y17" i="11"/>
  <c r="Z17" i="11"/>
  <c r="B18" i="11"/>
  <c r="C18" i="11"/>
  <c r="D18" i="11"/>
  <c r="E18" i="11"/>
  <c r="F18" i="11"/>
  <c r="G18" i="11"/>
  <c r="H18" i="11"/>
  <c r="I18" i="11"/>
  <c r="J18" i="11"/>
  <c r="K18" i="11"/>
  <c r="L18" i="11"/>
  <c r="M18" i="11"/>
  <c r="N18" i="11"/>
  <c r="O18" i="11"/>
  <c r="P18" i="11"/>
  <c r="Q18" i="11"/>
  <c r="R18" i="11"/>
  <c r="S18" i="11"/>
  <c r="T18" i="11"/>
  <c r="U18" i="11"/>
  <c r="V18" i="11"/>
  <c r="W18" i="11"/>
  <c r="X18" i="11"/>
  <c r="Y18" i="11"/>
  <c r="Z18" i="11"/>
  <c r="B19" i="11"/>
  <c r="C19" i="11"/>
  <c r="D19" i="11"/>
  <c r="E19" i="11"/>
  <c r="F19" i="11"/>
  <c r="G19" i="11"/>
  <c r="H19" i="11"/>
  <c r="I19" i="11"/>
  <c r="J19" i="11"/>
  <c r="K19" i="11"/>
  <c r="L19" i="11"/>
  <c r="M19" i="11"/>
  <c r="N19" i="11"/>
  <c r="O19" i="11"/>
  <c r="P19" i="11"/>
  <c r="Q19" i="11"/>
  <c r="R19" i="11"/>
  <c r="S19" i="11"/>
  <c r="T19" i="11"/>
  <c r="U19" i="11"/>
  <c r="V19" i="11"/>
  <c r="W19" i="11"/>
  <c r="X19" i="11"/>
  <c r="Y19" i="11"/>
  <c r="Z19" i="11"/>
  <c r="B20" i="11"/>
  <c r="C20" i="11"/>
  <c r="D20" i="11"/>
  <c r="E20" i="11"/>
  <c r="F20" i="11"/>
  <c r="G20" i="11"/>
  <c r="H20" i="11"/>
  <c r="I20" i="11"/>
  <c r="J20" i="11"/>
  <c r="K20" i="11"/>
  <c r="L20" i="11"/>
  <c r="M20" i="11"/>
  <c r="N20" i="11"/>
  <c r="O20" i="11"/>
  <c r="P20" i="11"/>
  <c r="Q20" i="11"/>
  <c r="R20" i="11"/>
  <c r="S20" i="11"/>
  <c r="T20" i="11"/>
  <c r="U20" i="11"/>
  <c r="V20" i="11"/>
  <c r="W20" i="11"/>
  <c r="X20" i="11"/>
  <c r="Y20" i="11"/>
  <c r="Z20" i="11"/>
  <c r="B21" i="11"/>
  <c r="C21" i="11"/>
  <c r="D21" i="11"/>
  <c r="E21" i="11"/>
  <c r="F21" i="11"/>
  <c r="G21" i="11"/>
  <c r="H21" i="11"/>
  <c r="I21" i="11"/>
  <c r="J21" i="11"/>
  <c r="K21" i="11"/>
  <c r="L21" i="11"/>
  <c r="M21" i="11"/>
  <c r="N21" i="11"/>
  <c r="O21" i="11"/>
  <c r="P21" i="11"/>
  <c r="Q21" i="11"/>
  <c r="R21" i="11"/>
  <c r="S21" i="11"/>
  <c r="T21" i="11"/>
  <c r="U21" i="11"/>
  <c r="V21" i="11"/>
  <c r="W21" i="11"/>
  <c r="X21" i="11"/>
  <c r="Y21" i="11"/>
  <c r="Z21" i="11"/>
  <c r="B22" i="11"/>
  <c r="C22" i="11"/>
  <c r="D22" i="11"/>
  <c r="E22" i="11"/>
  <c r="F22" i="11"/>
  <c r="G22" i="11"/>
  <c r="H22" i="11"/>
  <c r="I22" i="11"/>
  <c r="J22" i="11"/>
  <c r="K22" i="11"/>
  <c r="L22" i="11"/>
  <c r="M22" i="11"/>
  <c r="N22" i="11"/>
  <c r="O22" i="11"/>
  <c r="P22" i="11"/>
  <c r="Q22" i="11"/>
  <c r="R22" i="11"/>
  <c r="S22" i="11"/>
  <c r="T22" i="11"/>
  <c r="U22" i="11"/>
  <c r="V22" i="11"/>
  <c r="W22" i="11"/>
  <c r="X22" i="11"/>
  <c r="Y22" i="11"/>
  <c r="Z22" i="11"/>
  <c r="B23" i="11"/>
  <c r="C23" i="11"/>
  <c r="D23" i="11"/>
  <c r="E23" i="11"/>
  <c r="F23" i="11"/>
  <c r="G23" i="11"/>
  <c r="H23" i="11"/>
  <c r="I23" i="11"/>
  <c r="J23" i="11"/>
  <c r="K23" i="11"/>
  <c r="L23" i="11"/>
  <c r="M23" i="11"/>
  <c r="N23" i="11"/>
  <c r="O23" i="11"/>
  <c r="P23" i="11"/>
  <c r="Q23" i="11"/>
  <c r="R23" i="11"/>
  <c r="S23" i="11"/>
  <c r="T23" i="11"/>
  <c r="U23" i="11"/>
  <c r="V23" i="11"/>
  <c r="W23" i="11"/>
  <c r="X23" i="11"/>
  <c r="Y23" i="11"/>
  <c r="Z23" i="11"/>
  <c r="B24" i="11"/>
  <c r="C24" i="11"/>
  <c r="D24" i="11"/>
  <c r="E24" i="11"/>
  <c r="F24" i="11"/>
  <c r="G24" i="11"/>
  <c r="H24" i="11"/>
  <c r="I24" i="11"/>
  <c r="J24" i="11"/>
  <c r="K24" i="11"/>
  <c r="L24" i="11"/>
  <c r="M24" i="11"/>
  <c r="N24" i="11"/>
  <c r="O24" i="11"/>
  <c r="P24" i="11"/>
  <c r="Q24" i="11"/>
  <c r="R24" i="11"/>
  <c r="S24" i="11"/>
  <c r="T24" i="11"/>
  <c r="U24" i="11"/>
  <c r="V24" i="11"/>
  <c r="W24" i="11"/>
  <c r="X24" i="11"/>
  <c r="Y24" i="11"/>
  <c r="Z24" i="11"/>
  <c r="B25" i="11"/>
  <c r="C25" i="11"/>
  <c r="D25" i="11"/>
  <c r="E25" i="11"/>
  <c r="F25" i="11"/>
  <c r="G25" i="11"/>
  <c r="H25" i="11"/>
  <c r="I25" i="11"/>
  <c r="J25" i="11"/>
  <c r="K25" i="11"/>
  <c r="L25" i="11"/>
  <c r="M25" i="11"/>
  <c r="N25" i="11"/>
  <c r="O25" i="11"/>
  <c r="P25" i="11"/>
  <c r="Q25" i="11"/>
  <c r="R25" i="11"/>
  <c r="S25" i="11"/>
  <c r="T25" i="11"/>
  <c r="U25" i="11"/>
  <c r="V25" i="11"/>
  <c r="W25" i="11"/>
  <c r="X25" i="11"/>
  <c r="Y25" i="11"/>
  <c r="Z25" i="11"/>
  <c r="B26" i="11"/>
  <c r="C26" i="11"/>
  <c r="D26" i="11"/>
  <c r="E26" i="11"/>
  <c r="F26" i="11"/>
  <c r="G26" i="11"/>
  <c r="H26" i="11"/>
  <c r="I26" i="11"/>
  <c r="J26" i="11"/>
  <c r="K26" i="11"/>
  <c r="L26" i="11"/>
  <c r="M26" i="11"/>
  <c r="N26" i="11"/>
  <c r="O26" i="11"/>
  <c r="P26" i="11"/>
  <c r="Q26" i="11"/>
  <c r="R26" i="11"/>
  <c r="S26" i="11"/>
  <c r="T26" i="11"/>
  <c r="U26" i="11"/>
  <c r="V26" i="11"/>
  <c r="W26" i="11"/>
  <c r="X26" i="11"/>
  <c r="Y26" i="11"/>
  <c r="Z26" i="11"/>
  <c r="C2" i="11"/>
  <c r="D2" i="11"/>
  <c r="E2" i="11"/>
  <c r="F2" i="11"/>
  <c r="G2" i="11"/>
  <c r="H2" i="11"/>
  <c r="I2" i="11"/>
  <c r="J2" i="11"/>
  <c r="K2" i="11"/>
  <c r="L2" i="11"/>
  <c r="M2" i="11"/>
  <c r="N2" i="11"/>
  <c r="O2" i="11"/>
  <c r="P2" i="11"/>
  <c r="Q2" i="11"/>
  <c r="R2" i="11"/>
  <c r="S2" i="11"/>
  <c r="T2" i="11"/>
  <c r="U2" i="11"/>
  <c r="V2" i="11"/>
  <c r="W2" i="11"/>
  <c r="X2" i="11"/>
  <c r="Y2" i="11"/>
  <c r="Z2" i="11"/>
  <c r="B2" i="11"/>
  <c r="T27" i="11"/>
  <c r="U27" i="11"/>
  <c r="V27" i="11"/>
  <c r="X27" i="11"/>
  <c r="C27" i="27"/>
  <c r="D27" i="27"/>
  <c r="D27" i="31" s="1"/>
  <c r="E27" i="27"/>
  <c r="E27" i="31" s="1"/>
  <c r="F27" i="27"/>
  <c r="F27" i="31" s="1"/>
  <c r="G27" i="27"/>
  <c r="G27" i="31" s="1"/>
  <c r="H27" i="27"/>
  <c r="H27" i="31" s="1"/>
  <c r="I27" i="27"/>
  <c r="I27" i="31" s="1"/>
  <c r="J27" i="27"/>
  <c r="J27" i="31" s="1"/>
  <c r="K27" i="27"/>
  <c r="K27" i="31" s="1"/>
  <c r="L27" i="27"/>
  <c r="L27" i="31" s="1"/>
  <c r="M27" i="27"/>
  <c r="M27" i="31" s="1"/>
  <c r="N27" i="27"/>
  <c r="N27" i="31" s="1"/>
  <c r="O27" i="27"/>
  <c r="O27" i="31" s="1"/>
  <c r="P27" i="27"/>
  <c r="P27" i="31" s="1"/>
  <c r="Q27" i="27"/>
  <c r="Q27" i="31" s="1"/>
  <c r="R27" i="27"/>
  <c r="R27" i="31" s="1"/>
  <c r="S27" i="27"/>
  <c r="S27" i="31" s="1"/>
  <c r="T27" i="27"/>
  <c r="T27" i="31" s="1"/>
  <c r="U27" i="27"/>
  <c r="U27" i="31" s="1"/>
  <c r="V27" i="27"/>
  <c r="V27" i="31" s="1"/>
  <c r="W27" i="27"/>
  <c r="W27" i="31" s="1"/>
  <c r="X27" i="27"/>
  <c r="X27" i="31" s="1"/>
  <c r="Y27" i="27"/>
  <c r="Y27" i="31" s="1"/>
  <c r="Z27" i="27"/>
  <c r="B27" i="27"/>
  <c r="B27" i="31" s="1"/>
  <c r="Z27" i="31" l="1"/>
  <c r="C27" i="31"/>
  <c r="R27" i="11"/>
  <c r="K27" i="11"/>
  <c r="C27" i="11"/>
  <c r="N27" i="11"/>
  <c r="Y27" i="11"/>
  <c r="J27" i="11"/>
  <c r="Z27" i="11"/>
  <c r="Q27" i="11"/>
  <c r="I27" i="11"/>
  <c r="F27" i="11"/>
  <c r="W27" i="11"/>
  <c r="P27" i="11"/>
  <c r="H27" i="11"/>
  <c r="G27" i="11"/>
  <c r="B27" i="11"/>
  <c r="E27" i="11"/>
  <c r="O27" i="11"/>
  <c r="M27" i="11"/>
  <c r="S27" i="11"/>
  <c r="L27" i="11"/>
  <c r="D27" i="11"/>
  <c r="G4" i="10"/>
  <c r="G5" i="10"/>
  <c r="G6" i="10"/>
  <c r="G7" i="10"/>
  <c r="G8" i="10"/>
  <c r="G9" i="10"/>
  <c r="G10" i="10"/>
  <c r="G11" i="10"/>
  <c r="G12" i="10"/>
  <c r="G13" i="10"/>
  <c r="G14" i="10"/>
  <c r="G15" i="10"/>
  <c r="G16" i="10"/>
  <c r="G17" i="10"/>
  <c r="G18" i="10"/>
  <c r="G19" i="10"/>
  <c r="G20" i="10"/>
  <c r="G21" i="10"/>
  <c r="G22" i="10"/>
  <c r="G23" i="10"/>
  <c r="G24" i="10"/>
  <c r="G25" i="10"/>
  <c r="G26" i="10"/>
  <c r="G27" i="10"/>
  <c r="C4" i="9"/>
  <c r="C4" i="38" s="1"/>
  <c r="B5" i="38"/>
  <c r="C5" i="9"/>
  <c r="C5" i="38" s="1"/>
  <c r="B6" i="38"/>
  <c r="C6" i="9"/>
  <c r="C6" i="38" s="1"/>
  <c r="B7" i="38"/>
  <c r="C7" i="9"/>
  <c r="C7" i="38" s="1"/>
  <c r="B8" i="38"/>
  <c r="C8" i="9"/>
  <c r="C8" i="38" s="1"/>
  <c r="B9" i="38"/>
  <c r="C9" i="9"/>
  <c r="C9" i="38" s="1"/>
  <c r="B10" i="38"/>
  <c r="C10" i="9"/>
  <c r="C10" i="38" s="1"/>
  <c r="B11" i="38"/>
  <c r="C11" i="9"/>
  <c r="C11" i="38" s="1"/>
  <c r="B12" i="38"/>
  <c r="C12" i="9"/>
  <c r="C12" i="38" s="1"/>
  <c r="B13" i="38"/>
  <c r="C13" i="9"/>
  <c r="C13" i="38" s="1"/>
  <c r="B14" i="38"/>
  <c r="C14" i="9"/>
  <c r="C14" i="38" s="1"/>
  <c r="B15" i="38"/>
  <c r="C15" i="9"/>
  <c r="C15" i="38" s="1"/>
  <c r="B16" i="38"/>
  <c r="C16" i="9"/>
  <c r="C16" i="38" s="1"/>
  <c r="B17" i="38"/>
  <c r="C17" i="9"/>
  <c r="C17" i="38" s="1"/>
  <c r="B18" i="38"/>
  <c r="C18" i="9"/>
  <c r="C18" i="38" s="1"/>
  <c r="B19" i="38"/>
  <c r="C19" i="9"/>
  <c r="C19" i="38" s="1"/>
  <c r="B20" i="38"/>
  <c r="C20" i="9"/>
  <c r="C20" i="38" s="1"/>
  <c r="B21" i="38"/>
  <c r="C21" i="9"/>
  <c r="C21" i="38" s="1"/>
  <c r="B22" i="38"/>
  <c r="C22" i="9"/>
  <c r="C22" i="38" s="1"/>
  <c r="B23" i="38"/>
  <c r="C23" i="9"/>
  <c r="C23" i="38" s="1"/>
  <c r="B24" i="38"/>
  <c r="C24" i="9"/>
  <c r="C24" i="38" s="1"/>
  <c r="B25" i="38"/>
  <c r="C25" i="9"/>
  <c r="C25" i="38" s="1"/>
  <c r="B26" i="38"/>
  <c r="C26" i="9"/>
  <c r="C26" i="38" s="1"/>
  <c r="B27" i="38"/>
  <c r="C27" i="9"/>
  <c r="C27" i="38" s="1"/>
  <c r="C3" i="9"/>
  <c r="C28" i="9" l="1"/>
  <c r="B4" i="38"/>
  <c r="C4" i="10"/>
  <c r="C3" i="38"/>
  <c r="B3" i="38"/>
  <c r="C6" i="10"/>
  <c r="C22" i="10"/>
  <c r="C20" i="10"/>
  <c r="B17" i="10"/>
  <c r="C14" i="10"/>
  <c r="C12" i="10"/>
  <c r="B9" i="10"/>
  <c r="C3" i="10"/>
  <c r="B25" i="10"/>
  <c r="B19" i="10"/>
  <c r="B11" i="10"/>
  <c r="C25" i="10"/>
  <c r="B22" i="10"/>
  <c r="C17" i="10"/>
  <c r="B14" i="10"/>
  <c r="C9" i="10"/>
  <c r="B6" i="10"/>
  <c r="C23" i="10"/>
  <c r="B20" i="10"/>
  <c r="C15" i="10"/>
  <c r="B12" i="10"/>
  <c r="C7" i="10"/>
  <c r="B4" i="10"/>
  <c r="C26" i="10"/>
  <c r="B23" i="10"/>
  <c r="C18" i="10"/>
  <c r="B15" i="10"/>
  <c r="C10" i="10"/>
  <c r="B7" i="10"/>
  <c r="B26" i="10"/>
  <c r="C21" i="10"/>
  <c r="B18" i="10"/>
  <c r="C13" i="10"/>
  <c r="B10" i="10"/>
  <c r="C5" i="10"/>
  <c r="B27" i="10"/>
  <c r="C24" i="10"/>
  <c r="B21" i="10"/>
  <c r="C16" i="10"/>
  <c r="B13" i="10"/>
  <c r="C8" i="10"/>
  <c r="B5" i="10"/>
  <c r="B3" i="10"/>
  <c r="C27" i="10"/>
  <c r="B24" i="10"/>
  <c r="C19" i="10"/>
  <c r="B16" i="10"/>
  <c r="C11" i="10"/>
  <c r="B8" i="10"/>
  <c r="C28" i="38" l="1"/>
  <c r="C28" i="10"/>
  <c r="B28" i="38"/>
  <c r="B28" i="10"/>
  <c r="E4" i="9"/>
  <c r="F4" i="9"/>
  <c r="G4" i="9"/>
  <c r="E5" i="9"/>
  <c r="F5" i="9"/>
  <c r="G5" i="9"/>
  <c r="E6" i="9"/>
  <c r="F6" i="9"/>
  <c r="G6" i="9"/>
  <c r="E7" i="9"/>
  <c r="F7" i="9"/>
  <c r="G7" i="9"/>
  <c r="E8" i="9"/>
  <c r="F8" i="9"/>
  <c r="G8" i="9"/>
  <c r="E9" i="9"/>
  <c r="F9" i="9"/>
  <c r="G9" i="9"/>
  <c r="E10" i="9"/>
  <c r="F10" i="9"/>
  <c r="G10" i="9"/>
  <c r="E11" i="9"/>
  <c r="F11" i="9"/>
  <c r="G11" i="9"/>
  <c r="E12" i="9"/>
  <c r="F12" i="9"/>
  <c r="G12" i="9"/>
  <c r="E13" i="9"/>
  <c r="F13" i="9"/>
  <c r="G13" i="9"/>
  <c r="E14" i="9"/>
  <c r="F14" i="9"/>
  <c r="G14" i="9"/>
  <c r="E15" i="9"/>
  <c r="F15" i="9"/>
  <c r="G15" i="9"/>
  <c r="E16" i="9"/>
  <c r="F16" i="9"/>
  <c r="G16" i="9"/>
  <c r="E17" i="9"/>
  <c r="F17" i="9"/>
  <c r="G17" i="9"/>
  <c r="E18" i="9"/>
  <c r="F18" i="9"/>
  <c r="G18" i="9"/>
  <c r="E19" i="9"/>
  <c r="F19" i="9"/>
  <c r="G19" i="9"/>
  <c r="E20" i="9"/>
  <c r="F20" i="9"/>
  <c r="G20" i="9"/>
  <c r="E21" i="9"/>
  <c r="F21" i="9"/>
  <c r="G21" i="9"/>
  <c r="E22" i="9"/>
  <c r="F22" i="9"/>
  <c r="G22" i="9"/>
  <c r="E23" i="9"/>
  <c r="F23" i="9"/>
  <c r="G23" i="9"/>
  <c r="E24" i="9"/>
  <c r="F24" i="9"/>
  <c r="G24" i="9"/>
  <c r="E25" i="9"/>
  <c r="F25" i="9"/>
  <c r="G25" i="9"/>
  <c r="E26" i="9"/>
  <c r="F26" i="9"/>
  <c r="G26" i="9"/>
  <c r="E27" i="9"/>
  <c r="F27" i="9"/>
  <c r="G27" i="9"/>
  <c r="G3" i="9"/>
  <c r="N27" i="9"/>
  <c r="M27" i="9"/>
  <c r="L27" i="9"/>
  <c r="K27" i="9"/>
  <c r="J27" i="9"/>
  <c r="I27" i="9"/>
  <c r="H27" i="9"/>
  <c r="N26" i="9"/>
  <c r="M26" i="9"/>
  <c r="L26" i="9"/>
  <c r="K26" i="9"/>
  <c r="J26" i="9"/>
  <c r="I26" i="9"/>
  <c r="H26" i="9"/>
  <c r="N25" i="9"/>
  <c r="M25" i="9"/>
  <c r="L25" i="9"/>
  <c r="K25" i="9"/>
  <c r="J25" i="9"/>
  <c r="I25" i="9"/>
  <c r="H25" i="9"/>
  <c r="N24" i="9"/>
  <c r="M24" i="9"/>
  <c r="L24" i="9"/>
  <c r="K24" i="9"/>
  <c r="J24" i="9"/>
  <c r="I24" i="9"/>
  <c r="H24" i="9"/>
  <c r="N23" i="9"/>
  <c r="M23" i="9"/>
  <c r="L23" i="9"/>
  <c r="K23" i="9"/>
  <c r="J23" i="9"/>
  <c r="I23" i="9"/>
  <c r="H23" i="9"/>
  <c r="N22" i="9"/>
  <c r="M22" i="9"/>
  <c r="L22" i="9"/>
  <c r="K22" i="9"/>
  <c r="J22" i="9"/>
  <c r="I22" i="9"/>
  <c r="H22" i="9"/>
  <c r="N21" i="9"/>
  <c r="M21" i="9"/>
  <c r="L21" i="9"/>
  <c r="K21" i="9"/>
  <c r="J21" i="9"/>
  <c r="I21" i="9"/>
  <c r="H21" i="9"/>
  <c r="N20" i="9"/>
  <c r="M20" i="9"/>
  <c r="L20" i="9"/>
  <c r="K20" i="9"/>
  <c r="J20" i="9"/>
  <c r="I20" i="9"/>
  <c r="H20" i="9"/>
  <c r="N19" i="9"/>
  <c r="M19" i="9"/>
  <c r="L19" i="9"/>
  <c r="K19" i="9"/>
  <c r="J19" i="9"/>
  <c r="I19" i="9"/>
  <c r="H19" i="9"/>
  <c r="N18" i="9"/>
  <c r="M18" i="9"/>
  <c r="L18" i="9"/>
  <c r="K18" i="9"/>
  <c r="J18" i="9"/>
  <c r="I18" i="9"/>
  <c r="H18" i="9"/>
  <c r="N17" i="9"/>
  <c r="M17" i="9"/>
  <c r="L17" i="9"/>
  <c r="K17" i="9"/>
  <c r="J17" i="9"/>
  <c r="I17" i="9"/>
  <c r="N16" i="9"/>
  <c r="M16" i="9"/>
  <c r="L16" i="9"/>
  <c r="K16" i="9"/>
  <c r="J16" i="9"/>
  <c r="I16" i="9"/>
  <c r="H16" i="9"/>
  <c r="N15" i="9"/>
  <c r="M15" i="9"/>
  <c r="L15" i="9"/>
  <c r="K15" i="9"/>
  <c r="J15" i="9"/>
  <c r="I15" i="9"/>
  <c r="H15" i="9"/>
  <c r="N14" i="9"/>
  <c r="M14" i="9"/>
  <c r="L14" i="9"/>
  <c r="K14" i="9"/>
  <c r="J14" i="9"/>
  <c r="I14" i="9"/>
  <c r="H14" i="9"/>
  <c r="N13" i="9"/>
  <c r="M13" i="9"/>
  <c r="L13" i="9"/>
  <c r="K13" i="9"/>
  <c r="J13" i="9"/>
  <c r="I13" i="9"/>
  <c r="H13" i="9"/>
  <c r="N12" i="9"/>
  <c r="M12" i="9"/>
  <c r="L12" i="9"/>
  <c r="K12" i="9"/>
  <c r="J12" i="9"/>
  <c r="I12" i="9"/>
  <c r="H12" i="9"/>
  <c r="N11" i="9"/>
  <c r="M11" i="9"/>
  <c r="L11" i="9"/>
  <c r="K11" i="9"/>
  <c r="J11" i="9"/>
  <c r="I11" i="9"/>
  <c r="H11" i="9"/>
  <c r="N10" i="9"/>
  <c r="M10" i="9"/>
  <c r="L10" i="9"/>
  <c r="K10" i="9"/>
  <c r="J10" i="9"/>
  <c r="I10" i="9"/>
  <c r="H10" i="9"/>
  <c r="N9" i="9"/>
  <c r="M9" i="9"/>
  <c r="L9" i="9"/>
  <c r="K9" i="9"/>
  <c r="J9" i="9"/>
  <c r="I9" i="9"/>
  <c r="H9" i="9"/>
  <c r="N8" i="9"/>
  <c r="M8" i="9"/>
  <c r="L8" i="9"/>
  <c r="K8" i="9"/>
  <c r="J8" i="9"/>
  <c r="I8" i="9"/>
  <c r="H8" i="9"/>
  <c r="N7" i="9"/>
  <c r="M7" i="9"/>
  <c r="L7" i="9"/>
  <c r="K7" i="9"/>
  <c r="J7" i="9"/>
  <c r="I7" i="9"/>
  <c r="H7" i="9"/>
  <c r="N6" i="9"/>
  <c r="M6" i="9"/>
  <c r="L6" i="9"/>
  <c r="K6" i="9"/>
  <c r="J6" i="9"/>
  <c r="I6" i="9"/>
  <c r="H6" i="9"/>
  <c r="N5" i="9"/>
  <c r="M5" i="9"/>
  <c r="L5" i="9"/>
  <c r="K5" i="9"/>
  <c r="J5" i="9"/>
  <c r="I5" i="9"/>
  <c r="H5" i="9"/>
  <c r="N4" i="9"/>
  <c r="M4" i="9"/>
  <c r="L4" i="9"/>
  <c r="K4" i="9"/>
  <c r="J4" i="9"/>
  <c r="I4" i="9"/>
  <c r="H4" i="9"/>
  <c r="N3" i="9"/>
  <c r="M3" i="9"/>
  <c r="L3" i="9"/>
  <c r="K3" i="9"/>
  <c r="J3" i="9"/>
  <c r="I3" i="9"/>
  <c r="H3" i="9"/>
  <c r="F3" i="9"/>
  <c r="E3" i="9"/>
  <c r="D27" i="9"/>
  <c r="D26" i="9"/>
  <c r="D25" i="9"/>
  <c r="D24" i="9"/>
  <c r="D23" i="9"/>
  <c r="D22" i="9"/>
  <c r="D21" i="9"/>
  <c r="D20" i="9"/>
  <c r="D19" i="9"/>
  <c r="D18" i="9"/>
  <c r="D17" i="9"/>
  <c r="D16" i="9"/>
  <c r="D15" i="9"/>
  <c r="D14" i="9"/>
  <c r="D13" i="9"/>
  <c r="D12" i="9"/>
  <c r="D11" i="9"/>
  <c r="D10" i="9"/>
  <c r="D9" i="9"/>
  <c r="D8" i="9"/>
  <c r="D7" i="9"/>
  <c r="D6" i="9"/>
  <c r="D5" i="9"/>
  <c r="D4" i="9"/>
  <c r="D3" i="9"/>
  <c r="F28" i="9" l="1"/>
  <c r="H28" i="9"/>
  <c r="D28" i="9"/>
  <c r="E28" i="9"/>
  <c r="J28" i="9"/>
  <c r="I28" i="9"/>
  <c r="L28" i="9"/>
  <c r="M28" i="9"/>
  <c r="K28" i="9"/>
  <c r="N28" i="9"/>
  <c r="D22" i="38"/>
  <c r="D22" i="10"/>
  <c r="N9" i="38"/>
  <c r="N9" i="10"/>
  <c r="L15" i="38"/>
  <c r="L15" i="10"/>
  <c r="H19" i="38"/>
  <c r="H19" i="10"/>
  <c r="L23" i="38"/>
  <c r="L23" i="10"/>
  <c r="E17" i="38"/>
  <c r="E17" i="10"/>
  <c r="K4" i="38"/>
  <c r="K4" i="10"/>
  <c r="H9" i="38"/>
  <c r="H9" i="10"/>
  <c r="L13" i="38"/>
  <c r="L13" i="10"/>
  <c r="I18" i="38"/>
  <c r="I18" i="10"/>
  <c r="L21" i="38"/>
  <c r="L21" i="10"/>
  <c r="H25" i="38"/>
  <c r="H25" i="10"/>
  <c r="J27" i="38"/>
  <c r="J27" i="10"/>
  <c r="E19" i="38"/>
  <c r="E19" i="10"/>
  <c r="D9" i="38"/>
  <c r="D9" i="10"/>
  <c r="L4" i="38"/>
  <c r="L4" i="10"/>
  <c r="I9" i="38"/>
  <c r="I9" i="10"/>
  <c r="M13" i="38"/>
  <c r="M13" i="10"/>
  <c r="K19" i="38"/>
  <c r="K19" i="10"/>
  <c r="I25" i="38"/>
  <c r="I25" i="10"/>
  <c r="D10" i="38"/>
  <c r="D10" i="10"/>
  <c r="L3" i="38"/>
  <c r="L3" i="10"/>
  <c r="H7" i="38"/>
  <c r="H7" i="10"/>
  <c r="K10" i="38"/>
  <c r="K10" i="10"/>
  <c r="N13" i="38"/>
  <c r="N13" i="10"/>
  <c r="I16" i="38"/>
  <c r="I16" i="10"/>
  <c r="L19" i="38"/>
  <c r="L19" i="10"/>
  <c r="H23" i="38"/>
  <c r="H23" i="10"/>
  <c r="K26" i="38"/>
  <c r="K26" i="10"/>
  <c r="F18" i="38"/>
  <c r="F18" i="10"/>
  <c r="E13" i="38"/>
  <c r="E13" i="10"/>
  <c r="E5" i="38"/>
  <c r="E5" i="10"/>
  <c r="D3" i="38"/>
  <c r="D3" i="10"/>
  <c r="D11" i="38"/>
  <c r="D11" i="10"/>
  <c r="D19" i="38"/>
  <c r="D19" i="10"/>
  <c r="D27" i="38"/>
  <c r="D27" i="10"/>
  <c r="M3" i="38"/>
  <c r="M3" i="10"/>
  <c r="N4" i="38"/>
  <c r="N4" i="10"/>
  <c r="H6" i="38"/>
  <c r="H6" i="10"/>
  <c r="I7" i="38"/>
  <c r="I7" i="10"/>
  <c r="J8" i="38"/>
  <c r="J8" i="10"/>
  <c r="K9" i="38"/>
  <c r="K9" i="10"/>
  <c r="L10" i="38"/>
  <c r="L10" i="10"/>
  <c r="M11" i="38"/>
  <c r="M11" i="10"/>
  <c r="N12" i="38"/>
  <c r="N12" i="10"/>
  <c r="H14" i="38"/>
  <c r="H14" i="10"/>
  <c r="I15" i="38"/>
  <c r="I15" i="10"/>
  <c r="J16" i="38"/>
  <c r="J16" i="10"/>
  <c r="K17" i="38"/>
  <c r="K17" i="10"/>
  <c r="L18" i="38"/>
  <c r="L18" i="10"/>
  <c r="M19" i="38"/>
  <c r="M19" i="10"/>
  <c r="N20" i="38"/>
  <c r="N20" i="10"/>
  <c r="H22" i="38"/>
  <c r="H22" i="10"/>
  <c r="I23" i="38"/>
  <c r="I23" i="10"/>
  <c r="J24" i="38"/>
  <c r="J24" i="10"/>
  <c r="K25" i="38"/>
  <c r="K25" i="10"/>
  <c r="L26" i="38"/>
  <c r="L26" i="10"/>
  <c r="M27" i="38"/>
  <c r="M27" i="10"/>
  <c r="E26" i="38"/>
  <c r="E26" i="10"/>
  <c r="F23" i="38"/>
  <c r="F23" i="10"/>
  <c r="E18" i="38"/>
  <c r="E18" i="10"/>
  <c r="F15" i="38"/>
  <c r="F15" i="10"/>
  <c r="E10" i="38"/>
  <c r="E10" i="10"/>
  <c r="F7" i="38"/>
  <c r="F7" i="10"/>
  <c r="D6" i="38"/>
  <c r="D6" i="10"/>
  <c r="I12" i="38"/>
  <c r="I12" i="10"/>
  <c r="D8" i="38"/>
  <c r="D8" i="10"/>
  <c r="L5" i="38"/>
  <c r="L5" i="10"/>
  <c r="I10" i="38"/>
  <c r="I10" i="10"/>
  <c r="N15" i="38"/>
  <c r="N15" i="10"/>
  <c r="M22" i="38"/>
  <c r="M22" i="10"/>
  <c r="E11" i="38"/>
  <c r="E11" i="10"/>
  <c r="D25" i="38"/>
  <c r="D25" i="10"/>
  <c r="H8" i="38"/>
  <c r="H8" i="10"/>
  <c r="H16" i="38"/>
  <c r="H16" i="10"/>
  <c r="K27" i="38"/>
  <c r="K27" i="10"/>
  <c r="D26" i="38"/>
  <c r="D26" i="10"/>
  <c r="I8" i="38"/>
  <c r="I8" i="10"/>
  <c r="L11" i="38"/>
  <c r="L11" i="10"/>
  <c r="J17" i="38"/>
  <c r="J17" i="10"/>
  <c r="M20" i="38"/>
  <c r="M20" i="10"/>
  <c r="I24" i="38"/>
  <c r="I24" i="10"/>
  <c r="L27" i="38"/>
  <c r="L27" i="10"/>
  <c r="F26" i="38"/>
  <c r="F26" i="10"/>
  <c r="E21" i="38"/>
  <c r="E21" i="10"/>
  <c r="F10" i="38"/>
  <c r="F10" i="10"/>
  <c r="D12" i="38"/>
  <c r="D12" i="10"/>
  <c r="E3" i="38"/>
  <c r="E3" i="10"/>
  <c r="N3" i="38"/>
  <c r="N3" i="10"/>
  <c r="H5" i="38"/>
  <c r="H5" i="10"/>
  <c r="I6" i="38"/>
  <c r="I6" i="10"/>
  <c r="J7" i="38"/>
  <c r="J7" i="10"/>
  <c r="K8" i="38"/>
  <c r="K8" i="10"/>
  <c r="L9" i="38"/>
  <c r="L9" i="10"/>
  <c r="M10" i="38"/>
  <c r="M10" i="10"/>
  <c r="N11" i="38"/>
  <c r="N11" i="10"/>
  <c r="H13" i="38"/>
  <c r="H13" i="10"/>
  <c r="I14" i="38"/>
  <c r="I14" i="10"/>
  <c r="J15" i="38"/>
  <c r="J15" i="10"/>
  <c r="K16" i="38"/>
  <c r="K16" i="10"/>
  <c r="L17" i="38"/>
  <c r="L17" i="10"/>
  <c r="M18" i="38"/>
  <c r="M18" i="10"/>
  <c r="N19" i="38"/>
  <c r="N19" i="10"/>
  <c r="H21" i="38"/>
  <c r="H21" i="10"/>
  <c r="I22" i="38"/>
  <c r="I22" i="10"/>
  <c r="J23" i="38"/>
  <c r="J23" i="10"/>
  <c r="K24" i="38"/>
  <c r="K24" i="10"/>
  <c r="L25" i="38"/>
  <c r="L25" i="10"/>
  <c r="M26" i="38"/>
  <c r="M26" i="10"/>
  <c r="N27" i="38"/>
  <c r="N27" i="10"/>
  <c r="E23" i="38"/>
  <c r="E23" i="10"/>
  <c r="F20" i="38"/>
  <c r="F20" i="10"/>
  <c r="E15" i="38"/>
  <c r="E15" i="10"/>
  <c r="F12" i="38"/>
  <c r="F12" i="10"/>
  <c r="E7" i="38"/>
  <c r="E7" i="10"/>
  <c r="F4" i="38"/>
  <c r="F4" i="10"/>
  <c r="J5" i="38"/>
  <c r="J5" i="10"/>
  <c r="H11" i="38"/>
  <c r="H11" i="10"/>
  <c r="M16" i="38"/>
  <c r="M16" i="10"/>
  <c r="I20" i="38"/>
  <c r="I20" i="10"/>
  <c r="J3" i="38"/>
  <c r="J3" i="10"/>
  <c r="N7" i="38"/>
  <c r="N7" i="10"/>
  <c r="K12" i="38"/>
  <c r="K12" i="10"/>
  <c r="H17" i="38"/>
  <c r="H17" i="10"/>
  <c r="K20" i="38"/>
  <c r="K20" i="10"/>
  <c r="N23" i="38"/>
  <c r="N23" i="10"/>
  <c r="E27" i="38"/>
  <c r="E27" i="10"/>
  <c r="F16" i="38"/>
  <c r="F16" i="10"/>
  <c r="D17" i="38"/>
  <c r="D17" i="10"/>
  <c r="M5" i="38"/>
  <c r="M5" i="10"/>
  <c r="J10" i="38"/>
  <c r="J10" i="10"/>
  <c r="L12" i="38"/>
  <c r="L12" i="10"/>
  <c r="J18" i="38"/>
  <c r="J18" i="10"/>
  <c r="J26" i="38"/>
  <c r="J26" i="10"/>
  <c r="D18" i="38"/>
  <c r="D18" i="10"/>
  <c r="M4" i="38"/>
  <c r="M4" i="10"/>
  <c r="N5" i="38"/>
  <c r="N5" i="10"/>
  <c r="J9" i="38"/>
  <c r="J9" i="10"/>
  <c r="M12" i="38"/>
  <c r="M12" i="10"/>
  <c r="H15" i="38"/>
  <c r="H15" i="10"/>
  <c r="K18" i="38"/>
  <c r="K18" i="10"/>
  <c r="N21" i="38"/>
  <c r="N21" i="10"/>
  <c r="J25" i="38"/>
  <c r="J25" i="10"/>
  <c r="D4" i="38"/>
  <c r="D4" i="10"/>
  <c r="D20" i="38"/>
  <c r="D20" i="10"/>
  <c r="D5" i="38"/>
  <c r="D5" i="10"/>
  <c r="D13" i="38"/>
  <c r="D13" i="10"/>
  <c r="D21" i="38"/>
  <c r="D21" i="10"/>
  <c r="F3" i="38"/>
  <c r="F3" i="10"/>
  <c r="H4" i="38"/>
  <c r="H4" i="10"/>
  <c r="I5" i="38"/>
  <c r="I5" i="10"/>
  <c r="J6" i="38"/>
  <c r="J6" i="10"/>
  <c r="K7" i="38"/>
  <c r="K7" i="10"/>
  <c r="L8" i="38"/>
  <c r="L8" i="10"/>
  <c r="M9" i="38"/>
  <c r="M9" i="10"/>
  <c r="N10" i="38"/>
  <c r="N10" i="10"/>
  <c r="H12" i="38"/>
  <c r="H12" i="10"/>
  <c r="I13" i="38"/>
  <c r="I13" i="10"/>
  <c r="J14" i="38"/>
  <c r="J14" i="10"/>
  <c r="K15" i="38"/>
  <c r="K15" i="10"/>
  <c r="L16" i="38"/>
  <c r="L16" i="10"/>
  <c r="M17" i="38"/>
  <c r="M17" i="10"/>
  <c r="N18" i="38"/>
  <c r="N18" i="10"/>
  <c r="H20" i="38"/>
  <c r="H20" i="10"/>
  <c r="I21" i="38"/>
  <c r="I21" i="10"/>
  <c r="J22" i="38"/>
  <c r="J22" i="10"/>
  <c r="K23" i="38"/>
  <c r="K23" i="10"/>
  <c r="L24" i="38"/>
  <c r="L24" i="10"/>
  <c r="M25" i="38"/>
  <c r="M25" i="10"/>
  <c r="N26" i="38"/>
  <c r="N26" i="10"/>
  <c r="G3" i="38"/>
  <c r="G3" i="10"/>
  <c r="F25" i="38"/>
  <c r="F25" i="10"/>
  <c r="E20" i="38"/>
  <c r="E20" i="10"/>
  <c r="F17" i="38"/>
  <c r="F17" i="10"/>
  <c r="E12" i="38"/>
  <c r="E12" i="10"/>
  <c r="F9" i="38"/>
  <c r="F9" i="10"/>
  <c r="E4" i="38"/>
  <c r="E4" i="10"/>
  <c r="H3" i="38"/>
  <c r="H3" i="10"/>
  <c r="K6" i="38"/>
  <c r="K6" i="10"/>
  <c r="M8" i="38"/>
  <c r="M8" i="10"/>
  <c r="J13" i="38"/>
  <c r="J13" i="10"/>
  <c r="N17" i="38"/>
  <c r="N17" i="10"/>
  <c r="K22" i="38"/>
  <c r="K22" i="10"/>
  <c r="M24" i="38"/>
  <c r="M24" i="10"/>
  <c r="N25" i="38"/>
  <c r="N25" i="10"/>
  <c r="H27" i="38"/>
  <c r="H27" i="10"/>
  <c r="E25" i="38"/>
  <c r="E25" i="10"/>
  <c r="F14" i="38"/>
  <c r="F14" i="10"/>
  <c r="E9" i="38"/>
  <c r="E9" i="10"/>
  <c r="F6" i="38"/>
  <c r="F6" i="10"/>
  <c r="D7" i="38"/>
  <c r="D7" i="10"/>
  <c r="D15" i="38"/>
  <c r="D15" i="10"/>
  <c r="D23" i="38"/>
  <c r="D23" i="10"/>
  <c r="I3" i="38"/>
  <c r="I3" i="10"/>
  <c r="J4" i="38"/>
  <c r="J4" i="10"/>
  <c r="K5" i="38"/>
  <c r="K5" i="10"/>
  <c r="L6" i="38"/>
  <c r="L6" i="10"/>
  <c r="M7" i="38"/>
  <c r="M7" i="10"/>
  <c r="N8" i="38"/>
  <c r="N8" i="10"/>
  <c r="H10" i="38"/>
  <c r="H10" i="10"/>
  <c r="I11" i="38"/>
  <c r="I11" i="10"/>
  <c r="J12" i="38"/>
  <c r="J12" i="10"/>
  <c r="K13" i="38"/>
  <c r="K13" i="10"/>
  <c r="L14" i="38"/>
  <c r="L14" i="10"/>
  <c r="M15" i="38"/>
  <c r="M15" i="10"/>
  <c r="N16" i="38"/>
  <c r="N16" i="10"/>
  <c r="H18" i="38"/>
  <c r="H18" i="10"/>
  <c r="I19" i="38"/>
  <c r="I19" i="10"/>
  <c r="J20" i="38"/>
  <c r="J20" i="10"/>
  <c r="K21" i="38"/>
  <c r="K21" i="10"/>
  <c r="L22" i="38"/>
  <c r="L22" i="10"/>
  <c r="M23" i="38"/>
  <c r="M23" i="10"/>
  <c r="N24" i="38"/>
  <c r="N24" i="10"/>
  <c r="H26" i="38"/>
  <c r="H26" i="10"/>
  <c r="I27" i="38"/>
  <c r="I27" i="10"/>
  <c r="F27" i="38"/>
  <c r="F27" i="10"/>
  <c r="E22" i="38"/>
  <c r="E22" i="10"/>
  <c r="F19" i="38"/>
  <c r="F19" i="10"/>
  <c r="E14" i="38"/>
  <c r="E14" i="10"/>
  <c r="F11" i="38"/>
  <c r="F11" i="10"/>
  <c r="E6" i="38"/>
  <c r="E6" i="10"/>
  <c r="D14" i="38"/>
  <c r="D14" i="10"/>
  <c r="I4" i="38"/>
  <c r="I4" i="10"/>
  <c r="L7" i="38"/>
  <c r="L7" i="10"/>
  <c r="K14" i="38"/>
  <c r="K14" i="10"/>
  <c r="J21" i="38"/>
  <c r="J21" i="10"/>
  <c r="F22" i="38"/>
  <c r="F22" i="10"/>
  <c r="D16" i="38"/>
  <c r="D16" i="10"/>
  <c r="D24" i="38"/>
  <c r="D24" i="10"/>
  <c r="M6" i="38"/>
  <c r="M6" i="10"/>
  <c r="J11" i="38"/>
  <c r="J11" i="10"/>
  <c r="M14" i="38"/>
  <c r="M14" i="10"/>
  <c r="J19" i="38"/>
  <c r="J19" i="10"/>
  <c r="I26" i="38"/>
  <c r="I26" i="10"/>
  <c r="F24" i="38"/>
  <c r="F24" i="10"/>
  <c r="F8" i="38"/>
  <c r="F8" i="10"/>
  <c r="K3" i="38"/>
  <c r="K3" i="10"/>
  <c r="N6" i="38"/>
  <c r="N6" i="10"/>
  <c r="K11" i="38"/>
  <c r="K11" i="10"/>
  <c r="N14" i="38"/>
  <c r="N14" i="10"/>
  <c r="I17" i="38"/>
  <c r="I17" i="10"/>
  <c r="L20" i="38"/>
  <c r="L20" i="10"/>
  <c r="M21" i="38"/>
  <c r="M21" i="10"/>
  <c r="N22" i="38"/>
  <c r="N22" i="10"/>
  <c r="H24" i="38"/>
  <c r="H24" i="10"/>
  <c r="E24" i="38"/>
  <c r="E24" i="10"/>
  <c r="F21" i="38"/>
  <c r="F21" i="10"/>
  <c r="E16" i="38"/>
  <c r="E16" i="10"/>
  <c r="F13" i="38"/>
  <c r="F13" i="10"/>
  <c r="E8" i="38"/>
  <c r="E8" i="10"/>
  <c r="F5" i="38"/>
  <c r="F5" i="10"/>
  <c r="H28" i="38" l="1"/>
  <c r="H28" i="10"/>
  <c r="E28" i="38"/>
  <c r="E28" i="10"/>
  <c r="F28" i="38"/>
  <c r="F28" i="10"/>
  <c r="N28" i="38"/>
  <c r="N28" i="10"/>
  <c r="M28" i="38"/>
  <c r="M28" i="10"/>
  <c r="D28" i="38"/>
  <c r="D28" i="10"/>
  <c r="L28" i="38"/>
  <c r="L28" i="10"/>
  <c r="J28" i="38"/>
  <c r="J28" i="10"/>
  <c r="K28" i="38"/>
  <c r="K28" i="10"/>
  <c r="I28" i="38"/>
  <c r="I28" i="10"/>
  <c r="BD6" i="2"/>
  <c r="BD7" i="2"/>
  <c r="BD8" i="2"/>
  <c r="BD9" i="2"/>
  <c r="BD10" i="2"/>
  <c r="BD11" i="2"/>
  <c r="BD12" i="2"/>
  <c r="BD13" i="2"/>
  <c r="BD15" i="2"/>
  <c r="BD16" i="2"/>
  <c r="BD18" i="2"/>
  <c r="BD19" i="2"/>
  <c r="BD20" i="2"/>
  <c r="BD22" i="2"/>
  <c r="BD23" i="2"/>
  <c r="BD24" i="2"/>
  <c r="BD26" i="2"/>
  <c r="BD27" i="2"/>
  <c r="BD5" i="2"/>
  <c r="B25" i="37" l="1"/>
  <c r="B25" i="36"/>
  <c r="B20" i="36"/>
  <c r="B20" i="37"/>
  <c r="B9" i="36"/>
  <c r="B9" i="37"/>
  <c r="B5" i="37"/>
  <c r="B5" i="36"/>
  <c r="B18" i="37"/>
  <c r="B18" i="36"/>
  <c r="B8" i="37"/>
  <c r="B8" i="36"/>
  <c r="B19" i="36"/>
  <c r="B19" i="37"/>
  <c r="B7" i="37"/>
  <c r="B7" i="36"/>
  <c r="B6" i="37"/>
  <c r="B6" i="36"/>
  <c r="B24" i="37"/>
  <c r="B24" i="36"/>
  <c r="B13" i="37"/>
  <c r="B13" i="36"/>
  <c r="B10" i="37"/>
  <c r="B10" i="36"/>
  <c r="B27" i="36"/>
  <c r="B27" i="37"/>
  <c r="B15" i="37"/>
  <c r="B15" i="36"/>
  <c r="B23" i="37"/>
  <c r="B23" i="36"/>
  <c r="B12" i="36"/>
  <c r="B12" i="37"/>
  <c r="B16" i="37"/>
  <c r="B16" i="36"/>
  <c r="B26" i="37"/>
  <c r="B26" i="36"/>
  <c r="B22" i="37"/>
  <c r="B22" i="36"/>
  <c r="B11" i="36"/>
  <c r="B11" i="37"/>
  <c r="B28" i="13" l="1"/>
  <c r="H25" i="6"/>
  <c r="G25" i="6"/>
  <c r="F25" i="6"/>
  <c r="E25" i="6"/>
  <c r="D25" i="6"/>
  <c r="C25" i="6"/>
  <c r="H24" i="6"/>
  <c r="G24" i="6"/>
  <c r="F24" i="6"/>
  <c r="E24" i="6"/>
  <c r="D24" i="6"/>
  <c r="C24" i="6"/>
  <c r="D22" i="6"/>
  <c r="E22" i="6"/>
  <c r="F22" i="6"/>
  <c r="G22" i="6"/>
  <c r="H22" i="6"/>
  <c r="D23" i="6"/>
  <c r="E23" i="6"/>
  <c r="F23" i="6"/>
  <c r="G23" i="6"/>
  <c r="H23" i="6"/>
  <c r="C23" i="6"/>
  <c r="C22" i="6"/>
  <c r="D21" i="6"/>
  <c r="E21" i="6"/>
  <c r="F21" i="6"/>
  <c r="G21" i="6"/>
  <c r="H21" i="6"/>
  <c r="C21" i="6"/>
  <c r="B28" i="37" l="1"/>
  <c r="B28"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tc={53C4F1D1-52B8-4AE5-9EE8-A92117B01973}</author>
  </authors>
  <commentList>
    <comment ref="A1" authorId="0" shapeId="0" xr:uid="{53C4F1D1-52B8-4AE5-9EE8-A92117B0197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Methodendetaillierung hier fertigstellen!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tc={14AB5950-C6ED-4E81-B755-A6BAD555AC07}</author>
  </authors>
  <commentList>
    <comment ref="A2" authorId="0" shapeId="0" xr:uid="{14AB5950-C6ED-4E81-B755-A6BAD555AC0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tc={40EFA183-7B32-40BC-9745-C05DC6A885F0}</author>
  </authors>
  <commentList>
    <comment ref="A2" authorId="0" shapeId="0" xr:uid="{40EFA183-7B32-40BC-9745-C05DC6A885F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tc={76D7D0FE-F3B2-49E1-A729-1C6DE87AE573}</author>
  </authors>
  <commentList>
    <comment ref="A2" authorId="0" shapeId="0" xr:uid="{76D7D0FE-F3B2-49E1-A729-1C6DE87AE57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tc={5FA39351-A534-4771-A1C7-4CED3039F42B}</author>
  </authors>
  <commentList>
    <comment ref="A10" authorId="0" shapeId="0" xr:uid="{5FA39351-A534-4771-A1C7-4CED3039F42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tc={FDFCD9BB-D41C-4D5A-A38B-299BD59C734F}</author>
    <author>tc={C5FB217F-DF6C-4168-AE37-FD4963532B4B}</author>
  </authors>
  <commentList>
    <comment ref="A44" authorId="0" shapeId="0" xr:uid="{FDFCD9BB-D41C-4D5A-A38B-299BD59C734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Holzstoffherstellung: Holzschliff oder Refiner -&gt; mechanische Zerfaserung vs. Zellstoffherstellung: chemische Zerfaserung von Holz; beide als Grundstoffe für die Papierherstellung verwendet; abweichende Verfahrensarten</t>
        </r>
      </text>
    </comment>
    <comment ref="A64" authorId="1" shapeId="0" xr:uid="{C5FB217F-DF6C-4168-AE37-FD4963532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 Klinkermühle wird als Synonym zu Zementmühle aufgefasst.</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tc={FC625529-4B59-4B41-B60B-FFCF748CF4F4}</author>
    <author>tc={A4317356-70BA-4A3C-98DB-4637D4BE7732}</author>
    <author>tc={CB8A4170-9D6B-42A4-977A-9CCE0CD98131}</author>
    <author>tc={41C8E374-0AEA-4A67-ACAD-446CB9C5EBC0}</author>
    <author>tc={9D643BCE-B919-4AD3-962A-EE81F85D8736}</author>
    <author>tc={86123023-DBC6-477E-A265-DEEA16BD5EA9}</author>
    <author>tc={D72B9B72-5C5D-4DB4-95AB-48D874935985}</author>
    <author>tc={96B1E4A5-1A00-4751-A806-B62F04971228}</author>
    <author>tc={6D6A996F-9EBA-4AF1-896F-CBE11CB0C637}</author>
    <author>tc={C3609ED1-30E4-4427-964B-B7A7A7EE496D}</author>
    <author>tc={29DC9230-6C39-4075-B30E-3E8236F38AF5}</author>
    <author>tc={49D3ADA9-5C2A-438C-B045-3349A7ADEB44}</author>
    <author>tc={40A9B6C4-854C-4F03-8706-EB29372F1E4B}</author>
    <author>tc={A54174E2-EC51-408B-AC0E-67BDE4561022}</author>
    <author>tc={277C8973-3258-442F-A7C6-6B54DB1F30DE}</author>
    <author>tc={158F14F1-4A36-4890-A807-E196EFDDB16E}</author>
    <author>tc={5B356CCE-F4B7-4886-AE38-878EDA3336B2}</author>
    <author>tc={55E48397-91B4-4A54-BC0C-DFD2B145E66C}</author>
    <author>tc={230E0BCC-788B-43F4-AFE7-CE6FA08428D4}</author>
    <author>tc={A732C617-B545-4F7E-9BF9-C5BB9B7B9D48}</author>
    <author>tc={B14106B7-6649-4DEF-88E6-EEAAB9434D3D}</author>
    <author>tc={EA7E3014-BB6C-45A6-A558-7585DEC31D5D}</author>
  </authors>
  <commentList>
    <comment ref="A1" authorId="0" shapeId="0" xr:uid="{FC625529-4B59-4B41-B60B-FFCF748CF4F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Einzelprozesseignung auswerten -&gt; widersrüchliche Angaben in der Literatur!</t>
        </r>
      </text>
    </comment>
    <comment ref="A7" authorId="1" shapeId="0" xr:uid="{A4317356-70BA-4A3C-98DB-4637D4BE773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Angaben</t>
        </r>
      </text>
    </comment>
    <comment ref="A10" authorId="2" shapeId="0" xr:uid="{CB8A4170-9D6B-42A4-977A-9CCE0CD9813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Chlor nicht spezifiziert</t>
        </r>
      </text>
    </comment>
    <comment ref="A11" authorId="3" shapeId="0" xr:uid="{41C8E374-0AEA-4A67-ACAD-446CB9C5EBC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der einschlägigen Prozesse</t>
        </r>
      </text>
    </comment>
    <comment ref="E12" authorId="4" shapeId="0" xr:uid="{9D643BCE-B919-4AD3-962A-EE81F85D873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Papiermaschine lässt sich in ihrem Durchsatz regeln. An sich ist Prozess aber (scheinbar) relativ träge.</t>
        </r>
      </text>
    </comment>
    <comment ref="L12" authorId="5" shapeId="0" xr:uid="{86123023-DBC6-477E-A265-DEEA16BD5EA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Motorenanwendungen bei Mühlen und Brechern sowie Abluftventilatoren geeignet.</t>
        </r>
      </text>
    </comment>
    <comment ref="A14" authorId="6" shapeId="0" xr:uid="{D72B9B72-5C5D-4DB4-95AB-48D87493598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Detaillierung auf der Ebene von Einzelprozessen</t>
        </r>
      </text>
    </comment>
    <comment ref="L15" authorId="7" shapeId="0" xr:uid="{96B1E4A5-1A00-4751-A806-B62F0497122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Zumeist (zu) kleine Speicherkapazitäten (S. 19)</t>
        </r>
      </text>
    </comment>
    <comment ref="E16" authorId="8" shapeId="0" xr:uid="{6D6A996F-9EBA-4AF1-896F-CBE11CB0C63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Produkt und Pressenpartie kann etwa Durchsatzgeschwindigkeit und/oder Druck verringert werden. Aussage aber nicht allgemeingültig. (S. 105)</t>
        </r>
      </text>
    </comment>
    <comment ref="H16" authorId="9" shapeId="0" xr:uid="{C3609ED1-30E4-4427-964B-B7A7A7EE496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betrachtet</t>
        </r>
      </text>
    </comment>
    <comment ref="I16" authorId="10" shapeId="0" xr:uid="{29DC9230-6C39-4075-B30E-3E8236F38AF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Diaphragmaverfahren grundsätzlich auch teillastfägig. Potenziale beim neueren Sauerstoffverzehrkathodenverfahren (S. 175)</t>
        </r>
      </text>
    </comment>
    <comment ref="J16" authorId="11" shapeId="0" xr:uid="{49D3ADA9-5C2A-438C-B045-3349A7ADEB4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betrachtet</t>
        </r>
      </text>
    </comment>
    <comment ref="L16" authorId="12" shapeId="0" xr:uid="{40A9B6C4-854C-4F03-8706-EB29372F1E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Regelbarkeit der Rohgesteinsmühlen und Brecher wegen Verbund mit Drehrohrofen an einigen Standorten nicht gegeben, d.h. standortabhängig (S. 135-136).</t>
        </r>
      </text>
    </comment>
    <comment ref="A17" authorId="13" shapeId="0" xr:uid="{A54174E2-EC51-408B-AC0E-67BDE456102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des Industriesektors</t>
        </r>
      </text>
    </comment>
    <comment ref="C19" authorId="14" shapeId="0" xr:uid="{277C8973-3258-442F-A7C6-6B54DB1F30D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Verwendeter Begriff: pulp. Bedeutet übersetzt eigentlich Zellstoff.</t>
        </r>
      </text>
    </comment>
    <comment ref="G19" authorId="15" shapeId="0" xr:uid="{158F14F1-4A36-4890-A807-E196EFDDB16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Unterscheidung der Verfahrenstypen bei Chlor</t>
        </r>
      </text>
    </comment>
    <comment ref="G20" authorId="16" shapeId="0" xr:uid="{5B356CCE-F4B7-4886-AE38-878EDA3336B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Differenzierung der Elektrolyseprozesse</t>
        </r>
      </text>
    </comment>
    <comment ref="A21" authorId="17" shapeId="0" xr:uid="{55E48397-91B4-4A54-BC0C-DFD2B145E66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Detaillierung der Industrieprozesse</t>
        </r>
      </text>
    </comment>
    <comment ref="A22" authorId="18" shapeId="0" xr:uid="{230E0BCC-788B-43F4-AFE7-CE6FA08428D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hinreichende Detaillierung der weiteren Prozesse</t>
        </r>
      </text>
    </comment>
    <comment ref="A24" authorId="19" shapeId="0" xr:uid="{A732C617-B545-4F7E-9BF9-C5BB9B7B9D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der Prozesse</t>
        </r>
      </text>
    </comment>
    <comment ref="E25" authorId="20" shapeId="0" xr:uid="{B14106B7-6649-4DEF-88E6-EEAAB9434D3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kaum flexibilisierbar / eingeschränkte Flexibilisierbarkeit</t>
        </r>
      </text>
    </comment>
    <comment ref="L25" authorId="21" shapeId="0" xr:uid="{EA7E3014-BB6C-45A6-A558-7585DEC31D5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Rohmehlmühlen teilweise nicht flexibilisierbar</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tc={DF05830B-4BE3-408D-AB8A-C97CE63C8272}</author>
  </authors>
  <commentList>
    <comment ref="J1" authorId="0" shapeId="0" xr:uid="{DF05830B-4BE3-408D-AB8A-C97CE63C827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tc={5B8A6AEA-3BB9-4885-A447-2BAEDBF68A5F}</author>
  </authors>
  <commentList>
    <comment ref="J1" authorId="0" shapeId="0" xr:uid="{5B8A6AEA-3BB9-4885-A447-2BAEDBF68A5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tc={4A493EE1-8C45-49C5-B652-BB006C466C3A}</author>
  </authors>
  <commentList>
    <comment ref="J1" authorId="0" shapeId="0" xr:uid="{4A493EE1-8C45-49C5-B652-BB006C466C3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tc={E2500168-135E-4AFC-AEB9-1BB9F10304DD}</author>
    <author>tc={0B38832F-CB83-4761-ACEF-0F7F77BCAA33}</author>
    <author>tc={9C63185F-F86D-47A0-8A4A-B2AA71BB8837}</author>
  </authors>
  <commentList>
    <comment ref="A2" authorId="0" shapeId="0" xr:uid="{00000000-0006-0000-0100-00000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ja</t>
        </r>
      </text>
    </comment>
    <comment ref="A3" authorId="1" shapeId="0" xr:uid="{00000000-0006-0000-0100-00000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t>
        </r>
      </text>
    </comment>
    <comment ref="A4" authorId="2" shapeId="0" xr:uid="{00000000-0006-0000-0100-00000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nein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jkochems</author>
    <author>tc={5EFB434D-016B-4F63-9751-982B063634C4}</author>
    <author>tc={04185167-46AA-4D94-A302-E8744D46D0E9}</author>
    <author>tc={2BCFDF53-312E-4FD0-81F7-FA56132CBDE9}</author>
    <author>tc={04AB6769-AAB7-4C3B-BB13-AC043C3C1EF5}</author>
    <author>tc={D019448F-A6E6-46A0-B037-6D01BA22EDC0}</author>
    <author>tc={2D7A9E6B-765F-44C4-88F4-827804BFE6F1}</author>
    <author>tc={E46A85C7-D0B9-466B-8644-352B33176CC3}</author>
    <author>tc={88E252B6-C218-4F75-8ED0-9782CDA3BA93}</author>
    <author>tc={AA8A2462-FF27-4D01-87A8-A88736AFD1FC}</author>
    <author>tc={B51596E2-0627-4F14-9115-3CEB167DAB17}</author>
    <author>tc={936B0A5A-6026-49AE-8487-B0B33AABEE31}</author>
    <author>tc={9E5068EF-CA8B-4490-9618-850FF362E9B9}</author>
    <author>tc={2E96E969-FFA4-4B74-82EF-C2463482CEA2}</author>
    <author>tc={C0F40E29-EF7F-4FF3-9E4E-DAC03177E6D3}</author>
    <author>tc={5701E58F-1448-44C5-ABB1-EF75F85EB360}</author>
    <author>tc={BF79684D-391C-4D32-9927-FD31129331C9}</author>
    <author>tc={42AC0AD4-DD36-4E3D-9E04-415B702D6255}</author>
    <author>tc={FEF0736E-E255-4275-AF80-84FAE7BECCE7}</author>
    <author>tc={72513945-B645-421A-8734-D076310E03DF}</author>
    <author>tc={FD3ED1C2-4CBC-4FFD-A022-67F78D70248A}</author>
    <author>tc={73DFD4DC-A1F3-4B00-8D67-79E0572B0D6D}</author>
    <author>tc={705DAE10-40DC-4DEB-89D0-F5121F8AAE64}</author>
    <author>tc={ED0BA275-678E-42EE-8CEF-C9E6D1022B30}</author>
    <author>tc={3DC350A8-E012-4F48-BDA5-418836B32B5A}</author>
    <author>tc={DC4B5C1F-BC62-47F9-BA9D-B6EF751D0DEE}</author>
    <author>tc={417AFCA2-009A-4C37-B81F-782EE6524830}</author>
    <author>tc={0EA24003-BD3E-47E7-BC79-755F6194D161}</author>
    <author>tc={88358865-20F3-468F-A035-5E7F9B9B5E92}</author>
    <author>tc={15957B64-47CF-4DF1-B4D5-0A7F9B3B64AC}</author>
    <author>tc={C365EC27-D9CD-41EE-9BE3-5C5AF34735E4}</author>
    <author>tc={F0EB518A-1119-4F74-9EFB-6574D220EBAE}</author>
    <author>tc={3112A48A-696C-4B29-A6BC-C148ADF95CFE}</author>
    <author>tc={681E994F-5574-4FD0-9398-DFC7F5C69F4A}</author>
    <author>tc={BFC73255-3743-4180-88F8-7F82F7A135BE}</author>
    <author>tc={9E184950-0355-4A34-8C13-DB5B7807369A}</author>
    <author>tc={A5209D31-A286-4722-9234-E84381056544}</author>
    <author>tc={971EA584-1990-4EF5-864F-CAC3F668C2F9}</author>
    <author>tc={BAE2C1AC-A173-4A49-AE78-2D8F1314BE68}</author>
    <author>tc={71893B02-BAC9-4AC8-BBB8-CF7B8DB7F801}</author>
    <author>tc={512B2273-472C-4FE7-ACAF-AA58772FF716}</author>
    <author>tc={FF48FF3A-1E01-4121-BA8F-5C94FB90662A}</author>
    <author>tc={A21CA142-B17B-4892-95DB-94FEC035CE60}</author>
    <author>tc={CB159D66-A3A5-459C-8603-5813ECF960F2}</author>
    <author>tc={8CE05A5A-98CD-46B9-8D1D-0AE0422E841B}</author>
    <author>tc={1ED09808-7ABB-4259-9A90-5B1F336CA3DF}</author>
    <author>tc={3F969450-BE89-4122-A51F-5BB0D5ABC5A2}</author>
    <author>tc={22D00B30-894C-41B7-AE98-CD4EBBB5FF96}</author>
    <author>tc={35807640-B452-4369-911F-E1D8E37164C7}</author>
    <author>tc={B069BB2A-CD4A-4A44-BB8F-CD815FD280FA}</author>
    <author>tc={03DD1F72-C523-4918-9B87-E9C951DFAC4A}</author>
    <author>tc={E5028A36-028B-4FE6-9D81-C47E0188F49F}</author>
    <author>tc={207A9180-F18E-497D-B3DF-AB740F27A3BB}</author>
    <author>tc={39A6AC73-C343-48DA-8247-DE6B6A89632B}</author>
    <author>tc={57F54068-F60F-411A-9E10-BEE1A5AB164B}</author>
    <author>tc={CEA0B543-87A1-448C-8FA5-1CC120D1BC91}</author>
    <author>tc={E9F41B3F-C98A-4435-9FBF-D296CC479C1F}</author>
    <author>tc={30E38895-D627-449B-A707-918D27498D10}</author>
    <author>tc={07196060-F724-420E-BEDC-0D03EEFF0ABF}</author>
    <author>tc={A5C4ACC9-308A-42F3-9AA7-D3ABDD101AF3}</author>
    <author>tc={D0761AA5-49EE-4CE6-A56F-85744009E6EC}</author>
    <author>tc={00C06301-96AA-4127-8BFD-315CB420EC63}</author>
    <author>tc={C460A0C5-2AD4-4013-864D-FD850D5B89C0}</author>
    <author>tc={7D676AF3-E826-4352-9CF6-502C448AF6A2}</author>
    <author>tc={30A282E7-AB8E-4A1A-AC33-E2F40118FC79}</author>
    <author>tc={CF5EEAC8-9BF3-473A-96B6-0C283AC8923B}</author>
    <author>tc={31663F5D-AA92-4052-8651-25A39EDDD211}</author>
    <author>tc={42D79838-D043-40A6-9DF5-71AB0D7C1A8B}</author>
    <author>tc={E4B6CBF6-DAE1-4CAE-A183-122D8CF4B621}</author>
    <author>tc={4FD1A879-866D-4A4E-8F38-FC0BEE49EB39}</author>
    <author>tc={E56960A9-C042-48EE-9043-732F6760FA85}</author>
    <author>tc={6E2945CE-CFFE-4285-BA32-365EF7470A98}</author>
    <author>tc={DFA44BBC-40AE-40F1-A295-124718816052}</author>
    <author>tc={9BDEB2FB-0F82-4ED0-A701-C018502E1A86}</author>
    <author>tc={E73B0658-19FF-41DC-8E2B-2EAC61E20057}</author>
    <author>tc={B50EBB79-91EA-4C60-AD04-5E0E7ACAA181}</author>
    <author>tc={C53B7414-67DA-436C-B981-C3282A6EB630}</author>
    <author>tc={D9110349-F689-4007-BA63-25CD3AABF710}</author>
    <author>tc={63FDE214-271D-4A74-8E47-A12215B9A9E9}</author>
    <author>tc={6161673C-634F-40E8-89D6-F8386F174BD0}</author>
    <author>tc={87C3C0DF-D15C-491F-A7D6-4250BC083F6D}</author>
    <author>tc={17108E46-D08C-4AA5-87F8-25CC918374F5}</author>
    <author>tc={0301B1A3-4F74-4783-960E-D6CBA57FE5B2}</author>
    <author>tc={9086F364-797A-4E71-871E-9F2C1C0C8AAF}</author>
    <author>tc={AD71906B-C053-4E1E-924C-E57B50344B41}</author>
    <author>tc={B927298D-FDE7-4D1D-9887-762D70A5A459}</author>
    <author>tc={A23FF667-9C27-42CD-B9F7-F189C2EEDE67}</author>
    <author>tc={43723538-B28A-4839-ADF9-380660EC7BA0}</author>
    <author>tc={77A3FC1B-79FA-4BC2-B295-212ACFA2DFFB}</author>
    <author>tc={E65FC2CE-EC54-413F-BAB4-05E79D6CEB1F}</author>
    <author>tc={AFA9BAE0-A743-4689-A11C-1CCBC551FCDF}</author>
    <author>tc={705DAE10-40DC-4DEA-89D0-F5121F8AAE64}</author>
    <author>tc={3DC350A8-E012-4F47-BDA5-418836B32B5A}</author>
    <author>tc={BE4C82BD-AEB3-4AA2-88B4-1D4E30929E5D}</author>
    <author>tc={9A44F11E-612E-40F2-985C-A89AC305E350}</author>
    <author>tc={F39177F6-BFFD-447E-A3B2-290B710AA2FB}</author>
    <author>tc={FB94E631-63E1-413E-921E-757C8AC3D58B}</author>
    <author>tc={2796B722-D7E9-48ED-BA33-7231DE3837F2}</author>
    <author>tc={0754040D-F55A-47FC-A448-897AE72AB960}</author>
    <author>Kochems, Johannes</author>
  </authors>
  <commentList>
    <comment ref="AB2" authorId="0" shapeId="0" xr:uid="{00000000-0006-0000-0000-000001000000}">
      <text>
        <r>
          <rPr>
            <b/>
            <sz val="9"/>
            <color indexed="81"/>
            <rFont val="Segoe UI"/>
            <family val="2"/>
          </rPr>
          <t>jkochems:</t>
        </r>
        <r>
          <rPr>
            <sz val="9"/>
            <color indexed="81"/>
            <rFont val="Segoe UI"/>
            <family val="2"/>
          </rPr>
          <t xml:space="preserve">
To Do: Kategorien noch vereinheitlichen!</t>
        </r>
      </text>
    </comment>
    <comment ref="AM2" authorId="1" shapeId="0" xr:uid="{5EFB434D-016B-4F63-9751-982B063634C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Zuordnung kritisch überprüfen!</t>
        </r>
      </text>
    </comment>
    <comment ref="AY2" authorId="0" shapeId="0" xr:uid="{00000000-0006-0000-0000-000002000000}">
      <text>
        <r>
          <rPr>
            <b/>
            <sz val="9"/>
            <color indexed="81"/>
            <rFont val="Segoe UI"/>
            <family val="2"/>
          </rPr>
          <t>jkochems:</t>
        </r>
        <r>
          <rPr>
            <sz val="9"/>
            <color indexed="81"/>
            <rFont val="Segoe UI"/>
            <family val="2"/>
          </rPr>
          <t xml:space="preserve">
Die Methodik einer Unternehmensbefragung liefert ein soziotechnisches Potenzial, welches individuelle Hemmnisse und subjektive Einschätzungen umfasst (s. hierzu Langrock et al. 2015, S. 5). Alternativ kann auch eine Befragung von Haushalten bzw. Gewerbekunden durchgeführt werden (Aryandoust et al. 2017, S. 762).</t>
        </r>
      </text>
    </comment>
    <comment ref="AC3" authorId="2" shapeId="0" xr:uid="{00000000-0006-0000-0000-000014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detaillierten Angaben zu Potenzialen</t>
        </r>
      </text>
    </comment>
    <comment ref="AL3" authorId="3" shapeId="0" xr:uid="{00000000-0006-0000-0000-000015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konsequent</t>
        </r>
      </text>
    </comment>
    <comment ref="AV3" authorId="4" shapeId="0" xr:uid="{00000000-0006-0000-0000-000016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Theoretisches Potenzial nicht im Sinne der in der Arbeit gewählten Definition, sondern ausgehend von Durchschnittsauslastung. Entspricht daher dem technischen Potenzial in dieser Arbeit am ehesten.
Für Industrie theoretisches quasi mit technischem Potenzial übereinstimmend.
Technisches Potenzial für Haushalte berücksichtigt eigentlich schon den konkreten Anwendungsfall der Spitzenlastreduktion und ist daher kein technisches Potenzial im Sinne dieser Arbeit.</t>
        </r>
      </text>
    </comment>
    <comment ref="BI3" authorId="5" shapeId="0" xr:uid="{00000000-0006-0000-0000-00001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bzw. 4,5</t>
        </r>
      </text>
    </comment>
    <comment ref="CE3" authorId="6" shapeId="0" xr:uid="{00000000-0006-0000-0000-00001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Diss Stötzer aufgenommen (Apel et al. basiert für Haushalte hierauf)</t>
        </r>
      </text>
    </comment>
    <comment ref="K4" authorId="7" shapeId="0" xr:uid="{E46A85C7-D0B9-466B-8644-352B33176CC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Analyse der Zeitabhängigkeit der Potenziale</t>
        </r>
      </text>
    </comment>
    <comment ref="Y4" authorId="8" shapeId="0" xr:uid="{88E252B6-C218-4F75-8ED0-9782CDA3BA9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überwiegend zitiertes Literaturspektrum; Statistiken aus 2014-2016; älterer Datenstand der Primärquellen</t>
        </r>
      </text>
    </comment>
    <comment ref="AQ4" authorId="9" shapeId="0" xr:uid="{AA8A2462-FF27-4D01-87A8-A88736AFD1F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implizit über zeitliches Profil / Lastgang</t>
        </r>
      </text>
    </comment>
    <comment ref="AV4" authorId="10" shapeId="0" xr:uid="{B51596E2-0627-4F14-9115-3CEB167DAB1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Einordnung nicht trivial: Einschränkung des technisch zur Verfügung stehenden Potenzials basierend auf den Ergebnissen einer Befragung (Haushalte) bzw. pauschalen Annahmen (Industrie) -&gt; Einschränkung im Wesentlichen aber über Verschiebedauern abgebildet, bei Haushalten nur unwesentliche Schmälerung der verschiebbaren Leistung (über verschiebbaren Anteil abgedeckt); zudem: Differenzierung nach Vorankündigungsdauern.</t>
        </r>
      </text>
    </comment>
    <comment ref="G6" authorId="11" shapeId="0" xr:uid="{936B0A5A-6026-49AE-8487-B0B33AABEE3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Als Verschiebezeitraum wird Zeitraum bezeichnet, innerhalb dessen eine Lastverschiebung möglich ist (S. 51)</t>
        </r>
      </text>
    </comment>
    <comment ref="L6" authorId="12" shapeId="0" xr:uid="{9E5068EF-CA8B-4490-9618-850FF362E9B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Bei Fallbeispielen werden Fehlermaße genannt; insgesamt aber keine mit Steurer (2017) vergleichbar systematische Ermittlung</t>
        </r>
      </text>
    </comment>
    <comment ref="X6" authorId="13" shapeId="0" xr:uid="{2E96E969-FFA4-4B74-82EF-C2463482CEA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Abschätzung für Fallbeispiele erfolgt auf Basis von Realdaten</t>
        </r>
      </text>
    </comment>
    <comment ref="AL6" authorId="14" shapeId="0" xr:uid="{C0F40E29-EF7F-4FF3-9E4E-DAC03177E6D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Potenzialtrennung nicht durchehend vorgenommen; implizit sowie anhand der Fallbeispiele wird deutlich, dass nur Lastverschiebungen betrachtet werden</t>
        </r>
      </text>
    </comment>
    <comment ref="AP6" authorId="15" shapeId="0" xr:uid="{5701E58F-1448-44C5-ABB1-EF75F85EB36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t>
        </r>
      </text>
    </comment>
    <comment ref="AQ6" authorId="16" shapeId="0" xr:uid="{BF79684D-391C-4D32-9927-FD31129331C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t>
        </r>
      </text>
    </comment>
    <comment ref="AW6" authorId="17" shapeId="0" xr:uid="{42AC0AD4-DD36-4E3D-9E04-415B702D625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theoretisches Potenzial eher als technisches aufzufassen, da Differenz zwischen Basisauslastung und Gesamtleistungsbezug betrachtet wird (S. 51)</t>
        </r>
      </text>
    </comment>
    <comment ref="BO6" authorId="18" shapeId="0" xr:uid="{FEF0736E-E255-4275-AF80-84FAE7BECCE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betrachtete Anwendungen</t>
        </r>
      </text>
    </comment>
    <comment ref="BP6" authorId="19" shapeId="0" xr:uid="{72513945-B645-421A-8734-D076310E03D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betrachtete Anwendungen</t>
        </r>
      </text>
    </comment>
    <comment ref="CA6" authorId="20" shapeId="0" xr:uid="{FD3ED1C2-4CBC-4FFD-A022-67F78D70248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Für Fallbeispiele</t>
        </r>
      </text>
    </comment>
    <comment ref="A7" authorId="0" shapeId="0" xr:uid="{00000000-0006-0000-0000-000035000000}">
      <text>
        <r>
          <rPr>
            <b/>
            <sz val="9"/>
            <color indexed="81"/>
            <rFont val="Segoe UI"/>
            <family val="2"/>
          </rPr>
          <t>jkochems:</t>
        </r>
        <r>
          <rPr>
            <sz val="9"/>
            <color indexed="81"/>
            <rFont val="Segoe UI"/>
            <family val="2"/>
          </rPr>
          <t xml:space="preserve">
Zusammenziehen von Gils 2015, Gils 2016 sowie Gils 2014 und Scholz et al. 2014</t>
        </r>
      </text>
    </comment>
    <comment ref="G7" authorId="0" shapeId="0" xr:uid="{00000000-0006-0000-0000-000036000000}">
      <text>
        <r>
          <rPr>
            <b/>
            <sz val="9"/>
            <color indexed="81"/>
            <rFont val="Segoe UI"/>
            <family val="2"/>
          </rPr>
          <t>jkochems:</t>
        </r>
        <r>
          <rPr>
            <sz val="9"/>
            <color indexed="81"/>
            <rFont val="Segoe UI"/>
            <family val="2"/>
          </rPr>
          <t xml:space="preserve">
Es handelt sich um technische Potenziale im Sinne dieser Arbeit, wenngleich von theoretischen Potenzialen gesprochen wird. Technische Potenziale werden über das Vorhandensein von Steuerungs-IKT abgegrenzt.</t>
        </r>
      </text>
    </comment>
    <comment ref="M7" authorId="21" shapeId="0" xr:uid="{00000000-0006-0000-0000-00003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Bei Gils (2015) Fokus auf Lastmanagement und thermische Energiespeicher (Wärmepumpen und KWK)</t>
        </r>
      </text>
    </comment>
    <comment ref="AV7" authorId="22" shapeId="0" xr:uid="{00000000-0006-0000-0000-00003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als "akzeptiert" deklariert; streng genommen aber technisches und daraus wiederum ökonomisches Potenzial ermittelt</t>
        </r>
      </text>
    </comment>
    <comment ref="AY7" authorId="23" shapeId="0" xr:uid="{ED0BA275-678E-42EE-8CEF-C9E6D1022B3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Einschränkung für Modellanalyse (S. 103-104)</t>
        </r>
      </text>
    </comment>
    <comment ref="BD7" authorId="24" shapeId="0" xr:uid="{00000000-0006-0000-0000-000039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Ausweisung der Potenziale für 2010, aber Bezugsjahr für die Projektionen bis 2020 bzw. 2030</t>
        </r>
      </text>
    </comment>
    <comment ref="BI7" authorId="0" shapeId="0" xr:uid="{00000000-0006-0000-0000-00003A000000}">
      <text>
        <r>
          <rPr>
            <b/>
            <sz val="9"/>
            <color indexed="81"/>
            <rFont val="Segoe UI"/>
            <family val="2"/>
          </rPr>
          <t>jkochems:</t>
        </r>
        <r>
          <rPr>
            <sz val="9"/>
            <color indexed="81"/>
            <rFont val="Segoe UI"/>
            <family val="2"/>
          </rPr>
          <t xml:space="preserve">
2010</t>
        </r>
      </text>
    </comment>
    <comment ref="CB7" authorId="25" shapeId="0" xr:uid="{DC4B5C1F-BC62-47F9-BA9D-B6EF751D0DE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veröffentlicht</t>
        </r>
      </text>
    </comment>
    <comment ref="CF7" authorId="26" shapeId="0" xr:uid="{00000000-0006-0000-0000-00003B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Paper von 2014 (basierend auf Diss)</t>
        </r>
      </text>
    </comment>
    <comment ref="AT9" authorId="27" shapeId="0" xr:uid="{0EA24003-BD3E-47E7-BC79-755F6194D16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Variation von variablen Kosten als Sensitivitätsparameter</t>
        </r>
      </text>
    </comment>
    <comment ref="CB9" authorId="28" shapeId="0" xr:uid="{88358865-20F3-468F-A035-5E7F9B9B5E9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stündliche Kurve der Potenziale; in den weiteren Punkten zu intransparent für detaillierte Rückschlüsse</t>
        </r>
      </text>
    </comment>
    <comment ref="X10" authorId="29" shapeId="0" xr:uid="{00000000-0006-0000-0000-00004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 industriellen QSTs</t>
        </r>
      </text>
    </comment>
    <comment ref="AV10" authorId="30" shapeId="0" xr:uid="{00000000-0006-0000-0000-00004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Analysen mit unterschiedlichem Tiefgang; breiteste Datenbasis bei technischen und ökonomischen Potenzialen</t>
        </r>
      </text>
    </comment>
    <comment ref="CA10" authorId="31" shapeId="0" xr:uid="{F0EB518A-1119-4F74-9EFB-6574D220EBA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Angaben zu Potenzialen basieren teilweise auf realen Lastgangdaten</t>
        </r>
      </text>
    </comment>
    <comment ref="V11" authorId="32" shapeId="0" xr:uid="{3112A48A-696C-4B29-A6BC-C148ADF95CF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Befragungen, aber Unternehmensangaben aufgegriffen</t>
        </r>
      </text>
    </comment>
    <comment ref="AY11" authorId="33" shapeId="0" xr:uid="{681E994F-5574-4FD0-9398-DFC7F5C69F4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Aussagen zu Nutzerakzeptanzfaktoren</t>
        </r>
      </text>
    </comment>
    <comment ref="CB11" authorId="34" shapeId="0" xr:uid="{BFC73255-3743-4180-88F8-7F82F7A135B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für thermosensible Lasten</t>
        </r>
      </text>
    </comment>
    <comment ref="T12" authorId="35" shapeId="0" xr:uid="{9E184950-0355-4A34-8C13-DB5B7807369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implizit zu vermuten</t>
        </r>
      </text>
    </comment>
    <comment ref="W12" authorId="36" shapeId="0" xr:uid="{A5209D31-A286-4722-9234-E8438105654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 31: Erfahrungswerte, eigene Berechnungen und Annahmen, sofern keine Quelle(n) angegeben</t>
        </r>
      </text>
    </comment>
    <comment ref="AA12" authorId="37" shapeId="0" xr:uid="{971EA584-1990-4EF5-864F-CAC3F668C2F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Datenbasis für die Modellierungen in Elsner et al. (2015)</t>
        </r>
      </text>
    </comment>
    <comment ref="BF12" authorId="38" shapeId="0" xr:uid="{BAE2C1AC-A173-4A49-AE78-2D8F1314BE6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Betrachtungsjahr 2023</t>
        </r>
      </text>
    </comment>
    <comment ref="BX12" authorId="39" shapeId="0" xr:uid="{71893B02-BAC9-4AC8-BBB8-CF7B8DB7F80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Angaben</t>
        </r>
      </text>
    </comment>
    <comment ref="A13" authorId="40" shapeId="0" xr:uid="{00000000-0006-0000-0000-00000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Seitenzahlenangaben bezogen auf ISI-Veröffentlichung von 2009</t>
        </r>
      </text>
    </comment>
    <comment ref="L13" authorId="41" shapeId="0" xr:uid="{00000000-0006-0000-0000-000004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Abschätzungen zu den Abweichungen bei einzelnen Größen, insbes. Lastmanagementfaktor (S. 33-34)</t>
        </r>
      </text>
    </comment>
    <comment ref="R13" authorId="42" shapeId="0" xr:uid="{00000000-0006-0000-0000-000005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werden ergänzend Literaturquellen herangezogen. Überwiegend werden Statistiken herangezogen.</t>
        </r>
      </text>
    </comment>
    <comment ref="Y13" authorId="43" shapeId="0" xr:uid="{CB159D66-A3A5-459C-8603-5813ECF960F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nach Ladwig (2018) maßgeblich 2004 -&gt; wahrscheinlich Stromverbrauchsdaten gemeint</t>
        </r>
      </text>
    </comment>
    <comment ref="AL13" authorId="44" shapeId="0" xr:uid="{00000000-0006-0000-0000-000006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implizit durch Fokus auf (positive) Regelleistung</t>
        </r>
      </text>
    </comment>
    <comment ref="AS13" authorId="45" shapeId="0" xr:uid="{00000000-0006-0000-0000-00000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Einzelne Informationen. Nicht systematisch für alle Anwendungen aufgearbeitet, da per se Wirtschaftlichkeit unterstellt wird.</t>
        </r>
      </text>
    </comment>
    <comment ref="AX13" authorId="46" shapeId="0" xr:uid="{00000000-0006-0000-0000-00000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ökonomische Vorzugswürdigkeit unterstellt, aber nicht explizit überprüft.</t>
        </r>
      </text>
    </comment>
    <comment ref="BX13" authorId="47" shapeId="0" xr:uid="{22D00B30-894C-41B7-AE98-CD4EBBB5FF9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Angaben</t>
        </r>
      </text>
    </comment>
    <comment ref="BY13" authorId="48" shapeId="0" xr:uid="{35807640-B452-4369-911F-E1D8E37164C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Angaben</t>
        </r>
      </text>
    </comment>
    <comment ref="F14" authorId="49" shapeId="0" xr:uid="{00000000-0006-0000-0000-000019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DIW Vierteljahreshefte zur Wirtschaftsforschung</t>
        </r>
      </text>
    </comment>
    <comment ref="AL14" authorId="50" shapeId="0" xr:uid="{00000000-0006-0000-0000-00001A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 aber nicht konsequent</t>
        </r>
      </text>
    </comment>
    <comment ref="AO14" authorId="51" shapeId="0" xr:uid="{00000000-0006-0000-0000-00001B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Schaltdauer als Bestandteil der Umfrage; allerdings nicht immer in hinreichender Aufschlüsselung (je Branche / Prozess)</t>
        </r>
      </text>
    </comment>
    <comment ref="AV14" authorId="52" shapeId="0" xr:uid="{00000000-0006-0000-0000-00001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Zuordnung uneindeutig wegen Unternehmensbefragung...</t>
        </r>
      </text>
    </comment>
    <comment ref="BI14" authorId="53" shapeId="0" xr:uid="{00000000-0006-0000-0000-00001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Süddeutschland</t>
        </r>
      </text>
    </comment>
    <comment ref="BY14" authorId="54" shapeId="0" xr:uid="{57F54068-F60F-411A-9E10-BEE1A5AB16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tageszeitliche Abhängigkeit in Unternehmensbefragung erhoben</t>
        </r>
      </text>
    </comment>
    <comment ref="BZ14" authorId="55" shapeId="0" xr:uid="{CEA0B543-87A1-448C-8FA5-1CC120D1BC9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detaillierte Abbildung für Wärmepumpen und Nachtspeicher</t>
        </r>
      </text>
    </comment>
    <comment ref="CA14" authorId="56" shapeId="0" xr:uid="{E9F41B3F-C98A-4435-9FBF-D296CC479C1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Angaben zu Potenzialen bei QST basieren auf realen Lastgangdaten</t>
        </r>
      </text>
    </comment>
    <comment ref="A15" authorId="57" shapeId="0" xr:uid="{30E38895-D627-449B-A707-918D27498D1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Kritisch abwägen, ob Ausschluss erforderlich; denkbar wäre auch, die Untersuchung ergänzend nur für die Gesamteinordnung der Potenzialstudien heranzuziehen</t>
        </r>
      </text>
    </comment>
    <comment ref="AQ15" authorId="58" shapeId="0" xr:uid="{07196060-F724-420E-BEDC-0D03EEFF0AB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t>
        </r>
      </text>
    </comment>
    <comment ref="K16" authorId="59" shapeId="0" xr:uid="{A5C4ACC9-308A-42F3-9AA7-D3ABDD101AF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Variation des EE-Anteils</t>
        </r>
      </text>
    </comment>
    <comment ref="AA16" authorId="60" shapeId="0" xr:uid="{D0761AA5-49EE-4CE6-A56F-85744009E6E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ELTRAMOD</t>
        </r>
      </text>
    </comment>
    <comment ref="AV16" authorId="61" shapeId="0" xr:uid="{00C06301-96AA-4127-8BFD-315CB420EC6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theoretisches Potenzial: Berücksichtigung der zeitlichen Variation der Stromnachfrage, nicht aber der technischen Restriktionen</t>
        </r>
      </text>
    </comment>
    <comment ref="K17" authorId="62" shapeId="0" xr:uid="{00000000-0006-0000-0000-00002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Staffelung der Ergebnisse nach Aktivierungsdauern</t>
        </r>
      </text>
    </comment>
    <comment ref="S17" authorId="63" shapeId="0" xr:uid="{00000000-0006-0000-0000-00002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Statistiken nur zur Vorselektion verwendet</t>
        </r>
      </text>
    </comment>
    <comment ref="V17" authorId="64" shapeId="0" xr:uid="{00000000-0006-0000-0000-000029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 Methodik: Vor-Ort-Fragebogeninterviews</t>
        </r>
      </text>
    </comment>
    <comment ref="AC17" authorId="65" shapeId="0" xr:uid="{00000000-0006-0000-0000-00002A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von QSTs!</t>
        </r>
      </text>
    </comment>
    <comment ref="AV17" authorId="66" shapeId="0" xr:uid="{00000000-0006-0000-0000-00002B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abweichende Definition des technischen Potenzials: Technisches Potenzial als Lastabwurf der Gesamtlast (ökonomisch über VOLL abgebildet)</t>
        </r>
      </text>
    </comment>
    <comment ref="BE17" authorId="67" shapeId="0" xr:uid="{00000000-0006-0000-0000-00002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qualitative Abschätzungen</t>
        </r>
      </text>
    </comment>
    <comment ref="BG17" authorId="68" shapeId="0" xr:uid="{00000000-0006-0000-0000-00002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qualitative Abschätzungen</t>
        </r>
      </text>
    </comment>
    <comment ref="BI17" authorId="69" shapeId="0" xr:uid="{00000000-0006-0000-0000-00002E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technisches Potenzial der betrachteten Branchen (S. 161)</t>
        </r>
      </text>
    </comment>
    <comment ref="AV18" authorId="70" shapeId="0" xr:uid="{E56960A9-C042-48EE-9043-732F6760FA8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Potenzialbegriff nicht spezifiziert; implizit kann auf technisches Potenzial geschlossen werden</t>
        </r>
      </text>
    </comment>
    <comment ref="BE18" authorId="71" shapeId="0" xr:uid="{6E2945CE-CFFE-4285-BA32-365EF7470A9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 Aussagen zu prognostizierten Potenzialen</t>
        </r>
      </text>
    </comment>
    <comment ref="BW18" authorId="72" shapeId="0" xr:uid="{DFA44BBC-40AE-40F1-A295-12471881605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Hinweise (z.B. Klimaanlagen)</t>
        </r>
      </text>
    </comment>
    <comment ref="BY18" authorId="73" shapeId="0" xr:uid="{9BDEB2FB-0F82-4ED0-A701-C018502E1A8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detaillierter Tagesgang bei Elektrofahrzeugen</t>
        </r>
      </text>
    </comment>
    <comment ref="BZ18" authorId="74" shapeId="0" xr:uid="{E73B0658-19FF-41DC-8E2B-2EAC61E2005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bei Wärmepumpen und Nachtspeicherheizungen</t>
        </r>
      </text>
    </comment>
    <comment ref="Y19" authorId="75" shapeId="0" xr:uid="{B50EBB79-91EA-4C60-AD04-5E0E7ACAA18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nach Ladwig (2018, S. 42) maßgeblich 2010 -&gt; wahrscheinlich Stromverbrauchsdaten gemeint</t>
        </r>
      </text>
    </comment>
    <comment ref="BK19" authorId="0" shapeId="0" xr:uid="{00000000-0006-0000-0000-000009000000}">
      <text>
        <r>
          <rPr>
            <b/>
            <sz val="9"/>
            <color indexed="81"/>
            <rFont val="Segoe UI"/>
            <family val="2"/>
          </rPr>
          <t>jkochems:</t>
        </r>
        <r>
          <rPr>
            <sz val="9"/>
            <color indexed="81"/>
            <rFont val="Segoe UI"/>
            <family val="2"/>
          </rPr>
          <t xml:space="preserve">
S. 523</t>
        </r>
      </text>
    </comment>
    <comment ref="BL19" authorId="0" shapeId="0" xr:uid="{00000000-0006-0000-0000-00000A000000}">
      <text>
        <r>
          <rPr>
            <b/>
            <sz val="9"/>
            <color indexed="81"/>
            <rFont val="Segoe UI"/>
            <family val="2"/>
          </rPr>
          <t>jkochems:</t>
        </r>
        <r>
          <rPr>
            <sz val="9"/>
            <color indexed="81"/>
            <rFont val="Segoe UI"/>
            <family val="2"/>
          </rPr>
          <t xml:space="preserve">
S.523</t>
        </r>
      </text>
    </comment>
    <comment ref="BO19" authorId="0" shapeId="0" xr:uid="{00000000-0006-0000-0000-00000B000000}">
      <text>
        <r>
          <rPr>
            <b/>
            <sz val="9"/>
            <color indexed="81"/>
            <rFont val="Segoe UI"/>
            <family val="2"/>
          </rPr>
          <t>jkochems:</t>
        </r>
        <r>
          <rPr>
            <sz val="9"/>
            <color indexed="81"/>
            <rFont val="Segoe UI"/>
            <family val="2"/>
          </rPr>
          <t xml:space="preserve">
abweichende Angabe S. 518: 2,42 GW</t>
        </r>
      </text>
    </comment>
    <comment ref="BS19" authorId="76" shapeId="0" xr:uid="{00000000-0006-0000-0000-00000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Durchschnitt (!)</t>
        </r>
      </text>
    </comment>
    <comment ref="BU19" authorId="77" shapeId="0" xr:uid="{00000000-0006-0000-0000-00000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Durchschnitt (!)</t>
        </r>
      </text>
    </comment>
    <comment ref="CB19" authorId="78" shapeId="0" xr:uid="{63FDE214-271D-4A74-8E47-A12215B9A9E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 412: "vereinfachte Zeitprofile, innerhalb denen die Leistungen zur Verfügung stehen"</t>
        </r>
      </text>
    </comment>
    <comment ref="A20" authorId="79" shapeId="0" xr:uid="{00000000-0006-0000-0000-00001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Ansatz identisch mit dem aus Molly et al. (2010); wird daher zusammengefasst</t>
        </r>
      </text>
    </comment>
    <comment ref="Y20" authorId="0" shapeId="0" xr:uid="{00000000-0006-0000-0000-000013000000}">
      <text>
        <r>
          <rPr>
            <b/>
            <sz val="9"/>
            <color indexed="81"/>
            <rFont val="Segoe UI"/>
            <family val="2"/>
          </rPr>
          <t>jkochems:</t>
        </r>
        <r>
          <rPr>
            <sz val="9"/>
            <color indexed="81"/>
            <rFont val="Segoe UI"/>
            <family val="2"/>
          </rPr>
          <t xml:space="preserve">
EWI-Erhebungen</t>
        </r>
      </text>
    </comment>
    <comment ref="CB20" authorId="80" shapeId="0" xr:uid="{87C3C0DF-D15C-491F-A7D6-4250BC083F6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Zeitreihen für Modellierungszwecke generiert, aber nicht veröffentlicht</t>
        </r>
      </text>
    </comment>
    <comment ref="K21" authorId="81" shapeId="0" xr:uid="{00000000-0006-0000-0000-00003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minimale, maximale, Referenzentwicklung</t>
        </r>
      </text>
    </comment>
    <comment ref="M21" authorId="82" shapeId="0" xr:uid="{00000000-0006-0000-0000-00003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Fokus liegt auf funktionalen Energiespeichern; insofern Lastmanagement als ein funktionaler Energiespeicher betrachtet.</t>
        </r>
      </text>
    </comment>
    <comment ref="X21" authorId="83" shapeId="0" xr:uid="{00000000-0006-0000-0000-00003E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 industriellen QSTs</t>
        </r>
      </text>
    </comment>
    <comment ref="Y21" authorId="84" shapeId="0" xr:uid="{00000000-0006-0000-0000-00003F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2011/12 für Industrie (S. 168)</t>
        </r>
      </text>
    </comment>
    <comment ref="AE21" authorId="85" shapeId="0" xr:uid="{00000000-0006-0000-0000-000040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Eigenerzeugung und -versorgung werden ebenso wie Speicher nach Netzanschluss im Rahmen dieser Arbeit nicht betrachtet, daher Teil zu Lastflexibilisierung mittels Batteriespeichern nicht ausgewertet.</t>
        </r>
      </text>
    </comment>
    <comment ref="AV21" authorId="86" shapeId="0" xr:uid="{00000000-0006-0000-0000-00004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Analysen mit unterschiedlichem Tiefgang; breiteste Datenbasis bei technischen und ökonomischen Potenzialen</t>
        </r>
      </text>
    </comment>
    <comment ref="Q22" authorId="0" shapeId="0" xr:uid="{00000000-0006-0000-0000-00001E000000}">
      <text>
        <r>
          <rPr>
            <b/>
            <sz val="9"/>
            <color indexed="81"/>
            <rFont val="Segoe UI"/>
            <family val="2"/>
          </rPr>
          <t>jkochems:</t>
        </r>
        <r>
          <rPr>
            <sz val="9"/>
            <color indexed="81"/>
            <rFont val="Segoe UI"/>
            <family val="2"/>
          </rPr>
          <t xml:space="preserve">
Implizit kann darauf geschlossen werden, dass zumindest Klobasa 2007 verwendet wurde</t>
        </r>
      </text>
    </comment>
    <comment ref="W22" authorId="0" shapeId="0" xr:uid="{00000000-0006-0000-0000-00001F000000}">
      <text>
        <r>
          <rPr>
            <b/>
            <sz val="9"/>
            <color indexed="81"/>
            <rFont val="Segoe UI"/>
            <family val="2"/>
          </rPr>
          <t>jkochems:</t>
        </r>
        <r>
          <rPr>
            <sz val="9"/>
            <color indexed="81"/>
            <rFont val="Segoe UI"/>
            <family val="2"/>
          </rPr>
          <t xml:space="preserve">
nicht hinreichend transparent dargelegt</t>
        </r>
      </text>
    </comment>
    <comment ref="Y22" authorId="0" shapeId="0" xr:uid="{00000000-0006-0000-0000-000020000000}">
      <text>
        <r>
          <rPr>
            <b/>
            <sz val="9"/>
            <color indexed="81"/>
            <rFont val="Segoe UI"/>
            <family val="2"/>
          </rPr>
          <t>jkochems:</t>
        </r>
        <r>
          <rPr>
            <sz val="9"/>
            <color indexed="81"/>
            <rFont val="Segoe UI"/>
            <family val="2"/>
          </rPr>
          <t xml:space="preserve">
s. Primärquellen</t>
        </r>
      </text>
    </comment>
    <comment ref="AL22" authorId="87" shapeId="0" xr:uid="{00000000-0006-0000-0000-00002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positive Potenziale ausgewiesen.</t>
        </r>
      </text>
    </comment>
    <comment ref="AT22" authorId="88" shapeId="0" xr:uid="{00000000-0006-0000-0000-00002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variable Kosten in Form des VOLL gegeben</t>
        </r>
      </text>
    </comment>
    <comment ref="R23" authorId="0" shapeId="0" xr:uid="{00000000-0006-0000-0000-00000E000000}">
      <text>
        <r>
          <rPr>
            <b/>
            <sz val="9"/>
            <color indexed="81"/>
            <rFont val="Segoe UI"/>
            <family val="2"/>
          </rPr>
          <t>jkochems:</t>
        </r>
        <r>
          <rPr>
            <sz val="9"/>
            <color indexed="81"/>
            <rFont val="Segoe UI"/>
            <family val="2"/>
          </rPr>
          <t xml:space="preserve">
nicht tranparent dargelegt</t>
        </r>
      </text>
    </comment>
    <comment ref="W23" authorId="0" shapeId="0" xr:uid="{00000000-0006-0000-0000-00000F000000}">
      <text>
        <r>
          <rPr>
            <b/>
            <sz val="9"/>
            <color indexed="81"/>
            <rFont val="Segoe UI"/>
            <family val="2"/>
          </rPr>
          <t>jkochems:</t>
        </r>
        <r>
          <rPr>
            <sz val="9"/>
            <color indexed="81"/>
            <rFont val="Segoe UI"/>
            <family val="2"/>
          </rPr>
          <t xml:space="preserve">
nicht tranparent dargelegt</t>
        </r>
      </text>
    </comment>
    <comment ref="AL23" authorId="89" shapeId="0" xr:uid="{E65FC2CE-EC54-413F-BAB4-05E79D6CEB1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Prinzipiell ja, ausgewiesen werden jedoch nur Abschaltleistungen</t>
        </r>
      </text>
    </comment>
    <comment ref="AO23" authorId="0" shapeId="0" xr:uid="{00000000-0006-0000-0000-000010000000}">
      <text>
        <r>
          <rPr>
            <b/>
            <sz val="9"/>
            <color indexed="81"/>
            <rFont val="Segoe UI"/>
            <family val="2"/>
          </rPr>
          <t>jkochems:</t>
        </r>
        <r>
          <rPr>
            <sz val="9"/>
            <color indexed="81"/>
            <rFont val="Segoe UI"/>
            <family val="2"/>
          </rPr>
          <t xml:space="preserve">
implizit durch Darstellung der Zeitabhängigkeit des Abschaltpotenzials</t>
        </r>
      </text>
    </comment>
    <comment ref="BI23" authorId="0" shapeId="0" xr:uid="{00000000-0006-0000-0000-000011000000}">
      <text>
        <r>
          <rPr>
            <b/>
            <sz val="9"/>
            <color indexed="81"/>
            <rFont val="Segoe UI"/>
            <family val="2"/>
          </rPr>
          <t>jkochems:</t>
        </r>
        <r>
          <rPr>
            <sz val="9"/>
            <color indexed="81"/>
            <rFont val="Segoe UI"/>
            <family val="2"/>
          </rPr>
          <t xml:space="preserve">
Potenzial für 1 Stunde Abschaltung</t>
        </r>
      </text>
    </comment>
    <comment ref="A24" authorId="90" shapeId="0" xr:uid="{00000000-0006-0000-0000-00002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Ansatz identisch zu demjenigen aus Gils 2015. Wird entsprechend zusammengefasst.</t>
        </r>
      </text>
    </comment>
    <comment ref="G24" authorId="0" shapeId="0" xr:uid="{00000000-0006-0000-0000-000024000000}">
      <text>
        <r>
          <rPr>
            <b/>
            <sz val="9"/>
            <color indexed="81"/>
            <rFont val="Segoe UI"/>
            <family val="2"/>
          </rPr>
          <t>jkochems:</t>
        </r>
        <r>
          <rPr>
            <sz val="9"/>
            <color indexed="81"/>
            <rFont val="Segoe UI"/>
            <family val="2"/>
          </rPr>
          <t xml:space="preserve">
To Do: Ergebnisse S: 127ff. auf ihre Verwertbarkeit screenen!</t>
        </r>
      </text>
    </comment>
    <comment ref="AV24" authorId="91" shapeId="0" xr:uid="{00000000-0006-0000-0000-000025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als "akzeptiert" deklariert; streng genommen aber technisches und daraus wiederum ökonomisches Potenzial ermittelt</t>
        </r>
      </text>
    </comment>
    <comment ref="BD24" authorId="92" shapeId="0" xr:uid="{00000000-0006-0000-0000-000026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Ausweisung der Potenziale für 2010, aber Bezugsjahr für die Projektionen bis 2020 bzw. 2030</t>
        </r>
      </text>
    </comment>
    <comment ref="G27" authorId="93" shapeId="0" xr:uid="{00000000-0006-0000-0000-00002F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Eigentlich handelt es sich - mit der Einschränkung, dass Mindestleistungen ausgeblendet werden - um technische Potenziale; diese werden in der Studie als theoretische Potenziale bezeichnet.</t>
        </r>
      </text>
    </comment>
    <comment ref="K27" authorId="94" shapeId="0" xr:uid="{00000000-0006-0000-0000-000030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Minimal- und Maximalabschätzung</t>
        </r>
      </text>
    </comment>
    <comment ref="AA27" authorId="95" shapeId="0" xr:uid="{00000000-0006-0000-0000-00003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Datenbasis für die Modellierungen in Elsner et al. (2015)</t>
        </r>
      </text>
    </comment>
    <comment ref="BF27" authorId="96" shapeId="0" xr:uid="{00000000-0006-0000-0000-00003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Betrachtungsjahr 2023</t>
        </r>
      </text>
    </comment>
    <comment ref="BS27" authorId="97" shapeId="0" xr:uid="{00000000-0006-0000-0000-00003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ohne Berücksichtigung von Gleichzeitigkeiten / Netzrestriktionen und Akzeptanzfaktoren</t>
        </r>
      </text>
    </comment>
    <comment ref="BT27" authorId="98" shapeId="0" xr:uid="{00000000-0006-0000-0000-000034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ohne Berücksichtigung von Gleichzeitigkeiten / Netzrestriktionen und Akzeptanzfaktoren</t>
        </r>
      </text>
    </comment>
    <comment ref="AA30" authorId="99" shapeId="0" xr:uid="{5877423E-6E89-4C95-A832-03FDFF75DA7F}">
      <text>
        <r>
          <rPr>
            <b/>
            <sz val="9"/>
            <color indexed="81"/>
            <rFont val="Segoe UI"/>
            <family val="2"/>
          </rPr>
          <t>Kochems, Johannes:</t>
        </r>
        <r>
          <rPr>
            <sz val="9"/>
            <color indexed="81"/>
            <rFont val="Segoe UI"/>
            <family val="2"/>
          </rPr>
          <t xml:space="preserve">
in Heitkötter et al. 2022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tc={5026785F-65F3-4C17-9E7E-11CA224924BF}</author>
  </authors>
  <commentList>
    <comment ref="A16" authorId="0" shapeId="0" xr:uid="{5026785F-65F3-4C17-9E7E-11CA224924B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tc={73080A89-B79A-4D69-AB8F-2AAD7732E7F2}</author>
  </authors>
  <commentList>
    <comment ref="A2" authorId="0" shapeId="0" xr:uid="{73080A89-B79A-4D69-AB8F-2AAD7732E7F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tc={15961FC3-198F-4873-ADCD-60B59F11EB4B}</author>
  </authors>
  <commentList>
    <comment ref="A2" authorId="0" shapeId="0" xr:uid="{15961FC3-198F-4873-ADCD-60B59F11E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tc={D9138029-6DC2-44FC-A79F-88841DC39D36}</author>
  </authors>
  <commentList>
    <comment ref="A2" authorId="0" shapeId="0" xr:uid="{D9138029-6DC2-44FC-A79F-88841DC39D3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tc={528B5886-E577-4E8D-93E5-F4397F185B23}</author>
    <author>tc={726FE5B9-A17C-4898-BCDA-2CAD2548DE46}</author>
    <author>tc={E0908CDD-3BAE-479E-9BD9-183E15165CCB}</author>
    <author>tc={7CCBA595-B3F8-4B77-B063-1EF3FFF438D6}</author>
    <author>tc={E6943411-C2AD-44A9-913A-EC6B87B3BBE0}</author>
    <author>tc={3738266D-47A8-4CD9-BEB2-EF5C584A64C2}</author>
    <author>tc={7BA86735-D213-4B99-BC79-05279A175816}</author>
    <author>tc={C3D8635D-766C-4E70-B316-22843797472B}</author>
    <author>tc={08C9C70D-C29E-40D2-BF7E-2DB71DCA9DE8}</author>
    <author>tc={17EAD1C9-6A09-47E6-9E27-27E43CD644AC}</author>
    <author>tc={8823962F-DB3A-4F34-A5D6-1A032DAF079F}</author>
    <author>tc={0BD7FCAD-9F35-48DE-89E8-E12361AC1416}</author>
    <author>tc={625D27F1-75D6-4EB0-BF20-D1BB87414124}</author>
    <author>tc={F06C08BF-CE5A-4B32-B68B-E34FB569E9B0}</author>
    <author>tc={FB8FCC34-9CDF-452B-84B8-1D0270EDDBD8}</author>
    <author>tc={034C06B3-3149-4287-BDB5-2B7DA2EC5E4C}</author>
    <author>tc={56FD98BC-0963-451F-ABB8-B0DD09093488}</author>
    <author>tc={9B3A8D63-F7E8-40EC-B628-FF13D2D9219C}</author>
    <author>tc={5DE7F7D5-8D7C-4B80-BC55-A98CA736A13D}</author>
    <author>tc={7A0DF4E4-45D0-4D4B-9438-29DB50860419}</author>
    <author>tc={DF0750E7-D449-4EFD-AD2F-7444C2C79CF5}</author>
    <author>tc={8394E5BB-0C4B-4F80-9757-34451C300AE3}</author>
    <author>tc={AF65C94E-772F-4B50-9CA6-145E98215D8E}</author>
    <author>tc={713ADC81-5CA0-46BE-9BAD-6CFE3260E0AE}</author>
  </authors>
  <commentList>
    <comment ref="A2" authorId="0" shapeId="0" xr:uid="{528B5886-E577-4E8D-93E5-F4397F185B2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 ref="C2" authorId="1" shapeId="0" xr:uid="{726FE5B9-A17C-4898-BCDA-2CAD2548DE4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 ref="E3" authorId="2" shapeId="0" xr:uid="{E0908CDD-3BAE-479E-9BD9-183E15165CC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genetische Algorithmen</t>
        </r>
      </text>
    </comment>
    <comment ref="E4" authorId="3" shapeId="0" xr:uid="{7CCBA595-B3F8-4B77-B063-1EF3FFF438D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Algorithmen für die Netzplanung / -betriebsführung</t>
        </r>
      </text>
    </comment>
    <comment ref="I4" authorId="4" shapeId="0" xr:uid="{E6943411-C2AD-44A9-913A-EC6B87B3BBE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Smart-A-Studie</t>
        </r>
      </text>
    </comment>
    <comment ref="H10" authorId="5" shapeId="0" xr:uid="{3738266D-47A8-4CD9-BEB2-EF5C584A64C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EinsMan-Daten VNB</t>
        </r>
      </text>
    </comment>
    <comment ref="L10" authorId="6" shapeId="0" xr:uid="{7BA86735-D213-4B99-BC79-05279A17581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 aus LEEN</t>
        </r>
      </text>
    </comment>
    <comment ref="E13" authorId="7" shapeId="0" xr:uid="{C3D8635D-766C-4E70-B316-22843797472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Windprognosemodelle; Kraftwerkseinsatzmodelle</t>
        </r>
      </text>
    </comment>
    <comment ref="H14" authorId="8" shapeId="0" xr:uid="{08C9C70D-C29E-40D2-BF7E-2DB71DCA9DE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TLP für Wärmepumpen / Nachtspeicher</t>
        </r>
      </text>
    </comment>
    <comment ref="L14" authorId="9" shapeId="0" xr:uid="{17EAD1C9-6A09-47E6-9E27-27E43CD644A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 aus LEEN</t>
        </r>
      </text>
    </comment>
    <comment ref="H16" authorId="10" shapeId="0" xr:uid="{8823962F-DB3A-4F34-A5D6-1A032DAF079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Lastprofile Wärmepumpe, Nachtspeicher, SLPs</t>
        </r>
      </text>
    </comment>
    <comment ref="P16" authorId="11" shapeId="0" xr:uid="{0BD7FCAD-9F35-48DE-89E8-E12361AC141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Wetterdaten, ENTSO-E Lastwerte, NTCs, Marktdaten EEX (Energate-Zugang)</t>
        </r>
      </text>
    </comment>
    <comment ref="P17" authorId="12" shapeId="0" xr:uid="{625D27F1-75D6-4EB0-BF20-D1BB8741412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Regelleistungsdaten</t>
        </r>
      </text>
    </comment>
    <comment ref="I18" authorId="13" shapeId="0" xr:uid="{F06C08BF-CE5A-4B32-B68B-E34FB569E9B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Smart-A-Studie</t>
        </r>
      </text>
    </comment>
    <comment ref="E19" authorId="14" shapeId="0" xr:uid="{FB8FCC34-9CDF-452B-84B8-1D0270EDDBD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(probabilistische) Vorhersagemodelle</t>
        </r>
      </text>
    </comment>
    <comment ref="P19" authorId="15" shapeId="0" xr:uid="{034C06B3-3149-4287-BDB5-2B7DA2EC5E4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Regelleistungsdaten</t>
        </r>
      </text>
    </comment>
    <comment ref="E20" authorId="16" shapeId="0" xr:uid="{56FD98BC-0963-451F-ABB8-B0DD0909348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Modellierung von Demand Response / Unsicherheiten in Energiesystemen</t>
        </r>
      </text>
    </comment>
    <comment ref="H21" authorId="17" shapeId="0" xr:uid="{9B3A8D63-F7E8-40EC-B628-FF13D2D9219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EinsMan-Daten VNB</t>
        </r>
      </text>
    </comment>
    <comment ref="L21" authorId="18" shapeId="0" xr:uid="{5DE7F7D5-8D7C-4B80-BC55-A98CA736A13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 aus LEEN</t>
        </r>
      </text>
    </comment>
    <comment ref="H23" authorId="19" shapeId="0" xr:uid="{7A0DF4E4-45D0-4D4B-9438-29DB5086041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EinsMan-Daten</t>
        </r>
      </text>
    </comment>
    <comment ref="P23" authorId="20" shapeId="0" xr:uid="{DF0750E7-D449-4EFD-AD2F-7444C2C79CF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ENTSO-E Lastdaten</t>
        </r>
      </text>
    </comment>
    <comment ref="P24" authorId="21" shapeId="0" xr:uid="{8394E5BB-0C4B-4F80-9757-34451C300AE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Odysee-Datenbank zu Verbräuchen von Enerdata</t>
        </r>
      </text>
    </comment>
    <comment ref="E26" authorId="22" shapeId="0" xr:uid="{AF65C94E-772F-4B50-9CA6-145E98215D8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Modellierung von Demand Response</t>
        </r>
      </text>
    </comment>
    <comment ref="P26" authorId="23" shapeId="0" xr:uid="{713ADC81-5CA0-46BE-9BAD-6CFE3260E0A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ENTSO-E / DWD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tc={9974A794-AAFA-419F-997F-914E60E7E648}</author>
  </authors>
  <commentList>
    <comment ref="C2" authorId="0" shapeId="0" xr:uid="{9974A794-AAFA-419F-997F-914E60E7E6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tc={A7EF2A23-0483-49C8-AA85-DB9EFF80D310}</author>
    <author>tc={06D483FC-F48D-425D-B4AF-EF3578F5116F}</author>
  </authors>
  <commentList>
    <comment ref="A2" authorId="0" shapeId="0" xr:uid="{A7EF2A23-0483-49C8-AA85-DB9EFF80D31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 ref="C2" authorId="1" shapeId="0" xr:uid="{06D483FC-F48D-425D-B4AF-EF3578F5116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List>
</comments>
</file>

<file path=xl/sharedStrings.xml><?xml version="1.0" encoding="utf-8"?>
<sst xmlns="http://schemas.openxmlformats.org/spreadsheetml/2006/main" count="4740" uniqueCount="1775">
  <si>
    <t>Studie</t>
  </si>
  <si>
    <t>Kurzbeleg</t>
  </si>
  <si>
    <t>Zeithorizont</t>
  </si>
  <si>
    <t>2005, 2020</t>
  </si>
  <si>
    <t>3 GW</t>
  </si>
  <si>
    <t>Prozesskälte, Belüftung, Druckluft</t>
  </si>
  <si>
    <t>Demand Response in der Industrie - Status und Potenziale in Deutschland</t>
  </si>
  <si>
    <t>Roon und Grobmaier 2010</t>
  </si>
  <si>
    <t>Abschaltbare Leistung, Abschaltzeit</t>
  </si>
  <si>
    <t>The potential of demand-side management in energy-intensive industries for electricity markets in Germany</t>
  </si>
  <si>
    <t>Paulus und Borggrefe 2011</t>
  </si>
  <si>
    <t>Demand Side Integration - Lastverschiebungspotenziale in Deutschland</t>
  </si>
  <si>
    <t>Apel et al. 2012</t>
  </si>
  <si>
    <t>Daten aus 2010, 
2020, 2030</t>
  </si>
  <si>
    <t>Pumpen, Lüftung, Kälte, Beleuchtung, Druckluft</t>
  </si>
  <si>
    <t>Arbeitspaket Funktionsfähigkeit EOM &amp; Impact-Analyse Kapazitätsmechanismen</t>
  </si>
  <si>
    <t>r2b 2014</t>
  </si>
  <si>
    <t>2014, 2020, 2030</t>
  </si>
  <si>
    <t>Scholz et al. 2014</t>
  </si>
  <si>
    <t>2010, 2020, 2030, 2050</t>
  </si>
  <si>
    <t>4,7 GW (2020)</t>
  </si>
  <si>
    <t>Potentiale regelbarer Lasten in einem Energieversorgungssystem mit wachsendem Anteil erneuerbarer Energien</t>
  </si>
  <si>
    <t>Langrock et al. 2015</t>
  </si>
  <si>
    <t>Demand-Side Management im Strommarkt - Technologiesteckbrief zur Analyse "Flexibilitätskonzepte für die Stromversorgung 2050"</t>
  </si>
  <si>
    <t>Styczynski und Sauer 2015
(Elsner et al. 2015)</t>
  </si>
  <si>
    <t>Druckluft, Pumpen, Lüftung, Kälte, Beleuchtung</t>
  </si>
  <si>
    <t>2 GW</t>
  </si>
  <si>
    <t>Lastgradient, Abrufdauer, Sperrzeit, Abrufhäufigkeit und saisonale Einflüsse</t>
  </si>
  <si>
    <t>2012, 2020, 2025, 2030</t>
  </si>
  <si>
    <t>6,4 GW</t>
  </si>
  <si>
    <t>Aluminiumelektrolyse, Chlorelektrolyse, Elektrolichtbogenofen, Holzschleifer, Refiner, Roh- und Zementmühlen</t>
  </si>
  <si>
    <t>technisch, ökonomisch</t>
  </si>
  <si>
    <t>Dynamische Simulation eines Last- managements und Integration von Windenergie in ein Elektrizitätsnetz auf Landesebene unter regelungs- technischen Kostengesichtspunkten</t>
  </si>
  <si>
    <t>technisch</t>
  </si>
  <si>
    <t>pos/neg LM Potenzial, Aktivierungsdauer und Häufigkeit, Dauer des Herunter- und Hochfahrens</t>
  </si>
  <si>
    <t>Nutzbares Potenzial, Kosten-Potenzial-Kurve</t>
  </si>
  <si>
    <t>Aluminium, Chloralkalielektrolyse, Elektrostahl, Kupfer, Luftzerlegung, Papier, Papierrecycling, Zement, Zellstoff, Zink</t>
  </si>
  <si>
    <t>Ind. Belüftung, Ind. Kühlung</t>
  </si>
  <si>
    <t>Aluminiumelektrolyse, Elektrolichbogenofen, Rohmühle, Zementmühle, Holzschliff, Chloralkalielektrolyse</t>
  </si>
  <si>
    <t>S. 34-58</t>
  </si>
  <si>
    <t>S. 52-66</t>
  </si>
  <si>
    <t>2010, 2020</t>
  </si>
  <si>
    <t>2011, 2020</t>
  </si>
  <si>
    <t>Zement- und Rohmühlen, Holzschleifer, Altpapieraufbereitung, Zellstoffproduktion, Elektrolichtbogenofen, Warmhalte-/Schmelzofen, Gießereien, Chlorherstellung, Gasverflüssigung</t>
  </si>
  <si>
    <t>Verlagerungspotenzial, Aktivierungshäufigkeit pro Jahr, Max. Dauer, Kosten-Potenzial-Kurve</t>
  </si>
  <si>
    <t>6 GW</t>
  </si>
  <si>
    <t>17 GW</t>
  </si>
  <si>
    <t>Abruf/Abschaltleistung, Aktivierungszeit,  Abrufdauer, Anzahl der Abrufe, Variable Kosten, Fixkosten</t>
  </si>
  <si>
    <t>Möglichkeiten und Grenzen des Lastaus-gleichs durch Energiespeicher, verschieb-bare Lasten und stromgeführte KWK bei hohem Anteil fluktuierender erneuerbarer Stromerzeugung</t>
  </si>
  <si>
    <t>pos/neg DSM Potenzial, variable , Fix- und Investitionskosten</t>
  </si>
  <si>
    <t>2015, 2020-2050</t>
  </si>
  <si>
    <t>Max. Lastverringerung, Dauer, Investitions-, Fix- und variable Kosten</t>
  </si>
  <si>
    <t>Schaltdauer, abrufbare undabschaltbare Leistung, Flexibler Anteil, Verlagerungsdauer, Häufigkeit pro Jahr</t>
  </si>
  <si>
    <t>Lasterhöhung/reduktion (für Deutschland), Verschiebedauer, Einsatz-dauer, Häufigkeit (für Europa)</t>
  </si>
  <si>
    <t>dena-Netzstudie II. Integration erneuerbarer Energien in die deutsche Stromversorgung im Zeitraum 2015 – 2020 mit Ausblick 2025</t>
  </si>
  <si>
    <t>Realisierbares DSM Potenzial, max. Abschaltdauer, Jährliche Fixkosten</t>
  </si>
  <si>
    <t>flex. Anteil, LM Potenzial, Verlagerungsdauer, Aktivierungshäufigkeit, Investitionskosten, var. Kosten, Fixkosten</t>
  </si>
  <si>
    <t>Titel der Studie</t>
  </si>
  <si>
    <t>Art der Schrift</t>
  </si>
  <si>
    <t>Dissertation</t>
  </si>
  <si>
    <t>Journal Article</t>
  </si>
  <si>
    <t>IER</t>
  </si>
  <si>
    <t>FfE</t>
  </si>
  <si>
    <t>DLR</t>
  </si>
  <si>
    <t>BET</t>
  </si>
  <si>
    <t>r2b</t>
  </si>
  <si>
    <t>ISI; FfE</t>
  </si>
  <si>
    <t>VDE</t>
  </si>
  <si>
    <t>EWI</t>
  </si>
  <si>
    <t>dena</t>
  </si>
  <si>
    <t>ISI</t>
  </si>
  <si>
    <t>Schaltdauer erfasst</t>
  </si>
  <si>
    <t>Verschiebedauer erfasst</t>
  </si>
  <si>
    <t>Angaben zur Schalthäufigkeit vorhanden</t>
  </si>
  <si>
    <t>Entscheidungsfragen</t>
  </si>
  <si>
    <t>Angeben zu Investitionsausgaben</t>
  </si>
  <si>
    <t>Angaben zu fixen Kosten</t>
  </si>
  <si>
    <t>Angaben zu variablen Kosten</t>
  </si>
  <si>
    <t>Jahr Status quo / Basis</t>
  </si>
  <si>
    <t>2020 erfasst?</t>
  </si>
  <si>
    <t>2030 erfasst?</t>
  </si>
  <si>
    <t>2025 erfasst?</t>
  </si>
  <si>
    <t>2050 erfasst?</t>
  </si>
  <si>
    <t>theoretisch, soziotechnisch, technisch</t>
  </si>
  <si>
    <t>Status quo</t>
  </si>
  <si>
    <t>Status quo, bis 2030</t>
  </si>
  <si>
    <t>Bibliographie</t>
  </si>
  <si>
    <t>Betrachtungsumfang Prozesse/Technologien</t>
  </si>
  <si>
    <t>Flexibilitätsparameter</t>
  </si>
  <si>
    <t>Potenzialbegriff</t>
  </si>
  <si>
    <t>Ergebnis</t>
  </si>
  <si>
    <t>Sonstiges</t>
  </si>
  <si>
    <t>Potenzialtrennung pos/neg vorgenommen</t>
  </si>
  <si>
    <t>Methodik i.e.S.</t>
  </si>
  <si>
    <t>S. 23-34</t>
  </si>
  <si>
    <t>Klobasa 2007 / Klobasa 2009</t>
  </si>
  <si>
    <t>Freitextbeschreibung der Methodik</t>
  </si>
  <si>
    <t>Auswertung von Statistiken</t>
  </si>
  <si>
    <t>Expertenabschätzungen</t>
  </si>
  <si>
    <t>eigene Erhebungen</t>
  </si>
  <si>
    <t>Literaturanalyse</t>
  </si>
  <si>
    <t>Datenquellen</t>
  </si>
  <si>
    <t>zentrale Annahmen</t>
  </si>
  <si>
    <t>Quellen Methodik</t>
  </si>
  <si>
    <t>Quellen Daten</t>
  </si>
  <si>
    <t>Quellen Betrachtungsumfang</t>
  </si>
  <si>
    <t>Überblick Flexibilitätsparameter</t>
  </si>
  <si>
    <t>Bestimmung Kosten-Potenzial-Kurven</t>
  </si>
  <si>
    <t>Überblick über zentrale Annahmen</t>
  </si>
  <si>
    <t>Modellierung (Simulation)</t>
  </si>
  <si>
    <t>Modellierung (Optimierung)</t>
  </si>
  <si>
    <t>Branchen, Produktionsprozesse Industrie</t>
  </si>
  <si>
    <t>Branchen, Produktionsprozesse Haushalte</t>
  </si>
  <si>
    <t>Querschnittstechnologien Industrie</t>
  </si>
  <si>
    <t>Quellen Flexibilitätsparameter</t>
  </si>
  <si>
    <t>Überblick der Potenzialbegriffe</t>
  </si>
  <si>
    <t>Quellen zentrale Annahmen</t>
  </si>
  <si>
    <t>S. 26</t>
  </si>
  <si>
    <t>Ansatz</t>
  </si>
  <si>
    <t>Fokus Lastmanagement</t>
  </si>
  <si>
    <t>1999-2005</t>
  </si>
  <si>
    <t>51-87</t>
  </si>
  <si>
    <t>überwiegend verwendete Datenbasis</t>
  </si>
  <si>
    <t>Stromverbrauchsstatistiken, offizielle Statistiken und Verbändestatistiken zu Produktionsvolumina und Geräteausstattung, eigene Berechnungen und Annahmen</t>
  </si>
  <si>
    <t>eigene Annahmen</t>
  </si>
  <si>
    <t>Querschnittstechnologien im GHD-Sektor</t>
  </si>
  <si>
    <t>(Online-)Umfragen</t>
  </si>
  <si>
    <t>Bezugsjahr(e) der Datenbasis</t>
  </si>
  <si>
    <t>Bestimmung technischer Potenziale durch Potenzialabschätzung in 5 Schritten: (S. 24-27)
1. Ermittlung anwendungsspezifischer Stromverbrauch aus Energie- und Produktionsstatistiken
2. Identifikation geeigneter Anwendungen mittels Kriterien Unterbrechbarkeit, Verschiebbarkeit (diskontinuierlicher Betrieb) und/oder Speicherbarkeit
3. Untergliederung nach Klassen für die Vorankbündigungsdauern
4. Zeitverfügbarkeit basierend auf Branchenstudien bzw. eigenen Annahmen; Plausibilisierung durch UCTE-Daten
5. Bestimmung technischer Potenziale: Maximum + zeitabhängiger Anteil; Einführung Lastmanagementfaktor: Anteil verlagerbarer Leistung an Nennleistung
Bestimmung ökonomischer Potenziale durch Simulation von Lastmanagement: (S. 27-30)
6. Bestimmung zusätzlicher Aufwand bzw. Kosten durch LMM
7. /8. Berücksichtigung der Anlagenauslastung und Erlösmöglichkeiten (Opportunitätskosten)
9. Berücksichtigung der zeitlichen Verfügbarkeit; qualitative Diskussion Strombezugspreise (nicht abgebildet)
Generierung Kosten-Potenzial-Kurven (S. 30-32)
Hochrechnungen bei Haushalten über durchschnittliche Geräteausstattung (S. 81-84)</t>
  </si>
  <si>
    <t>- Zeitverfügbarkeit einiger Prozesse
- Lastmanagementfaktoren (Anteil flexibilisierbarer Leistung)
- Entwicklungsprojektionen</t>
  </si>
  <si>
    <t>Auftraggeber</t>
  </si>
  <si>
    <t>-</t>
  </si>
  <si>
    <t>durchführende Institution</t>
  </si>
  <si>
    <t>Molly et al. 2010 (Kohler et al. 2010)</t>
  </si>
  <si>
    <t>EWI; IWES; FH Köln; Uni Kassel</t>
  </si>
  <si>
    <t>Analyse mehrerer Szenarien / Entwicklungen</t>
  </si>
  <si>
    <t>Untersuchung von Fehlermaßen</t>
  </si>
  <si>
    <t>Potenzial Industrie ges. pos.</t>
  </si>
  <si>
    <t>Potenzial GHD ges. pos.</t>
  </si>
  <si>
    <t>Potenzial GHD ges. pos. ohne Klimatisierung / Wärme</t>
  </si>
  <si>
    <t>Potenzial Haushalte ges. pos.</t>
  </si>
  <si>
    <t>Potenzial Haushalte ges. pos. ohne Wärme</t>
  </si>
  <si>
    <t>Potenzial GHD ges. neg.</t>
  </si>
  <si>
    <t>Potenzial GHD ges. neg. ohne Klimatisierung / Wärme</t>
  </si>
  <si>
    <t>Potenzial Haushalte ges. neg.</t>
  </si>
  <si>
    <t>Potenzial Haushalte ges. neg. ohne Wärme</t>
  </si>
  <si>
    <t>Potenzial Industrie ges. neg.</t>
  </si>
  <si>
    <t>S. 410-425</t>
  </si>
  <si>
    <t>- Zeitverfügbarkeiten einiger Anwendungen
- flexibilisierbarer Leistungsanteil</t>
  </si>
  <si>
    <t>Stromverbrauchsstatistiken, offizielle Statistiken und Verbändestatistiken zu Produktionsvolumina und Geräteausstattung, Sekundärliteratur, eigene Berechnungen und Annahmen</t>
  </si>
  <si>
    <t>Prozesskälte in Lebensmittelindustrie, Kühlhäusern und sonstigen, Klimatisierung von Bürogebäuden, Einzelhandel, Hotelgebäuden und Gastronomie, Ventilation und Belüftung im GHD-Sektor, Warmwasser, Nachtspeicherheizungen, Notstromaggragate, Back-Up-Server und Mobilfunkstationen</t>
  </si>
  <si>
    <t>Waschmaschinen, Trockner, Spülmaschinen, Kühlschränke, Gefriergeräte, Wärmepumpen, Warmwasser, Nachtspeicherheizungen</t>
  </si>
  <si>
    <t>Nachtspeicherheizungen, Umwälzpumpen, Wärmepumpen, Warmwasser, Kühlschränke, Gefriergeräte, Waschmaschinen, Trockner, Spülmaschinen</t>
  </si>
  <si>
    <t>12-32</t>
  </si>
  <si>
    <t>nicht transparent dargelegt</t>
  </si>
  <si>
    <t>Berechnung / Ermittlung nicht transparent dargelegt</t>
  </si>
  <si>
    <t>Identifikation geeigneter Branchen und Verbraucher (S. 12-13): Auswahl anhand von Eignungskriterien
Abschätzung des technischen Potenzials auf Basis vorhandener Literatur sowie Erfahrungen der FfE zu industriellen Produktionsanlagen (S. 14); relativ intransparent
 Diskussion von Mechanismen ohne systematische Bewertung des wirtschaftlichen Potenzials, Metaanalyse von 10 Publikationen sowie exemplarische Berechnung anhand von Fallbeispielen für Regelleistung (17-32)
Analyse von Hemmnissen und Lösungsansätzen (S. 33-36)</t>
  </si>
  <si>
    <t>vorhandene Literatur, insbes. Klobasa 2007; Erfahrungswerte FfE</t>
  </si>
  <si>
    <t>keine Verwertung</t>
  </si>
  <si>
    <t>Verwertung der technischen Potenziale</t>
  </si>
  <si>
    <t>analytischer Ansatz zur Verwertung technischer Potenziale</t>
  </si>
  <si>
    <t>Chemieindustrie, Ernährung, Glasindustrie, Kfz, Maschinenbau, Metallverarbeitung, Papier, restliche Industrie</t>
  </si>
  <si>
    <t>Prozesskälte, Prozesswärme, Belüftung, Klimakälte, Heizsysteme</t>
  </si>
  <si>
    <t>1996-2009; Stand 2008 / 2010</t>
  </si>
  <si>
    <t>412-425; 512-543</t>
  </si>
  <si>
    <t>Potenzial Industrie QST pos.</t>
  </si>
  <si>
    <t>Potenzial Industrie QST neg.</t>
  </si>
  <si>
    <t>Potenzial Industrie Prozesse pos.</t>
  </si>
  <si>
    <t>Potenzial Industrie Prozesse neg.</t>
  </si>
  <si>
    <t>Bestimmung technischer Potenziale mit je Wirtschaftssektor abweichendem Vorgehen: (S. 410-425)
Haushalte (S. 412): Zusammenstellung Daten über Speicherung und installierte Leistung in geeigneten Prozessen sowie Erstellung vereinfachter Zeitprofile; Anlehnung an Vorgehen von Stadler (2006)
Industrie (S. 420): Unternehmensbegragungen zu Produktionsmengen, Stromintensität, Vollbenutzungsstunden, flexibel nutzbarer Anteil; Mittelwertbildung und Skalierung auf Gesamtdeutschland (S. 523)
Ermittlung von Kostenwerten: (S. 425-427)
Ermittlung Investitionskosten, variable Kosten und jährlich fixe Kosten
Ermittlung ökonomischer Potenziale mit Strommarktmodell DIME: (S. 448-463; 512-543)
- modellendogene Bestimmung ökonomischer Potenziale von 2010 bis 2020
- Fokus: Spotmärkte und Regelleistung (MRL) entwickelt
- Referenzszenario und optimistisches Szenario</t>
  </si>
  <si>
    <t>410-425, 512-543</t>
  </si>
  <si>
    <t>S. 434-437</t>
  </si>
  <si>
    <t>434-435</t>
  </si>
  <si>
    <t>2008-2009</t>
  </si>
  <si>
    <t>Kühl- und Gefrierprozesse (Ernährungsindustrie), Belüftung und Klimatisierung, (Druckluftanwendungen)</t>
  </si>
  <si>
    <t>Chloralkalielektrolyse, Holzstoffaufbereitung, Aluminiumelektrolyse, Elektrolichtbogenofen, Rohmühlen und Zementmühlen</t>
  </si>
  <si>
    <t>434-436</t>
  </si>
  <si>
    <t>- zukünftige Stromverbrauchsentwicklung (konstant bei Haushaltslasten)
- Durchdringung mit elektrischen Heizsystemen im GHD-Sektor</t>
  </si>
  <si>
    <t>78-96</t>
  </si>
  <si>
    <t>Krzikalla et al. 2013</t>
  </si>
  <si>
    <t>Möglichkeiten zum Ausgleich fluktuierender Einspeisungen aus Erneuerbaren Energien</t>
  </si>
  <si>
    <t>Stötzer 2012</t>
  </si>
  <si>
    <t>Demand Side Integration in elektrischen Verteilnetzen</t>
  </si>
  <si>
    <t>Focken et al. 2011</t>
  </si>
  <si>
    <t>Kurz- bis mittelfristig realisierbare Marktpotenziale für die Anwendung von Demand Response im gewerblichen Sektor</t>
  </si>
  <si>
    <t>Erfassung BA Vogt</t>
  </si>
  <si>
    <t>Erfassung BA Schmidt de Ccahuana</t>
  </si>
  <si>
    <t>Erfassung BA Renner</t>
  </si>
  <si>
    <t>Liebe und Wissner 2015</t>
  </si>
  <si>
    <t>Der flexible Verbraucher - Potenziale zur Lastverlagerung im Haushaltsbereich</t>
  </si>
  <si>
    <t>WIK</t>
  </si>
  <si>
    <t>82, 88</t>
  </si>
  <si>
    <t>Vorab Literaturanalyse zu Technologien und vorhandenen Potenzialabschätzungen: (S. 27-77)
- Darlegung und Analyse relevanter Technologien für Lastmanagement
- Ausweisung von technischen Potenzialen aus vorhandenen Untersuchungen
Methodik zur Abschätzung technischer Potenziale: (S. 78-96)
Ansatz für Haushalte und GHD basierend auf Dissertation von Martin Stötzer (2012): (S. 80-93)
- Identifikation relevanter Verbraucher in Haushalten bzw. GHD
- Bestimmung "theoretischer" bzw. technischer Potenziale: Ermittlung typischer Auslastungen und Gleichzeitigkeiten für Geräte in Haushalten (Bottom-Up-Ansatz); Abschätzung der Leistung auf Prozessebene über Anteil am Gesamtverbrauch und Nutzungsstunden im GHD-Sektor (Top-Down-Ansatz)
- Ableitung von technischen Lastmanagementpotenzialen bezogen auf den konkreten Anwendungsfall der Spitzenlastreduktion durch Lastblockbildung sowie Verschiebung von Lastblöcken anhand von Standard- bzw. Residuallastprofilen mit einem kombinatorischen Optimierungstool unter Nutzung eines genetischen Algorithmus' mit dem Ziel der Minimierung von Spitzenlasten
- Hochskalierung von synthetischer Modellregion, die Bundesdurchschnitt repräsentiert
- Analyse von Sensitivitäten (S. 119-121)
Ansatz für Industrie: (S. 94-96)
- Vorauswahl anhand der Stromintensität (Stromverbrauch/Bruttowertschöpfung &gt; 1 kWh/€)
- Expertenumfrage (außer in Holz-, Glas- und Keramikindustrie, die Schwellenwert überschreitet); 26 Interviews</t>
  </si>
  <si>
    <t>Druckluft, (Prozessdampf mittels KWK-Eigenerzeugung, daher kein direkter Strombezug aus öffentlichem Netz)</t>
  </si>
  <si>
    <t>Kühlschrank, Geschirrspüler, Wäschetrockner, Waschmaschine, Raumklimatisierung, Wärmepumpen, Nachtspeicherheizung, Kühl- / Gefrierkombination, Warmwassererzeugung, Gefrierschrank / -truhe</t>
  </si>
  <si>
    <t>Büros / Textilbetriebe, Handel, Gastgewerbe, Landwirtscahft, Gartenbau, Bäder, Wäscherei, produzierendes Gewerbe, Baugewerbe</t>
  </si>
  <si>
    <t>37-77, 97-99</t>
  </si>
  <si>
    <t>37-77, 97-116</t>
  </si>
  <si>
    <t>- Studien: Klobasa (2009); EWI (2012); VDE (2012); Fraunhofer ISI/FfE (2013)</t>
  </si>
  <si>
    <t>1999-2012</t>
  </si>
  <si>
    <t>BMWi</t>
  </si>
  <si>
    <t>52-57</t>
  </si>
  <si>
    <t>Angaben zum theoretischen Potenzial</t>
  </si>
  <si>
    <t>Angaben zum technischen Potenzial</t>
  </si>
  <si>
    <t>Angaben zum ökonomischen Potenzial</t>
  </si>
  <si>
    <t>Angaben zum sozialen Potenzial</t>
  </si>
  <si>
    <t>- Annahme der Strombezugskosten für VOLL-Berechnung
- Annahme des zur Verfügung stehenden technischen Lastverzichtpotenzials</t>
  </si>
  <si>
    <t>53-46, 63-66</t>
  </si>
  <si>
    <t>Zusammenführung von vorhandenen Potenzialabschätzungen zu technischen Lastmanagementpotenzialen (S. 52-54)
Ermittlung von Kosten-Potenzial-Kurven: (S. 54-57)
- Bestimmung maximaler Zahlungsbereitschaften für Strom in Hinblick auf potenziellen Lastverzicht
Marktsimulationen: (S. 60-77)
- Analyse des Einsatzes von Lastverzicht unter Annahme, dass gewisser Teil des technischen Potenzials zur Verfügung steht (S. 64-66, 73-74)</t>
  </si>
  <si>
    <t>Aluminiumeletrolyse, Chemieindustrie: Chlorelektrolyse, Lufzerlegung, Eisen- und Stahlindustrie: Elektrostahlherstellung, Papierindustrie, Zementindustrie</t>
  </si>
  <si>
    <t>54, 57</t>
  </si>
  <si>
    <t>- Vergütung nach AbLaV als maßgeblich für ökonomische Erschließung
- Approximation der Lastzustände von Querschnittstechnologien
- Annahme Mindestbetriebsgröße</t>
  </si>
  <si>
    <t>24, 56, 58</t>
  </si>
  <si>
    <t>- Statistiken, Online-Umfrage, Interviews</t>
  </si>
  <si>
    <t>Wirtschaftlichkeitsabschätzung</t>
  </si>
  <si>
    <t>Angaben zum realisierbaren Potenzial</t>
  </si>
  <si>
    <t>22-23, 31, 44, 54-60</t>
  </si>
  <si>
    <t>Kommentar und Kritik</t>
  </si>
  <si>
    <t>sehr intransparent hinsichtlich des methodischen Ansatzes und der getroffenen Annahmen; sehr wenig granulare Aufschlüsselung</t>
  </si>
  <si>
    <t>Inkonsistenzen insbes. bei Angaben zu Kosten</t>
  </si>
  <si>
    <t>Lastmanagement als Beitrag zur Deckung des Spitzenlastbedarfs in Süddeutschland (Lastmanagement für Systemdienstleistungen und zur Reduktion der Spitzenlast)</t>
  </si>
  <si>
    <t>Studie (Journal Article)</t>
  </si>
  <si>
    <t>Agora Energiewende (DIW)</t>
  </si>
  <si>
    <t>Vergleichbarkeit wird durch die Integration ökonomischer Elemente sowie gewisser Vorbehalte seitens der Unternehmen reduziert; keine trennscharfe Zuordnung zu einem der Potenzialbegriffe möglich; keine saubere Trennung von Lastverschiebung und Lastverzicht; Hochrechnung nur für energieintensive Industrie vorhanden</t>
  </si>
  <si>
    <t>Lebensmittelkühlung Einzelhandel, Kühlhäuser, Belüftung, Klimatisierung, Warmwasserbereitstellung, Trinkwasserpumpen, Nachtspeicher, Abwasser (Kläranlagen)</t>
  </si>
  <si>
    <t>48-57</t>
  </si>
  <si>
    <t>-Studien: Stadler (2006); Gutschi und Stigler (2008); Klobasa (2009); dena (2010); Roon und Gobmaier (2010)
- Statistiken und Branchenveröffentlichungen</t>
  </si>
  <si>
    <t>- Annahme zu Schalt- und Verschiebedauern sowie Schalthäufigkeiten und Auslastung der Prozesse bzw. Zeitverfügbarkeit
- Annahmen zu zukünftiger Potenzialentwicklung</t>
  </si>
  <si>
    <t>50, 54, 55, 175</t>
  </si>
  <si>
    <t>Bestimmung technischer Lastmanagementpotenziale: (S. 47-57)
- Bestimmung geeigneter Anwendungen und Parameter aus Literaturrecherche, Statistiken und Annahmen
- Zusammenfassung zu Klassen für modellgestützte Abbildung
- Abbildung Lastmanagementpotenziale für Haushalte über detaillierten Bottom-Up-Ansatz
- Abbildung industrieller Potenziale auf Prozessebene / Ebene von Querschnittstechnologien
- Abbildung der Flexibilität im Sektor GHD auf sektoraler Ebene mit Fokus auf Querschnittstechnologie
- Extrapolation zukünftiger Potenziale anhand von industriellen Produktionsmengen, spezifischen Verbräuchen, Strombedarfen sowie Geräteausstattung
- Regionalisierung von Potenzialen
Bestimmung ökonomischer Lastmanagementpotenziale: (S. 89-91)
- Aggregation von Verbrauchern zu Lastmanagementgruppen zur Reduktion der Modellkomplexität
- Definition der zum jeweiligen Zeitpunkt verfügbaren Zu- oder Abschaltleistung sowie Schalt- und Verschiebedauern sowie Beschränkung der Häufigkeit des Lastmanagementeinsatzes
- Beschränkung der Gesamtenergie sowie der Energie zwischen zwie Aktivierungen (Regenerationsdauer)
- Modellierung der intertemporalen Restriktionen und Integration von Zielfunktionstermen in techno-ökonomische Modellierung mittels Strommarktfundamentalmodell (s. auch Gils 2015)
- vereinfachte Abbildung eines gesteuerten Ladens von Elektrofahrzeugen</t>
  </si>
  <si>
    <t>47-57, 89-91</t>
  </si>
  <si>
    <t>technisch, soziotechnisch, ökonomisch</t>
  </si>
  <si>
    <t>Angaben zum soziotechnischen Potenzial</t>
  </si>
  <si>
    <t xml:space="preserve">technisch, soziotechnisch, (ökonomisch) </t>
  </si>
  <si>
    <t>soziotechnisch, technisch</t>
  </si>
  <si>
    <t>UBA</t>
  </si>
  <si>
    <t>48, 50-54</t>
  </si>
  <si>
    <t>2012-2013</t>
  </si>
  <si>
    <t>überwiegend 2005-2010 (Primärliteratur teilweise älter; bis 1997)</t>
  </si>
  <si>
    <t>97-99; 216-225</t>
  </si>
  <si>
    <t>- Statistik Stromverbrauch Destatis
- Umfrage zur technischen und soziotechnischen Potenzialen
- aktuelle bzw. adaptierte Produktdesigns der Großhandelsmärkte</t>
  </si>
  <si>
    <t>- implizite Annahmen zur Branchenstruktur aus Branchenhochrechnung
- Annahmen zu ökonomischem Kalkül im soziotechnischen Potenzial verrechnet</t>
  </si>
  <si>
    <t>97-99; 103-176; 216-225</t>
  </si>
  <si>
    <t>Sonstige Analysen:
- Literaturrecherche zu internationalen Nutzungen regelbarer Lasten (S. 45-63)
- Durchführung einer Umfrage zur aktuellen Nutzung regelbarer Lasten in Regelleistungsmärkten (S. 64-65)
- ökonomische Einordnung (S. 181-185)
- Diskussion von Anpassungsoptionen des System- und Regulierungsdesigns (S. 186-192)
Durchführung einer Unternehmensbefragungen zu den technischen bzw. soziotechnischen Lastmanagementpotenzialen (S. 80-185)
- Vorabanalyse und Auswahl der zu analysierenden Branchen (S. 80-96): Auswahl anhand Abdeckung in Literatur / Stromintensität; mittlere Leistungsaufnahme, Stromverbrauch, Anzahl der Unternehmen und Umfang bereits bestehender Analysen
- Bestimmung branchenspezifischer Potenziale aus Umfrage (S. 97-160): Befragung von 25 Unternehmen mit 42 Unternehmensstandorten in Vor-Ort-Fragebogeninterviews im Umfragezeitraum September 2012 - Juni 2013
    - Erstellung von Anlagenkennlinien (S. 218-222): Verteilung von Abrufleistungen, Abrufdauern, zulässigen Abrufhäufigkeiten, variablen Kosten sowie Fixkosten und Bereitstellungskosten nach Aktivierungsdauern
    - Erstellung von Summenkennlinien durch Hochrechnung (S. 98-99) und Zuordnung zu Verwendungszwecken / Teilmärkten zur Ermittlung des soziotechnischen Potenzials
    - Ermittlung des technischen Potenzials anhand der Bezugsleistung im Normalbetrieb (S. 99)
- Fortschreibung technischer und soziotechnischer Potenziale bis 2030 (S. 174-180): qualitative Abschätzungen</t>
  </si>
  <si>
    <t>acatech</t>
  </si>
  <si>
    <t>Institut für Elektrische Energiesysteme, Otto-von-Guericke-Universität Magdeburg; ISEA, RWTH Aachen</t>
  </si>
  <si>
    <t>Külschränke, Gefriergeräte, Wäschetrockner, Raumklimatisierung (Klimaanlagen), Heizungsumwälzpumpen, elektrische Warmwasseraufbereitung, (PV-Speichersysteme, Elektrofahrzeuge)</t>
  </si>
  <si>
    <t>technisch, realisierbar</t>
  </si>
  <si>
    <t>2013, 2023, 2050</t>
  </si>
  <si>
    <t>2008-2012</t>
  </si>
  <si>
    <t>13-23; 31-37</t>
  </si>
  <si>
    <t>8-10; 26-28; 38</t>
  </si>
  <si>
    <t>- Auslastung / Lastverlauf
- Verschiebedauern und -häufigkeiten
- Durchdringung mit Technologien</t>
  </si>
  <si>
    <t>- Statistiken Stromverbrauch
- existierende Studien / Publikationen: u.a. dena (2010); VDE (2012); Stamminger (2008); Klobasa (2007); Buber et al. (2013)</t>
  </si>
  <si>
    <t>13-23</t>
  </si>
  <si>
    <t>Primäralumiumelektrolyse, Kupferelektrolyse, Zinkelektrolyse, Elektrostahlöfen, Chloralkalielektrolyse, mechanische Holzzerfaserung, Altpapieraufbereitung, Papiermaschinen, Roh- und Zementmühlen, Claciumcarbidproduktion, Luftzerlegung</t>
  </si>
  <si>
    <t>Kühlung in der Lebensmittelindustrie, Gebäudebelüftung</t>
  </si>
  <si>
    <t>Lastreduktion/Lasterhöhung, Verschiebungszeit, Dauer, Häufigkeit</t>
  </si>
  <si>
    <t>Gils 2015 (Gils 2014; Gils 2016)</t>
  </si>
  <si>
    <t>Balancing of Intermittent Renewable Power Generation by Demand Response and Thermal Energy Storage 
(Assessment of the theoretical demand response potential in Europe, in: Energies, Vol. 57, S. 1-18; Economic potential for future demand response in Germany – Modeling approach and case study, in: Applied Energy, Vol. 162, S. 401-415)</t>
  </si>
  <si>
    <t>Dissertation (Journal Article; Journal Article)</t>
  </si>
  <si>
    <t>Gils 2015: Analyse des technischen Lastmanagementpotenzials in Europa (S. 11-21):
- Analyse von 30 Prozessen und Einteilung in Lastverschiebung sowie Lastverzicht (keine Betrachtung von Lastverschiebungspotenzialen durch flexible Steuerung elektrischer Wärmepumpen sowie von Elektrofahrzeugen)
- Ableitung von Lastmanagementpotenzialen aus (angenommenen) charakteristischen jährlichen Lastprofilen; Einteilung der Lastprofileigenschaften in saisonale, wöchentliche und tageszeitliche Variationen sowie Betrachtung der Thermosensibilität
Industrie: (S. 15-17)
- Ermittlung der maximalen Kapazitäten über Produktionskapazitäten und Auslastungen bzw. Arbeit und Vollbenutzungsstunden
- Ermittlung der flexiblen Lasten über augenblickliche sowie Mindest- und Maximalauslastung
GHD: (S. 17-19)
- Ermittlung installierter Leistungen über Statistik zur Aufschlüsselung von Verbräuchen und Vollbenutzungsstunden
- Ermittlung flexibler Lasten über Heiz- / Kühlungsgradtage
Haushalte: (S. 19-20):
- Hochrechnung über Ausstattungsraten von Haushalten und spezifische Leistungen je Gerät
Extrapolation zukünftiger Leistungen: (S. 20-22)
- Extrapolation von Parametern, die zukünftige Leistungen determinieren, z.B. Produktionskapazitäten und Energieeffizienzentwicklung
Regionale Verteilung von Lasten: (S. 22-23)
- Aufteilung über industrielle Produktionsstatistiken
- Gleichverteilung der GHD-Potenziale
- Verteilung von Haushaltspotenzialen über Bevölkerungsdichte
Gils 2015: Modellierung von Lastmanagement (S. 65-70)
- Abbildung von Lastmanagement über intertemporale Restriktionen und Zielfunktionsterme in linearem deterministischen Strommarkt- bzw. Energiesystemmodell
- Gruppierung von Lastmanagementanwendungen (S. 104-105)
Gils 2015: Szenarioanalysen (S. 86-106) sowie Sensitivitätsanalysen (S. 135-414)
- Analyse von neun Szenarien mit Demand Response
- Reduktion des technischen Lastmanagementpotenzials auf soziotechnisches Potenzial mittels Abschätzung von Verfügbarkeitsfaktoren (S. 103-104)
- Analyse von Parametervariationen (insbes. Kostenvariationen sowie Variationen des Potenzials und der Verschiebedauern) für Demand Response
(Abgrenzung der Untersuchungen:
Fokus Gils 2014: Herleitung technischer Potenziale
Fokus Gils 2016: techno-ökonomische Modellierung und Szenariostudie zu Demand Response)</t>
  </si>
  <si>
    <t>- Abschätzung von Lastgängen über Produktionskapazitäten und Ausstattungsraten
- Annahmen zu Prozessauslastungen
- Annahmen zu Schalt- und Verschiebedauern
- Annahmen zu Einschränkung des soziotechnischen Potenzials</t>
  </si>
  <si>
    <t>13-23; 31; 104</t>
  </si>
  <si>
    <t>11-23; 65-70; 86-104; 135-414</t>
  </si>
  <si>
    <t>Kühlung im Lebensmitteleinzelhandel, Kühlhäuser, Kühlung im Gastronomiebereich (Hotels, Restauerungs), Belüftung, Klimaanlagen, Warmwasserspeicher, Nachtspeicherheizungen, Pumpen in der Trinkwasseraufbereitung, Abwasserbehandlung</t>
  </si>
  <si>
    <t>80-96</t>
  </si>
  <si>
    <t>umfangreiche Arbeit; geeigneter Modellierungsansatz; differenzierte Analyse von Prozessen vs. Pauschalannahmen für ökonomische Modellierung</t>
  </si>
  <si>
    <t>Da Ansatz identisch zu den Arbeiten von Gils (s.u.) ist, erfolgt eine Zusammenfassung der Ansätze.</t>
  </si>
  <si>
    <t>Nachtspeicherheizungen, elektrische Wärmepumpen, hybride Heizungssysteme (mit Installation eines elektrischen Warmwasserspeichers), elektrische Warmwasserbereitung, Waschmaschinen, Wäschetrockner, Spülmaschinen, Kühl- und Gefrierschränke, Lastflexibilisierung mittels Batteriespeicher</t>
  </si>
  <si>
    <t>2010-2011/12</t>
  </si>
  <si>
    <t>kombinierter Ansatz</t>
  </si>
  <si>
    <t>81; 185; 189</t>
  </si>
  <si>
    <t>81-147; 165-264</t>
  </si>
  <si>
    <t>technisch, soziotechnisch, ökonomisch, realisierbar</t>
  </si>
  <si>
    <t>(2010), 2015, 2020, 2025, 2030</t>
  </si>
  <si>
    <t>sehr detaillierte Untersuchung; Separierung der Kennwerte hätte teilweise noch deutlicher ausfallen können; sehr detaillierte Prozessanalysen insbes. zu temperaturabhängigen Heizungsprozessen</t>
  </si>
  <si>
    <t>1-6; 88-94; 128-131; 137-139; 185-203; 206-209; 228-232</t>
  </si>
  <si>
    <t>- Annahmen zu den Lastprofilen und teilweise zur Durchdringungen mit elektrischen Heizungssystemen
- Annahmen zu Aktivierungsdauern und Kosten(degressionen)
- Annahmen zu den Schalt- und Verschiebedauern bei Haushaltsgeräten
- Annahmen zur Potenzialentwicklung
- Annahmen zu den Opportunitätskosten in der Industrie, insbes. Stromgroßhandelspreis und Gewinnmargen</t>
  </si>
  <si>
    <t>88-94; 111; 112; 130-131, 187; 231-232, 238</t>
  </si>
  <si>
    <t>2011/12</t>
  </si>
  <si>
    <t>- Produktionsstatistiken von Verbänden und Unternehmen (standortscharf)
- existierende Studien: Klobasa (2007), dena (2010), VDE (2012), …</t>
  </si>
  <si>
    <t>- Annahmen zu Aktivierungsdauern und Kosten(degressionen)
- Annahmen zu den Schalt- und Verschiebedauern
- Annahmen zur Potenzialentwicklung
- Annahmen zu den Opportunitätskosten in der Industrie, insbes. Stromgroßhandelspreis und Gewinnmargen
- Annahme, dass Lastinanspruchnahme der Querschnittstechnologien dem Gesamtlastgang folgt</t>
  </si>
  <si>
    <t>Vorgehen der Arbeit: (S. 13-52) (weitgehend analog zu Pellinger und Schmid (2016, S. 185-232))
- Analyse von statsistischen Daten, Literatur- und Unternehmensangaben sowie Unternehmensbefragungen zur Bestimmung von technischen und akzeptierten Lastmanagementpotenzialen und -kosten in Industrieunterehmen
- Fragebogengestützte Unternehmensbefragung von 27 Betrieben
- Definition von Potenzialbegriffen
- Auswahl geeigneter stromintensiver Prozesse über Stromintensität
- Abschätzung von Potenzialen bei Prozessen über Produktionsmengenen und spezifischen Verbrauch, Benutzungsstunden, Anteil der flexibilisierbaren Last
- Abschätzung des Potenzials von Querschnittstechnologien über Stromverbräuche, spezifische Leistungen je QST, Betriebszustände und Anteil der flexibilisierbaren Last; Datenmquellen: Unternehmensbefragungen, Energieeffizienznetzwerke, Abschätzungen; Zusammenfassung zu Branchengruppen
- Regionalisierung von Potenzialen: standortspezifische Auflösung für stromintensive Industrie, Regionalisierung bei Querschnittstechnologien mithilfe Regionenmodell
- Analyse von Wechselwirkungen zwischen Flexibilität und Energieeffizienz durch Abschätzung von Wirkungsgradeinbußen bei flexibler Lastinanspruchnahme
- Analyse der Einsatzoption Engpassmanagement
- Analyse des Beitrags industrieller Flexibilitäten zum Einsatzfall Engpassmanagement: Analyse der Energiebedarfe für Engpassmanagement und Quantifizierung des potenziellen Beitrags industrieller Flexibilitäten unter den gegebenen Potenzialrestriktionen</t>
  </si>
  <si>
    <t>13-52</t>
  </si>
  <si>
    <t>13-119</t>
  </si>
  <si>
    <t>13-109</t>
  </si>
  <si>
    <t>- Annahme zu den Aktivierungsdauern bei Querschnittstechnologien</t>
  </si>
  <si>
    <t>Speicherheizungen, Wärmepumpen, Warmwasser, Umwälzpumpen, Külgeräte, Gefriergeräte, Klimaanlagen, Waschmaschinen, Wäschetrockner, Geschirrspüler</t>
  </si>
  <si>
    <t>22-31; 46-63; 73-76; 77-87; 93</t>
  </si>
  <si>
    <t>- existierende Potenzialstudien, v.a. Klobasa (2007); dena (2010); Focken et al. (2011); Apel et al. (2012); Buber et al. (2013); Langrock et al. (2015) und Styczynski und Suaer (2015); E-Energy; LoadShift
- eigene Erhebung / Unternehmensbefragung</t>
  </si>
  <si>
    <t>154-158; 164-230</t>
  </si>
  <si>
    <t>Entwicklung des methodischen Vorgehens: (S. 19-22)
- Auswertung von 44 Veröffentlichu zu Potenzialanalysen, Potenzialsegmentierung und Datenqualität von Lastmanagementpotenzialen
- Ableitung des eigenen methodischen Vorgehens
Gesamtüberblick über methodisches Vorgehen: (S. 22-31)
- Bestimmung technischer und soziotechnischer Lastmanagementpotenziale sowie systematische Fehleranalyse für 33 Technologien, 38 Anwendungsbereiche und bis zu 6 Größenklassen für DSI-Optionen
- Bestimmung der für die systemanalytische Bewertung notwendigen Parameter zur Charakterisierung von Potenzialen aus Statistiken, Literaturanalyse und eigenen Erhebungen durch Befragung von 190 Industrieunternehmen mit 284 Unternehmensstandorten sowie vergübaren Marktdaten und Austauschen mit Netzbetreibern, Dienstleistern, Verbänden und Forschungseinrichtungen, welche mittels interferenzstatistischer Methoden validiert werden
- systemanalytische Modellierung durch speicherähnliche Abbildung
- Anwendung eines iterativen Verfahrens zur Potenzial-Clusterung ohne wesentlichen Genauigkeitsverlust
- Analyse von Möglichkeiten und Hemmnissen für Lastmanagement im heutigen Marktrahmen
Vorgehen bei der Potenzialbestimmung: (S. 46-63)
- Bestimmung des theoretischen Potenzials durch Quantifizierung installierter Leistung über Anlagenbestand bzw. durchschnittliche Leistung, Produktionskapazität und spezifischen Energieverbrauch bezogen auf Nutzungsdauern oder anhand des Jahresstromverbrauchs und der durchschnittlichen Vollbenutzungsstunden
- Bestimmung des technischen DSI-Potenzials über Einbezug von Minimal- und Maximallasten
- Ermittlung technischer Lastmanagementpotenziale nach Nutzungsform über Abgleich mit Aktivierungsdauer und Schaltdauer sowie der Möglichkeit eines rollierenden Einsatzes
- Abschätzungen zu soziotechnischem Potenzial mittels Realisierbarkeitsfaktor basierend auf Literatur und eigenen Erhebungen
- Ermittlung von zeitlichen Parametern, d.h. Aktivierungs-, Schalt- und Verschiebedauern
- Bestimmung des Erschließungs. und Nutzungsaufwands für Lastmanagementoptionen
- Bestimmung von Kosten-Potenzial-Kurven (S. 73-76)
Systemanalytische Bewertung von Lastmanagement: (S. 77-87)
- Integration von Lastmanagement in fundamentales linearels stochastisches Optimierungsmodell des europäischen Strommarkts, das auch Bereitstellung von Reservekraftwerkskapazität abdeckt und myopischen Ansatz darstellt
- Modellierungsansatz als "negativer Speicher" mit diversen intertemporalen Restriktionen
- Anwendung eines iterativen Verfahrens zur Potenzialclusterung: Vorabselektion ungeeigneter DSI-Optionen, Zusammenfassung nach euklidischem Abstand für Parameter Nutzungs- und Erschließungsaufwand sowie mögliche Verschiebedauer und iterative Überprüfung des erzielten Genauigkeitsverlusts, die ggf. alternative Zusammenfassung erforderlich macht
- Detaillierte Darlegung der Potenzialsegmentierung (S. 159-164): Ausschluss von Optionen, die keine hinreichende Datenlage aufweisen
- Ableitung angepasster Kosten-Potenzial-Kurve
- Analyse von Szenarien mit abweichender PV-Leistung sowie Variation der zur Verfügung stehenden Lastmanagementpotenziale
Analyse zu den Rahmenbedingungen für Lastmanagement: (S. 93)
- Analyse des regulatorischen Status quo sowie von Umsetzungshemmnissen basierend auf Literaturanalyse und Unternehmens- bzw. Akteursbefragung sowie Entwicklung von Anpassungsvorschlägen</t>
  </si>
  <si>
    <t>64-67; 161-162</t>
  </si>
  <si>
    <t>164-230</t>
  </si>
  <si>
    <t>sehr detaillierte Untersuchung; sehr transparente Darlegung des methodischen Vorgehens und der zentralen Annahmen und Kennwerte, u.a. durch sehr umfangreiche Anhänge; hohe Datenqualität und systematische Analyse von Fehlermaßen</t>
  </si>
  <si>
    <t>pos / neg schaltbare Leistung, Schaltdauer, Verschiebedauer, Aktivierungsdauer, variable, Bereitstellungs-, Investitions- und Fixkosten</t>
  </si>
  <si>
    <t>Primärzinkherstellung (Nasschemische Elektrolyse), Primärkupferherstellung (elektrolytische Kupferraffination), Chloralkalielektrolyse (Membranverfahren, Amalgamverfahren, Deaconverfahren, Diaphragmaverfahren), Suaerstoffherstellung (Luftverdichtung, Produktverdichtung), Primäraluminium-Schmelzflusselektrolyse, Gießereien (Induktionsofen für Aluminiumguss sowie Stahl- und Eisenguss), Elektrostahl (Elektrolichtbogenofen), Silizium-Metall (Lichtbogenofen), Graphitelektroden (Graphitierungsofen), Behälterglasindustrie (elektrische Booster), Holzstoffherstellung (Holzschleifer, TMP-Refiner), Zellstoffherstellung und Altpapier (Pulper, Zellstoffkocher, Refiner), Papiermaschinen, Zementmühlen, Rohmehlmühlen, Calciumcarbid-Herstellung (Lichtbogenofen)</t>
  </si>
  <si>
    <t>Kältemaschinen (Prozess- und Klimakälte), Kühl- und Gefriergerät, Lüftungs- und Klimatisierungsanlagen, Elektrische Wärmeerzeugung (Raum- und Prozesswärme), Beleuchtung, Druckluft, Pumpanlagen, Zerkleinerer</t>
  </si>
  <si>
    <t>11,3 GW Sommer; 13 GW Winter</t>
  </si>
  <si>
    <t>S. 5</t>
  </si>
  <si>
    <t>2001-2010</t>
  </si>
  <si>
    <t>S. 2-58</t>
  </si>
  <si>
    <t>energy &amp; meteo; Fraunhofer ISI</t>
  </si>
  <si>
    <t>BMU</t>
  </si>
  <si>
    <t>- Annahme zur (spezifischen) Leistungsaufnahme
- Annahmen zu Auslastungen und Betriebszeiten
- Annahmen zu verschiebbaren Leistungsanteilen und Verschiebezeiträumen</t>
  </si>
  <si>
    <t>S. 8-49; 59-99</t>
  </si>
  <si>
    <t>Analyse von Lastmanagementpotenzialen im GHD-Sektor:
Vorauswahl von Prozessen oberhalb definierter Größenschwelle (keine manuelle Schaltung, sondern Einbindung in automatisiert gesteuerten Pool) sowie definierter Kriterien (Einfachheit des Prozesses / der Anwendung, hinreichend großer spezifischer Leistungsbedarf je Unternehmen, begrenzte Anzahl an Unternehmen, hinreichend große nationale Potenziale, einfache Einbindung in unternehmerische Entscheidungsprozesse)
-&gt; Fokus auf Anwendungen mit mittlerem Leistungspotenzial (Prämisse, dass größere industrielle Anwendungen bereits erschlossen sind)
-&gt; In Gesamtanalyse aber auch größere Industrieprozesse berücksichtigt
Bestimmung technischer Lastmanagementpotenziale auf regionaler Ebene (Ansatz von Netzzonen):
- Abschätzung spezifischer Verbräuche und durchschnittlicher Auslastungen
- Abschätzung des flexibilisierbaren Leistungsanteils
Bestimmung von technischen Lastmanagementpotenzialen für ausgewählte Branchen / Anwendungen:
- Analyse von Lastgangdaten hinsichtlich Spitzen- / Minimal- / Bandlasten / Nutzungs- bzw. Verschiebezeiträumen
- Abschätzung von (als Energiemenge ausgewiesenen) Verschiebepotenzialen unter Berücksichtigung eventueller Speicherrestriktionen sowie Marktrahmenbedingungen (Anforderungs- bzw. Vorlaufzeiten)
- Hochrechnung von Fallbeispielen auf Gesamtbranche basierend auf spezifischen Leistungswerten
Identifikation von Möglichkeiten des Lastmanagements zum Abbau von Windprognosefehlern
Quantifizierung des Aufwands für die kommunikationstechnische Anbindung
- Identifikation wirtschaftlicher Potenziale</t>
  </si>
  <si>
    <t>S. 8-49</t>
  </si>
  <si>
    <t>pos / neg schaltbare Leistung, Verschiebedauer, Erschließungsaufwand</t>
  </si>
  <si>
    <t>8-49; 59-123</t>
  </si>
  <si>
    <t>theoretisches Potenzial; technisches Potenzial</t>
  </si>
  <si>
    <t>S. 59-99</t>
  </si>
  <si>
    <t>Fokus auf wenige Anwendungen; Abweichungen zu dena-Netzstudie lassen sich nicht zweifelsfrei begründen</t>
  </si>
  <si>
    <t>einfacher Ansatz und wenig ausführliche Beschreibung der Potenzialermittlung; Kosten-Potenzial-Kurve erstmals bestimmt und ökonomisch eingeordnet</t>
  </si>
  <si>
    <t>sehr detaillierte Bestandsaufnahme der industriellen Prozesse; weitergehende Verwertung der ermittelten Potenziale fehlt</t>
  </si>
  <si>
    <t>teilweise oberflächlich bei Gesamtpotenzialabschätzung und Inkonsistenzen mit Fallstudien; in Fallstudien deutlich differenziertere Potenzialermittlung</t>
  </si>
  <si>
    <t>Greenpeace</t>
  </si>
  <si>
    <t>Untersuchung der Potenziale von Flexibilitätsoptionen zum Ausgleich der Fluktuationen der FEE:
- Ermittlung des Bedarfs an Ausgleichsmaßnahmen durch modellgestützte Residuallastanalyse
- Systematisierung und Kurzcharakterisierung
- Potenzialabschätzung und Bewertung der Technologien anhand verschiedener Kriterien
- Aussagen zur zeitlichen Verfügbarkeit / zum Bedarf in der Energiesystemtransformation
- Analyse zur Passfähigkeit des regulatorischen Rahmens</t>
  </si>
  <si>
    <t>S. 11-14; 27-28</t>
  </si>
  <si>
    <t>Einordnung der Potenziale; Annahme zu Potenzialschmälerung</t>
  </si>
  <si>
    <t>existierende Potenzial- und Smart Meter-Studien</t>
  </si>
  <si>
    <t>28-36</t>
  </si>
  <si>
    <t>nicht aufgeschlüsselt (s. Molly et al. 2010)</t>
  </si>
  <si>
    <t>nicht aufgeschlüsselt (s. Molly et al. 2010 und andere referenzierte Quellen); v.a. Nachtspeicherheizungen und Wärmepumpen</t>
  </si>
  <si>
    <t>pos / neg schaltbare Leistung, Verschiebedauer</t>
  </si>
  <si>
    <t>technisches (bzw. technisch nutzbares) Potenzial</t>
  </si>
  <si>
    <t>MLR und UM Baden-Württemberg</t>
  </si>
  <si>
    <t>Elektromobilität, Wärmepumpen, Umwälzpumpen, Klimaanlagen, Elektrische Speicherheitzungen, Smart Meter / intelligente Geräte, Photovoltaik, Mini-/Mikro-BHKW</t>
  </si>
  <si>
    <t>Annahmen zur Durchdringung mit Wärmepumpen / Elektroautos (literaturbasiert)</t>
  </si>
  <si>
    <t>E-Energy-Projektergebnisse; existierende Potenzialabschätzungen (insbes. Molly et al. 2010, Klobasa 2013)</t>
  </si>
  <si>
    <t>Einleitung fachlich mäßig und mitunter abschweifend; Zusammenstellung existierender Potenzialabschätzungen, hauptsächlich Molly et al. (2010)</t>
  </si>
  <si>
    <t>hauptsächlich gestützt auf existierende Potenzialstudien, v.a. dena Netzstudie II, aber sehr gelungene kritische Einordnung, insgesamt (zu) stark aggregiert; überwiegend gestützt auf Molly et al. (2010)</t>
  </si>
  <si>
    <t>15-27</t>
  </si>
  <si>
    <t>1996-2013</t>
  </si>
  <si>
    <t>S. 15-16; 39-40; 46-48; 59-60</t>
  </si>
  <si>
    <t>Ermittlung von Potenzialen für Lastverschiebung im Haushaltsbereich:
- literaturbasierte Zusammenstellung
Entwicklung und multikriterielle Bewertung von Anreizsystemen für Lastverlagerung in Haushalten:
- Diskussion Anreizsysteme
- Multikriterielle Bewertung
- Abschätzung wirtschaftlicher Potenziale bei Einführung Anreizsysteme</t>
  </si>
  <si>
    <t>technisches; wirtschaftliches</t>
  </si>
  <si>
    <t>Stadler 2006</t>
  </si>
  <si>
    <t>Habilitation</t>
  </si>
  <si>
    <t>Demand Response - Nichtelektrische Speicher für Elektrizitätsversorgungssysteme mit hohem Anteil erneuerbarer Energien</t>
  </si>
  <si>
    <t>Ladwig 2018</t>
  </si>
  <si>
    <t>Demand Side Management in Deutschland zur Systemintegration erneuerbarer Energien</t>
  </si>
  <si>
    <t>Erfassung BA Stange</t>
  </si>
  <si>
    <t>Erfassung BA Odeh</t>
  </si>
  <si>
    <t>Erfassung BA Benz</t>
  </si>
  <si>
    <t>Zeitlich und regional aufgelöstes industrielles Lastflexibilisierungs-potenzial als Beitrag zur Integration Erneuerbarer Energien
(Regionale Lastmanagement-Potenziale stromintensiver Prozesse)</t>
  </si>
  <si>
    <t>Aryandoust et al. 2017</t>
  </si>
  <si>
    <t>Blum und Braun 2013</t>
  </si>
  <si>
    <t>Potentialanalyse für das Demand Side Managament im deutschen Industriesektor und die Integration in die Stromwirtschaft</t>
  </si>
  <si>
    <t>Hochschulschrift</t>
  </si>
  <si>
    <t>Steurer 2017
(Steurer et al. 2015)</t>
  </si>
  <si>
    <t>Analyse von Demand Side Integration im Hinblick auf eine effiziente und umweltfreundliche Energieversorgung
(Identifikation und Realisierung wirtschaftlicher Potenziale für Demand Side Integration in der Industrie in Deutschland)</t>
  </si>
  <si>
    <t>Dissertation
(Conference Article)</t>
  </si>
  <si>
    <t>S. 32</t>
  </si>
  <si>
    <t>Gobmaier et al. 2012</t>
  </si>
  <si>
    <t>Simulationsgestützte Prognose des elektrischen Lastverhaltens</t>
  </si>
  <si>
    <t>E.ON Energie, StMWFK und StMWIVT</t>
  </si>
  <si>
    <t>S. 2-19; 80-93</t>
  </si>
  <si>
    <t>Modellierung des zukünftigen elektrischen Lastverhaltens:
- Simulation von Stromentnahmeprozessen (Bottom-Up)
- Abgleich und Kalibrierung mit Top-Down ermittelten Referenlastgängen
- Bildung und Analyse von Szenarien zur zukünftigen Stromverbrauchsentwicklung
- Integration von schaltbaren Lasten (Lastmanagement) in Modellierungsansatz und Einsatz anhand agentenbasierter Simulation
Detaillierung der Analyse schaltbarer Lasten:
- Analyse von Vermarktungsmechanismen
- Analyse geeigneter Prozesse / Vermarktungsmechanismen
- Entwicklung von zwei Zukunftsszenarien für die Durchdringung
- Einsatz mit agentembasierten Modell (Ziel: Lastglättung)</t>
  </si>
  <si>
    <t>- Annahme von Durchdringungsraten in den Szenarien
- Annahmen von Verschiebedauern</t>
  </si>
  <si>
    <t>S. 89-91</t>
  </si>
  <si>
    <t>S. 89-90</t>
  </si>
  <si>
    <t>Ernährung, Chemieindustrie, Papierindustrie, Metallverarbeitung, Kfz, Maschinenbau, Glasindustrie, restliche Industrie (s. Roon und Gobmaier 2010)</t>
  </si>
  <si>
    <t>Kühl- und Gefriergeräte, Klimakälte</t>
  </si>
  <si>
    <t>S. 90</t>
  </si>
  <si>
    <t>schaltbare Leistung (pos. / neg.), Verschiebedauer, Durchdingungsraten</t>
  </si>
  <si>
    <t>S. 90-91</t>
  </si>
  <si>
    <t>2020, 2030</t>
  </si>
  <si>
    <t>methodisch etwas intransparent und schwer nachvollziehbar in Bezug auf technische Potenzialanalyse für Lastmanagement; insbes. hinsichtlich der verwendeten Quellen und Annahmen</t>
  </si>
  <si>
    <t>Potenzialanalyse für Lastmanagement in der energieintensiven Industrie:
- Identifikation geeigneter Prozesse
- Ermittlung des Lastmanagementpotenzials:
- Bestimmung theoretisches, technisches, wirtschaftliches und praktisch nutzbares Potenzial
- Verwendung Kapitalwertmethode nach Ertragssteuern für wirtschaftliches Potenzial
- Untersuchung zur Integrationsfähigkeit des Potenzials in die deutsche Energiewirtschaft</t>
  </si>
  <si>
    <t>S. 1; 3-4</t>
  </si>
  <si>
    <t>S. 3; S. 5-7</t>
  </si>
  <si>
    <t>Zementindustrie, Stahlherstellung, Papierindustrie, Aluminiumindustrie, Chloralkalielektrolyse (Membranverfahren und HCl-Verfahren)</t>
  </si>
  <si>
    <t>- flexibel nutzbarer Anteil (eigene Berechnung auf Basis der für DSM nutzbaren Stunden)</t>
  </si>
  <si>
    <t>S. 6</t>
  </si>
  <si>
    <t>-pos / neg schaltbare Leistung / Energiemengen</t>
  </si>
  <si>
    <t>S. 5-8</t>
  </si>
  <si>
    <t>theoretisches Potenzial; technisches Potenzial; wirtschaftliches Potenzial; praktisches / praktisch nutzbares Potenzial</t>
  </si>
  <si>
    <t>Abschätzung des technischen Potenzials intransparent; Darstellungsweise der Potenzialentwicklung über verschiedene Potenzialbegriffe sehr gut</t>
  </si>
  <si>
    <t>Henning und Sauer 2015
(Elsner et al. 2015)</t>
  </si>
  <si>
    <t>Demand-Side Management im Wärmemarkt - Technologiesteckbrief zur Analyse "Flexibilitätskonzepte für die Stromversorgung 2050"</t>
  </si>
  <si>
    <t>Fraunhofer ISE; KIT; ISEA, RWTH Aachen</t>
  </si>
  <si>
    <t>S. 6-8</t>
  </si>
  <si>
    <t>- Annahme zukünftiger Leistungszubau</t>
  </si>
  <si>
    <t>S. 12-28</t>
  </si>
  <si>
    <t>- eigene Abschätzungen</t>
  </si>
  <si>
    <t>Separate Ermittlung der Potenziale für verschiedene strombasierte Wärmebereitstellungstechnologien:
- Technologiebeschreibung
- Angabe technischer und ökonomischer Daten sowie Abschätzungen für Potenziale
- SWOT-Abschätzung, Einschätzungen zur Marktverfügbarkeit und von Forschungsbedarfen</t>
  </si>
  <si>
    <t>etwas oberflächlich; verwendete Literaturquellen und Statistiken nicht hinreichend dokumentiert</t>
  </si>
  <si>
    <t>Elektrodenheizkessel</t>
  </si>
  <si>
    <t>2011-2015</t>
  </si>
  <si>
    <t>S. 12-32</t>
  </si>
  <si>
    <t>verschiebbare Leistung / Energiemenge, Verschiebedauer</t>
  </si>
  <si>
    <t>Haasz (2017)</t>
  </si>
  <si>
    <t>Entwicklung von Methoden zur Abbildung von Demand Side Management in einem optimierenden Energiesystemmodell. Fallbeispiele für Deutschland in den Sektoren Industrie, Gewerbe, Handel, Dienstleistungen und Haushalte</t>
  </si>
  <si>
    <t>5-7; 37-54; 58-84; 85-95</t>
  </si>
  <si>
    <t>65-84</t>
  </si>
  <si>
    <t>2011-2015 (überwiegend)</t>
  </si>
  <si>
    <t>58-84</t>
  </si>
  <si>
    <t>Primäralumiumelektrolyse, Kupfer- und Zinkelektrolyse, Elektrostahlöfen, Chloralkalielektrolyse, Holzschleifer / Zellstoffherstellung</t>
  </si>
  <si>
    <t>Hybrid-Wärmeerzeugungssysteme (Widerstandserhitzer / Wärmepumpe + Erdgas-Brennwertkessel)</t>
  </si>
  <si>
    <t>Külhlschränke, Kühl- und Gefrierkombinationen, Gefriergeräte, Warmwasser</t>
  </si>
  <si>
    <t>58-60; 62; 68-81</t>
  </si>
  <si>
    <t>Verschiebeleistungen, Investitionsausgaben, fixe Kosten, variable Kosten</t>
  </si>
  <si>
    <t>technisch, (soziotechnisch), ökonomisch</t>
  </si>
  <si>
    <t>2015, 2025, 2035, 2050</t>
  </si>
  <si>
    <t>- Annahmen zu Ausstattungsgraden und Prozessspezifikatione (Leistungen, Nutzungszeiträume, Wärmeübergangskoeffizienten) für Simulationen
- (literaturbasierte) Annahmen zu Nutzerakzeptanz von Demand Side Management-Maßnahmen</t>
  </si>
  <si>
    <t>- existierende Abschätzungen und Energiesystemanalysen (v.a. Steurer et al. 2015, Schlesinger et al. 2014)
- Herstellerangaben
- technisch orientierte Paper</t>
  </si>
  <si>
    <t>Vorgehen:
- Integration von Energieeffizienz und (ausgewählten) Lastmanagementmaßnahmen in ein Energiesystemmodell (TIMES-D-DSM)
- Abbildung von Energieeffizienzmaßnahmen über Einspartechnologien
- Abbildung von Lastmanagement literaturbasiert bzw. über detaillierte thermodynamische Prozesssimulationen
- Durchführung von Szenarioanalysen unter Variation des Betrachtungsumfangs zu Energieeffizienz und Lastmanagementmaßnahmen sowie Abregelungsmöglichkeit erneuerbarer Energie und Quantifizierung von Systemkosteneffekten</t>
  </si>
  <si>
    <t>Verbundforschungsvorhaben Merit Order der Energiespeicherung im Jahr 2030, Teil 2: Technoökonomische Analyse Funktionaler Energiespeicher
(Quantifying the costs of Demand Response for industrial businesses)</t>
  </si>
  <si>
    <t>Gruber 2017</t>
  </si>
  <si>
    <t>Vorgehen zur Bestimmung der Potenziale in Technologiebericht dargelegt: (S. 1-6)
- Grundsätzliche Systembeschreibung für funktionale Energiespeicher
- übergreifende Darlegung des rechtlichen Rahmens
- Ermittlung technoökonomischer Kennwerte: Lastgänge als Grundlage für Technologien mit zeitlich variabler Verfügbarkeit
- Analyse von technischen und systemischen Rentabilitätsindizes, die Kostenersparnisse (bzw. Erlöse) in Relation zu den Kosten der funktionalen Speichertechnologie setzen und Einordnung der Ergebnisse in Ampelsystem
- Abschätzung zukünftiger Potenziale über Veränderung von Produktionsmengen und spezifischen Stromverbräuchen
Methodik zur Bestimmung von Lastmanagementpotenzialen:
Bestimmung bei Heizungsgeräten im Haushaltssektor (S. 88-94):
- Generierung von Lastprofilen anhand von Temperaturdaten und Durchdringung
- Bestimmung des spätesten möglichen Zeitpunkts des Leistungsbezugs (Bedarfsgang)
- Projektion minimaler, maximaler und Referenzentwicklung
Bestimmung bei Haushaltsgeräten (S. 128-131, 137-139):
- Regionalisierung von Gesamtstromverbräuchen mittels statistischer Daten und Ermittlung von Stromverbräuchen sowie Gerätelastgänge für Haushaltsgeräte über durchschnittliche Verbrauchsanteile und Einschaltzeitpunkte
- Berücksichtigung zeitlicher Verfügbarkeiten und Verfügbarkeitseinschränkungen durch Bestimmung von Bedarfs- (Verschiebung auf letztmöglichen Zeitpunkt, um Bedarf zu decken) und Kapazitätslastgängen (Zu jeweiligem Zeitpunkt verschiebbare Energiemenge) (S. 137-139)
Bestimmung für Industrie und GHD (v.a. S. 185-203):
- vorbereitende Metaanalyse existierender Potenzialstudien (S. 171-177)
- Abschätzung von Potenzialen bei Prozessen über Produktionsmengenen und spezifischen Verbrauch, Benutzungsstunden, Anteil der flexibilisierbaren Last
- Abschätzung von Potenzialen bei Querschnittstechnologien basierend auf eigenen Erhebungen von ca. 50 Betrieben sowie ca. 80 Experteninterviews
- Anwendung von Kriterien analog zu Klobasa et al. (2013), z.B. Mindestverbrauch
- Abschätzung zukünftiger Flexibilisierungspotenziale bei Querschnittstechnologien basierend auf potenziellen Energieeffizienzmaßnahmen und Stromverbrauchsentwicklungen
- Regionalisierung von Lastmanagementpotenzialen (S. 206-209)
- Bestimmung von Opportunitätskosten des Lastverzichts über Deckungsbeitrag zuzügl. Stromgroßhandelspreis unter Heranziehung des Stromkostenanteils an den Gesamtkosten (S. 228-232)
Grundsätzliches Vorgehen zur Bewertung funktionaler Energiespeicher in Hauptbericht dargelegt: (Teil 1, S. 3-4)
- techno-ökonomische Analyse von Speichern: Gegenstand eines separaten Berichts
- Bestimmung und Analyse von Einsatzoptionen: Zusortierung von funktionalen Energiespeichern (S. 18-19): Analyse der Eignung aus Systemsicht (Teil 1, S. 23-95); Analyse der Eignung aus Akteurssicht (Teil 1, S. 96-156)
- Ermittlung einer Merit-Order-Matrix (Teil 1, S. 17-22): Einstufung der Rentabilität aus System- bzw. Akteurssicht durch mehrstufigen Analyseprozess (Teil 1, S. 157-168)
- Long Term Market Outlook für Zukunftsprojektionen (Teil 1, S. 169-296)
- Regionenmodell: Aufbereitung von regionalen Daten für Modellläufe (Teil 1, S. 169-256)
- Energiesystemmodellierung (Teil 1, S. 257-296): Integriertes Simulationsmodell zur Anlageneinsatz- und -ausbauplanung mit Regionalisierung (LP + Datenbankkopplung)
(Gruber et al. 2014, S. 2-5:
- Ermittlung Potenziale über Benutzungsstunden, spezifischen Stromverbrauch und flexibilisierbaren Anteil der Last)</t>
  </si>
  <si>
    <t>- Produktionsstatistiken
- existierende Studien: Klobasa (2007), dena (2010), VDE (2012), …
(Gruber et al. 2014: maßgeblich basierend auf Klobasa et al. 2013 bzw. Buber et al. 2013)</t>
  </si>
  <si>
    <t>Einfluss des Demand Side Managements auf den Kraftwerkseinsatz in Europa</t>
  </si>
  <si>
    <t>Zeitschriftenaufsatz</t>
  </si>
  <si>
    <t>IAEW (RWTH Aachen(</t>
  </si>
  <si>
    <t xml:space="preserve">Potenzialanalyse für Lastmanagement:
- Ableitung von Potenzialen und Verschiebedauern aus existierenden Studien, branchenspezifischen Lastgängen und eigenen Berechnungen sowie kritischen Einordnungen
- Analyse von Effekten auf den Kraftwerkseinsatz für 2020 mittels eines Strommarktmodells
</t>
  </si>
  <si>
    <t>S. 32; 35</t>
  </si>
  <si>
    <t>- Annahmen zu Eignung von Prozessen</t>
  </si>
  <si>
    <t>S. 33</t>
  </si>
  <si>
    <t>existierende Studien (Klobasa 2007 bzw. 2009; Molly et al. 2010; Apel et al. 2012)</t>
  </si>
  <si>
    <t>s. referenzierte Untersuchungen</t>
  </si>
  <si>
    <t>Chloralkalielektrolyse, Papierindustrie, Elektrolichtbogenofen, Rohmühlen und Zementmühlen</t>
  </si>
  <si>
    <t>Kälteanwendungen, Klimatisierung</t>
  </si>
  <si>
    <t>Kühlhäuser (Lebensmittel), sonstige Kälteanwendungen, Warmwasser, Nachtspeicherheizungen, Klimatisierung</t>
  </si>
  <si>
    <t>Waschmaschinen, Trockner, Spülmaschinen, Kühlschränke, Gefriergeräte, Wärmepumpen, Warmwasser, Nachtspeicherheizungen, Klimatisierung</t>
  </si>
  <si>
    <t>verschiebbare Leistung, Verschiebedauer</t>
  </si>
  <si>
    <t>S. 33-35</t>
  </si>
  <si>
    <t>technisch, wirtschaftlich</t>
  </si>
  <si>
    <t>S. 34</t>
  </si>
  <si>
    <t>schöne kompakte Analyse; Annahmen / Datenbasis sowie Modellierungsansatz leider weitgehend intransparent</t>
  </si>
  <si>
    <t>Grote et al. 2013</t>
  </si>
  <si>
    <t>2013, 2020</t>
  </si>
  <si>
    <t>EE² TU Dresden</t>
  </si>
  <si>
    <t>Stahlindustrie: Elektrolichtbogenofen, Papierherstellung: Holzschleifer, Chlor-Alkali-Elektrolyse (Amalgam-, Diaphragma-Verfahren), Primäraluminiumelektrolyse, Zementmühlen</t>
  </si>
  <si>
    <t>Belüftung von Gebäuden, Prozesskälte, Klimaanlagen, Wärmepumpen, Nachtspeicher</t>
  </si>
  <si>
    <t>Elektrofahrzeuge</t>
  </si>
  <si>
    <t>KWK-Anlagen</t>
  </si>
  <si>
    <t>Kühl- und Gefriergeräte, Waschmaschinen, Wäschetrockner, Spülmaschinen, Elektrospeicherheizungen, Wärmepumpen, Warmwasserspeicher, Klimakälte</t>
  </si>
  <si>
    <t>Verkehr, Erzeugung und sonstige</t>
  </si>
  <si>
    <t>Warmwasser, Hybrid-Wärmepumpen</t>
  </si>
  <si>
    <t>Elektrofahrzeuge, Power-to-Heat (Elektrodenheizkessel), Power-to-Gas</t>
  </si>
  <si>
    <t>16-23</t>
  </si>
  <si>
    <t>Schaltdauer, Verschiebedauer, Schalthäufigkeit, Investitionsausgaben, variable Kosten, fixe Kosten</t>
  </si>
  <si>
    <t>23; 30</t>
  </si>
  <si>
    <t>ingesamt ähnlich gute und transparente Arbeit wie Steurer und Gils, detaillierte Analyse von Zeitverfügbarkeiten und Kosten; weniger Prozesse / Anwendungen betrachtet bzw. einige Prozesse / Anwendungen wegargumentiert</t>
  </si>
  <si>
    <t>16-23; 37-30; 42-80</t>
  </si>
  <si>
    <t>theoretisch, technisch, wirtschaftlich</t>
  </si>
  <si>
    <t>2013, 2030, 2050</t>
  </si>
  <si>
    <t>2013; Primärquellen: 2007-2014/2015</t>
  </si>
  <si>
    <t>- existierende Potenzialstudien (u.A. Molly et al. 2010, Apel et al. 2012, Gils 2014)
- Branchen- und Produktionsstatistiken
- Wetterdaten des deutschen Wetterdienstes
- Verfügbarkeit und Ladeprofile Elektromobilität aus der Literatur (u.A. Totschnig und Litzlbauer 2015; Richter und Lindenberger 2010; Heinrichs et al. 2013)</t>
  </si>
  <si>
    <t>Anzahl</t>
  </si>
  <si>
    <t>Min</t>
  </si>
  <si>
    <t>Max</t>
  </si>
  <si>
    <t>Mittelwert</t>
  </si>
  <si>
    <t>Median</t>
  </si>
  <si>
    <t>EnArgus-Recherche</t>
  </si>
  <si>
    <t>Suchbegriff: Flexibilität (+Synonyme)</t>
  </si>
  <si>
    <t>Projekt</t>
  </si>
  <si>
    <t>Laufzeit</t>
  </si>
  <si>
    <t>2017-05-01  –  2020-04-30</t>
  </si>
  <si>
    <t>Elektrizitätswerk Schweiger o.H.G., Oberding</t>
  </si>
  <si>
    <t>SPIE SAG GmbH, Dortmund</t>
  </si>
  <si>
    <t>Partner 1</t>
  </si>
  <si>
    <t>Partner 2</t>
  </si>
  <si>
    <t>Partner 3</t>
  </si>
  <si>
    <t>Bergische Universität Wuppertal - Fachbereich E - Elektrotechnik, Informationstechnik, Medientechnik - Lehrstuhl für Elektrische Energieversorgungstechnik, Wuppertal</t>
  </si>
  <si>
    <t>2020-01-01  –  2022-04-30</t>
  </si>
  <si>
    <t>Fraunhofer-Gesellschaft zur Förderung der angewandten Forschung e.V. - Fraunhofer-Institut für Energiewirtschaft und Energiesystemtechnik (IEE), Kassel</t>
  </si>
  <si>
    <t>FfE Forschungsstelle für Energiewirtschaft e.V., München</t>
  </si>
  <si>
    <t>Technische Universität München - Fakultät für Elektrotechnik und Informationstechnik - Lehrstuhl für Energiewirtschaft und Anwendungstechnik, München</t>
  </si>
  <si>
    <t>Sondervermögen Großforschung beim Karlsruher Institut für Technologie (KIT) - Institut für Technikfolgenabschätzung und Systemanalyse (ITAS), Eggenstein-Leopoldshafen</t>
  </si>
  <si>
    <t>2018-01-01  –  2020-12-31</t>
  </si>
  <si>
    <t>Fraunhofer-Institut für System- und Innovationsforschung (ISI), Karlsruhe</t>
  </si>
  <si>
    <t>2013-09-01  –  2017-08-31</t>
  </si>
  <si>
    <t>2016-09-01  –  2019-08-31</t>
  </si>
  <si>
    <t>ENTEGA AG, Darmstadt</t>
  </si>
  <si>
    <t>MVV Energie AG - Liefer- und Portfoliomanagement, Mannheim</t>
  </si>
  <si>
    <t>Energy &amp; Meteo Systems GmbH, Oldenburg</t>
  </si>
  <si>
    <t>Systematischer Vergleich von Flexibilitäts- und Speicheroptionen im deutschen Stromsystem zur Integration von Erneuerbaren Energien und Analyse entsprechender Rahmenbedingungen</t>
  </si>
  <si>
    <t>Öko-Institut. Institut für angewandte Ökologie e. V. - Bereich Energie &amp; Klimaschutz, Freiburg</t>
  </si>
  <si>
    <t>2012-03-01  –  2014-07-31</t>
  </si>
  <si>
    <t>Abfragedatum: 29.10.2019</t>
  </si>
  <si>
    <t>2017-01-01  –  2020-12-31</t>
  </si>
  <si>
    <t>FZI Forschungszentrum Informatik, Karlsruhe</t>
  </si>
  <si>
    <t>Entwicklung eines Stützfeuerungssystems auf Basis von Trockenbraunkohle zur Erhöhung der Flexibilität bestehender Dampfkraftwerke</t>
  </si>
  <si>
    <t>Brandenburgische Technische Universität Cottbus-Senftenberg - Maschinenbau, Elektro- und Energiesysteme - Institut für Elektrische und Thermische Energiesysteme - Lehrstuhl für Kraftwerkstechnik, Cottbus</t>
  </si>
  <si>
    <t>2012-12-01  –  2016-07-31</t>
  </si>
  <si>
    <t>Lausitz Energie Kraftwerke AG, Cottbus</t>
  </si>
  <si>
    <t>Verbundvorhaben: Zero Carbon Cross Energy System - Teilvorhaben: CO2-freie Flexibilität in Industrie und Gewerbe</t>
  </si>
  <si>
    <t>Trianel GmbH, Aachen</t>
  </si>
  <si>
    <t>2019-04-01  –  2021-06-30</t>
  </si>
  <si>
    <t>Verbundvorhaben: ChemEFlex - Umsetzbarkeitsanalyse zur Lastflexibilisierung elektrochemischer Verfahren in der Industrie; Teilvorhaben: Studie zur Erhöhung der Flexibilität durch unterstützende Batteriespeicher sowie durch alternative Nutzungsmöglichkeiten des Wasserstoffs</t>
  </si>
  <si>
    <t>Mitsubishi Hitachi Power Systems Europe GmbH, Duisburg</t>
  </si>
  <si>
    <t>Energiemonitoring und Informationsaustausch bei Geräten und Anlagen der Gebäude-technik zur Steigerung der Energieeffizienz sowie Optimierung der Sektorkopplung und der Bereitstellung von Flexibilität</t>
  </si>
  <si>
    <t>2017-06-20  –  2018-12-31</t>
  </si>
  <si>
    <t>co2Online gemeinnützige Beratungsgesellschaft mit beschränkter Haftung, Berlin</t>
  </si>
  <si>
    <t>Hochschule Zittau/Görlitz - Institut für Prozeßtechnik, Prozeßautomatisierung und Meßtechnik, Zittau</t>
  </si>
  <si>
    <t>Verbundvorhaben: Flex2Market - Optimierte Vermarktung von verteilten Flexibilitäten auf lokalen Flexibilitäts- und Großhandelsmärkten</t>
  </si>
  <si>
    <t>Verbund: BioVent - Lastmanagement und Systemdienstleistungsbereitstellung durch Rottebelüftungsventilatoren Bioabfall behandelnder Anlagen zum Ausgleich der fluktuierenden Erneuerbaren Energien</t>
  </si>
  <si>
    <t>Verbundvorhaben: eXtremOS - Wert von Flexibilität im Kontext der europäischen Strommarktkopplung bei extremen technologischen, regulatorischen und gesellschaftlichen Entwicklungen</t>
  </si>
  <si>
    <t>Verbundvorhaben: Gekoppelte Optimierung von Flexibilitäten in Energieerzeugung sowie Verbrauch unter Berücksichtigung der Auskopplung in andere Märkte (Wärme)</t>
  </si>
  <si>
    <t>Verbundvorhaben: Grid Integration - Technische Integration und Steuerung von marktorientierten dezentralen Flexibilitäten in einem Verteilnetzautomatisierungssystem</t>
  </si>
  <si>
    <t>Verbundvorhaben: C/sells ' Das Energiesystem der Zukunft im Sonnenbogen Süddeutschlands</t>
  </si>
  <si>
    <t>WindNODE ' Das Schaufenster für intelligente Energie aus dem Nordosten Deutschlands; Teilvorhaben: Kombination von Erzeugung, Verbrauch, Stabilität und Flexibilität unter Nutzung eines virtuellen Kraftwerks</t>
  </si>
  <si>
    <t>2016-12-01  –  2020-11-30</t>
  </si>
  <si>
    <t>Energy2market GmbH, Leipzig</t>
  </si>
  <si>
    <t>Verbundvorhaben: Schaufenster Designetz: Baukasten Energiewende - Von Einzellösungen zum effizienten System der Zukunft; Teilvorhaben: Nutzergestützten Bewertung von Flexibilitäts- und Beteiligungsoptionen im kommunalen, unternehmerischen und privaten Umfeld</t>
  </si>
  <si>
    <t>Energieagentur Rheinland-Pfalz GmbH, Kaiserslautern</t>
  </si>
  <si>
    <t>Technische Universität Hamburg - Maschinenbau - Institut für Energietechnik (IET M-5), Hamburg</t>
  </si>
  <si>
    <t>Verbundvorhaben: FlexHub - Verteiltes Flexibilitätsdatenregister für Strommärkte der Energiewende; Teilvorhaben: Flexibilitäten, verteiltes Register und effiziente Energiemärkte</t>
  </si>
  <si>
    <t>2019-01-01  –  2021-12-31</t>
  </si>
  <si>
    <t>Hochschule für Angewandte Wissenschaften Hamburg - Fakultät Technik und Informatik (TI), Hamburg</t>
  </si>
  <si>
    <t>ÖKOTEC Energiemanagement GmbH, Berlin</t>
  </si>
  <si>
    <t>Verbundvorhaben: FUSE - Future Smart Energy; Teilvorhaben: Steuerung von Flexibilitäten mittels 'Soft Control'</t>
  </si>
  <si>
    <t>2018-08-01  –  2021-07-31</t>
  </si>
  <si>
    <t>Easy Smart Grid GmbH, Karlsruhe</t>
  </si>
  <si>
    <t>Ostbayerische Technische Hochschule Regensburg - Fakultät Elektro- und Informationstechnik, Regensburg</t>
  </si>
  <si>
    <t>Rheinisch-Westfälische Technische Hochschule Aachen - Institut für Elektrische Anlagen und Energiewirtschaft, Aachen</t>
  </si>
  <si>
    <t>Karlsruher Institut für Technologie (KIT) - Institut für Industriebetriebslehre und Industrielle Produktion (IIP), Karlsruhe</t>
  </si>
  <si>
    <t>Partner 4</t>
  </si>
  <si>
    <t>Verbundvorhaben: New 4.0 Norddeutsche Energiewende; Teilvorhaben: Verbesserte Markt- und Systemintegration fluktuierender, dezentraler Anlagen durch die Kombination mit Flexibilitäten</t>
  </si>
  <si>
    <t>ARGE Netz GmbH &amp; Co. KG, Husum</t>
  </si>
  <si>
    <t>Verbundvorhaben: enera - Der nächste große Schritt der Energiewende; Teilvorhaben: Flexibilitätsuntersuchungen sowie Betriebs- und Zukunftsszenarien des Netzes unter dem Einsatz realer Flexibilitäten</t>
  </si>
  <si>
    <t>DLR-Institut für Vernetzte Energiesysteme e.V., Oldenburg</t>
  </si>
  <si>
    <t>Fraunhofer-Institut für Experimentelles Software Engineering (IESE), Kaiserslautern</t>
  </si>
  <si>
    <t>Verbundprojekt: COOREFLEX-Turbo: 4.3.8 &lt;Erhöhung der Flexibilität des Dampfturbinenbetriebs durch Verbesserung des Teillastverhaltens von Regelventilen&gt;</t>
  </si>
  <si>
    <t>2013-07-01  –  2016-06-30</t>
  </si>
  <si>
    <t>Siemens Aktiengesellschaft - Power &amp; Gas - Abt. PG SU R&amp;D TEC COT 1, Mülheim</t>
  </si>
  <si>
    <t>Entwicklung eines Windkraft Hochfundamentes; Optimierung von konventionellen Windkraftfundamenten/Türmen im Bezug auf Flexibilität, Transport, Höhe, Aussteifung und Kosten</t>
  </si>
  <si>
    <t>passend?</t>
  </si>
  <si>
    <t>ja</t>
  </si>
  <si>
    <t>nein</t>
  </si>
  <si>
    <t>FITT-Institut für Technologietransfer an der Hochschule für Technik und Wirtschaft des Saarlandes gemeinnützige GmbH, Saarbrücken</t>
  </si>
  <si>
    <t>2011-11-01  –  2014-12-31</t>
  </si>
  <si>
    <t>Verbundthema: Erhöhung der Flexibilität durch elektrische Zündung von Kraftwerksbrennern; Teilthema: Technische und wirtschaftliche Bewertung verschiedener elektrischer Zündsysteme</t>
  </si>
  <si>
    <t>2016-07-01  –  2018-06-30</t>
  </si>
  <si>
    <t>PlasmaAir AG Oxidative Abgasbehandlung und Plasmasysteme, Weil der Stadt</t>
  </si>
  <si>
    <t>Universität Stuttgart - Fakultät 4 Energie-, Verfahrens- und Biotechnik - Institut für Grenzflächenverfahrenstechnik und Plasmatechnologie (IGVP), Stuttgart</t>
  </si>
  <si>
    <t>Universität Stuttgart - Fakultät 4 Energie-, Verfahrens- und Biotechnik - Institut für Feuerungs- und Kraftwerkstechnik (IFK), Stuttgart</t>
  </si>
  <si>
    <t>EnEff:Wärme - Der Beitrag thermischer Speicher zur Steigerung der Energieeffizienz, Flexibilität und Wirtschaftlichkeit der Fernwärme- und Stromerzeugung in KWK-Anlagen</t>
  </si>
  <si>
    <t>2013-07-01  –  2016-12-31</t>
  </si>
  <si>
    <t>Technische Universität Berlin - Fakultät III - Prozesswissenschaften - Institut für Energietechnik - Fachgebiet Energietechnik und Umweltschutz, Berlin</t>
  </si>
  <si>
    <t>ITB - Institut für Innovation, Transfer und Beratung gemeinnützige GmbH - Transferstelle für Rationelle und Regenerative Energienutzung, Bingen</t>
  </si>
  <si>
    <t>Technische Universität Dortmund - Fakultät für Elektrotechnik und Informationstechnik - Institut für Energiesysteme, Energieeffizienz und Energiewirtschaft, Dortmund</t>
  </si>
  <si>
    <t>Partner 5</t>
  </si>
  <si>
    <t>Partner 6</t>
  </si>
  <si>
    <t>Partner 7</t>
  </si>
  <si>
    <t>Partner 8</t>
  </si>
  <si>
    <t>Ramboll Deutschland GmbH, München</t>
  </si>
  <si>
    <t>Verbundvorhaben: Netzwerkanalyse und Simulation von Innovationsdynamiken neuer Schlüsseltechnologien im Energiebereich (InnoSEn) - Teilvorhaben: Identifikation und Zusammenhänge von Schlüsseltechnologien für Flexibilität im Energiesektor</t>
  </si>
  <si>
    <t>2016-09-01  –  2020-02-28</t>
  </si>
  <si>
    <t>Rheinisch-Westfälische Technische Hochschule Aachen - Fakultät 6 - Elektrotechnik und Informationstechnik - Institut für Stromrichtertechnik und Elektrische Antriebe (ISEA), Aachen</t>
  </si>
  <si>
    <t>Verbundvorhaben: RegEnZell - Zellenübergreifende Regionalisierung der Energieversorgung durch betriebsoptimierte Sektorenkopplung; Teilvorhaben: Einbindung verteilter Flexibilitäten zur Optimierung der Zellen durch ein virtuelles Kraftwerk</t>
  </si>
  <si>
    <t>2019-04-01  –  2022-03-31</t>
  </si>
  <si>
    <t>Transferstelle Bingen im Institut für Innovation, Transfer und Beratung gemeinnützige GmbH, Bingen</t>
  </si>
  <si>
    <t>Berliner Verkehrsbetriebe (BVG), Berlin</t>
  </si>
  <si>
    <t>Fraunhofer-Institut für offene Kommunikationssysteme (FOKUS), Berlin</t>
  </si>
  <si>
    <t>Verbundvorhaben: PV-Kraftwerk2025 - Innovationen für die nächste Generation PV-Kraftwerke: Neue Bauelemente, Systemlösungen u. Wechselrichter für eine kostengünstige u. netzdienliche Stromversorgung; Teilvorhaben: Modulare Stromrichter für PV-Großkraftwerke für einfache Systemarchitektur u. hohe Flexibilität</t>
  </si>
  <si>
    <t>2017-10-01  –  2020-09-30</t>
  </si>
  <si>
    <t>Universität Kassel - Kompetenzzentrum für Dezentrale Elektrische Energieversorgungstechnik - Fachgebiet Elektrische Energieversorgungssysteme, Kassel</t>
  </si>
  <si>
    <t>Verbundvorhaben: flexQgrid - Praxisorientierte Umsetzung des quotenbasierten Netzampelkonzeptes zur Flexibilitätsnutzung im und aus dem Verteilnetz; Teilvorhaben: Wirk- und Blindleistungsbereitstellung an überlagerte Spannungsebenen</t>
  </si>
  <si>
    <t>2019-11-01  –  2022-10-31</t>
  </si>
  <si>
    <t>Universität Stuttgart - Fakultät 5 Informatik, Elektrotechnik und Informationstechnik - Institut für Energieübertragung und Hochspannungstechnik, Stuttgart</t>
  </si>
  <si>
    <t>GreenCycle Umweltmanagement GmbH, Neckarsulm</t>
  </si>
  <si>
    <t>Verbundvorhaben INTEEVER-II: Analyse der Integration erneuerbarer Energien in Deutschland und Europa unter Berücksichtigung der Versorgungssicherheit und dezentraler Flexibilitäten</t>
  </si>
  <si>
    <t>2018-11-01  –  2021-10-31</t>
  </si>
  <si>
    <t>Deutsches Zentrum für Luft- und Raumfahrt e.V. - Standort Stuttgart - Institut für Technische Thermodynamik, Stuttgart</t>
  </si>
  <si>
    <t>Netze BW GmbH, Stuttgart</t>
  </si>
  <si>
    <t>Verbundvorhaben: Flex4Energy - Flexibilitätsmanagement für die Energieversorgung der Zukunft, Teilvorhaben: Pilotsystem</t>
  </si>
  <si>
    <t>2015-04-01  –  2018-03-31</t>
  </si>
  <si>
    <t>ads-tec GmbH, Nürtingen</t>
  </si>
  <si>
    <t>Kiwigrid GmbH, Dresden</t>
  </si>
  <si>
    <t>Marktdesign für zukunftsfähige Elektrizitätsmärkte unter besonderer Berücksichtigung der vermehrten Einspeisung von Regenerativen Energien ' DESIRE</t>
  </si>
  <si>
    <t>2012-01-01  –  2014-06-30</t>
  </si>
  <si>
    <t>BET Büro für Energiewirtschaft und technische Planung GmbH, Aachen</t>
  </si>
  <si>
    <t>Universität Duisburg-Essen - Fakultät für Wirtschaftswissenschaften - Lehrstuhl für Energiewirtschaft, Essen</t>
  </si>
  <si>
    <t>EnStadt: QUARREE100: Verbundvorhaben: Resiliente, integrierte und systemdienliche Energieversorgungssysteme im städtischen Bestandsquartier unter vollständiger Integration erneuerbarer Energien ' Rüsdorfer Kamp (QUARREE100): Quartiersspezifische Flexibilitätsoptionen von Elektrolyseuren</t>
  </si>
  <si>
    <t>2017-11-01  –  2022-10-31</t>
  </si>
  <si>
    <t>AREVA H2Gen GmbH, Köln</t>
  </si>
  <si>
    <t>Verbundvorhaben: RELflex - Erneuerbare Energien und Lastflexibilität in der Industrie; Teilvorhaben: Dynamisches Energiemanagementsystem zur optimalen Steuerung von flexiblen Lasten und erneuerbaren Energien im Produktionsbetrieb</t>
  </si>
  <si>
    <t>2018-12-01  –  2021-05-31</t>
  </si>
  <si>
    <t>Fraunhofer-Institut für Fabrikbetrieb und -automatisierung IFF, Magdeburg</t>
  </si>
  <si>
    <t>Hochschule Magdeburg-Stendal (FH), Magdeburg</t>
  </si>
  <si>
    <t>StoREgio GmbH, Ludwigshafen am Rhein</t>
  </si>
  <si>
    <t>Fraunhofer-Institut für Angewandte Informationstechnik (FIT), Sankt Augustin</t>
  </si>
  <si>
    <t>ENERTRAG Aktiengesellschaft, Schenkenberg</t>
  </si>
  <si>
    <t>EAM EnergiePlus GmbH, Kassel</t>
  </si>
  <si>
    <t>Verbundvorhaben: DESPRIMA - Demand-Side-Management und Produktionsmanagement für Getränkeabfüllprozesse; Teilvorhaben: DSM- Energiemonitoring und Flexibilitätsanalyse</t>
  </si>
  <si>
    <t>2019-07-01  –  2022-06-30</t>
  </si>
  <si>
    <t>Universität Bremen - Fachbereich 01 Physik/Elektrotechnik - Institut für Automatisierungstechnik (IAT), Bremen</t>
  </si>
  <si>
    <t>Next Kraftwerke GmbH, Köln</t>
  </si>
  <si>
    <t>Verbundvorhaben: MuSeKo - Modellbasierte Analyse der Integration erneuerbarer Stromüberschüsse durch die Kopplung der Stromversorgung mit Wärme-, Gas- und Verkehrssektor - TV: Entwicklungspfade einer Elektrifizierung der Erdgasinfrastrukturanlagen als Flexibilitätsoption zur Steigerung der Integratio</t>
  </si>
  <si>
    <t>2016-07-01  –  2019-12-31</t>
  </si>
  <si>
    <t>Gas- und Wärme-Institut Essen e. V., Essen</t>
  </si>
  <si>
    <t>Karlsruher Institut für Technologie (KIT) - Institut für Elektroenergiesysteme und Hochspannungstechnik, Karlsruhe</t>
  </si>
  <si>
    <t>Verbundvorhaben ADOSAN-LXB: LowEx-Konzepte für die Wärmeversorgung von Mehrfamilien-Bestandsgebäuden; Entwicklung einer Gasadsorptionswärmepumpe für die Bestandssanierung; Teilvorhaben: Gasflexibilität und Gerätevermessung</t>
  </si>
  <si>
    <t>DVGW-Forschungsstelle am Engler-Bunte-Institut des Karlsruher Instituts für Technologie (KIT), Karlsruhe</t>
  </si>
  <si>
    <t>Limón GmbH, Kassel</t>
  </si>
  <si>
    <t>Verbundvorhaben: FlexEuro - Wirtschaftliche Optimierung flexibler stromintensiver Industrieprozesse, Teilvorhaben: Parametrisierung und Integration</t>
  </si>
  <si>
    <t>2019-09-01  –  2022-08-31</t>
  </si>
  <si>
    <t>TRIMET Aluminium SE, Essen</t>
  </si>
  <si>
    <t>Thermochemischer Energiespeicher für thermische Kraftwerke und industrielle Wärme</t>
  </si>
  <si>
    <t>2014-01-01  –  2018-06-30</t>
  </si>
  <si>
    <t>Technische Universität München - Fakultät für Maschinenwesen - Lehrstuhl für Energiesysteme, Garching b.München</t>
  </si>
  <si>
    <t>Hochschule Darmstadt, Darmstadt</t>
  </si>
  <si>
    <t>Verbundvorhaben: EOM-Plus - Analyse der kurz- und mittelfristigen Auswirkungen von markbasierten Engpassinstrumenten als regionale und temporäre Ergänzung zum bestehenden Energy-Only-Marktdesign; Teilvorhaben: Verteilnetzebene</t>
  </si>
  <si>
    <t>Technische Hochschule Ingolstadt - Zentrum für Angewandte Forschung (ZAF), Ingolstadt</t>
  </si>
  <si>
    <t>Likron GmbH, München</t>
  </si>
  <si>
    <t>RWTH Aachen - Institut für Hochspannungstechnik (IFHT), Aachen</t>
  </si>
  <si>
    <t>Verbundvorhaben: EG2050: Demonstration von Flexibilitätsoptionen im Gebäudesektor und deren Interaktion mit dem Energiesystem Deutschlands - FlexGeber; Teilvorhaben: Demonstration der Flexibilitätserschließung in Nichtwohngebäuden mit Industriebetrieb bei Hermann Peter KG - DemoHP</t>
  </si>
  <si>
    <t>2017-10-01  –  2021-01-31</t>
  </si>
  <si>
    <t>Hermann Peter KG Baustoffwerke, Rheinau</t>
  </si>
  <si>
    <t>Taifun-Tofu GmbH, Freiburg im Breisgau</t>
  </si>
  <si>
    <t>Enit Energy IT Systems GmbH, Freiburg im Breisgau</t>
  </si>
  <si>
    <t>Institut für Klimaschutz, Energie und Mobilität - Recht, Ökonomie und Politik e.V. (IKEM), Berlin</t>
  </si>
  <si>
    <t>Wuppertal Institut für Klima, Umwelt, Energie gGmbH, Wuppertal</t>
  </si>
  <si>
    <t>Fraunhofer-Institut für Solare Energiesysteme (ISE), Freiburg im Breisgau</t>
  </si>
  <si>
    <t>TenneT TSO GmbH, Bayreuth</t>
  </si>
  <si>
    <t>Institut Wohnen und Umwelt Gesellschaft mit beschränkter Haftung, Darmstadt</t>
  </si>
  <si>
    <t>Decision Trees GmbH (schweizerischen Rechts), München</t>
  </si>
  <si>
    <t>Entelios AG, München</t>
  </si>
  <si>
    <t>Verbundvorhaben: UP-STRING - 1500 V Multi-MPPT String Wechselrichter mit kostenoptimierter Schaltungstopologie; Teilvorhaben: Auslegung, Regelung und Analyse der Topologie</t>
  </si>
  <si>
    <t>SolarMax Produktions GmbH - Standort Burgau, Burgau</t>
  </si>
  <si>
    <t>STEAG GmbH, Essen</t>
  </si>
  <si>
    <t>Verbundvorhaben: Flex_Verdi - Flexible Verdichter; Teilvorhaben: Robuste kombinierte Optimierung von Leitschaufeln, Abdichtung und Rotor für einen breiten Betriebsbereich eines industriellen Verdichters</t>
  </si>
  <si>
    <t>2018-09-01  –  2021-08-31</t>
  </si>
  <si>
    <t>Technische Universität München - Fakultät für Maschinenwesen - Lehrstuhl für Turbomaschinen und Flugantriebe, Garching</t>
  </si>
  <si>
    <t>Verbundvorhaben: Plattform zur Synchronisation des regionalen Stromverbrauchs industrieller Anwender mit dezentraler Energieerzeugung in der Modellregion Aachen - Teilvorhaben: Verbrauchsprognose für energieintensive Verbraucher der Stahlindustrie und Entwicklung von energieflexiblen Produktionsplanungsmethoden</t>
  </si>
  <si>
    <t>2015-08-01  –  2018-10-31</t>
  </si>
  <si>
    <t>PSI Metals GmbH, Düsseldorf</t>
  </si>
  <si>
    <t>EnOB: smart-Case-NZEB - Flexible Wärmepumpen mit integriertem Latentwärmespeicher; Teilprojekt: Geräteentwicklung und kältetechnische Anwendung</t>
  </si>
  <si>
    <t>2018-10-01  –  2021-09-30</t>
  </si>
  <si>
    <t>Cabero Wärmetauscher GmbH &amp; Co. KG, Grafrath</t>
  </si>
  <si>
    <t>Hochschule für angewandte Wissenschaften München - Fakultät 05 Versorgungs- und Gebäudetechnik, Verfahrenstechnik Papier und Verpackung, Druck- und Medientechnik, München</t>
  </si>
  <si>
    <t>PFALZWERKE AKTIENGESELLSCHAFT, Ludwigshafen am Rhein</t>
  </si>
  <si>
    <t>Steinbeis Innovation gGmbH - Steinbeis Innovationszentrum energie+, Braunschweig</t>
  </si>
  <si>
    <t>Universität Kassel - Fachbereich 15 Maschinenbau - Institut für Thermische Energietechnik (ITE) - FG Solar- und Anlagentechnik, Kassel</t>
  </si>
  <si>
    <t>MVV Netze GmbH, Mannheim</t>
  </si>
  <si>
    <t>2018-06-01  –  2021-05-30</t>
  </si>
  <si>
    <t>Verbundvorhaben: EnEff:Wärme - Smart Thermal Subgrid: Effiziente und erneuerbare Gestaltung von Subnetzen - Umsetzung eines systemischen Ansatzes am Beispiel des Konversionsgebiets Benjamin Franklin Village / Mannheim; Teilvorhaben: Funktionale Gebäudeenergiesysteme zur Kopplung mit effizienten Wärme-Subnetzen</t>
  </si>
  <si>
    <t>PSI Automotive &amp; Industry GmbH, Berlin</t>
  </si>
  <si>
    <t>Mainzer Stadtwerke AG, Mainz</t>
  </si>
  <si>
    <t>PHI-Factory: Flexible elektrische Fabriknetzführung zur systemübergreifenden Steigerung der Energieeffizienz unter den Anforderungen zukünftiger Verteilnetze mit regenerativer Energieerzeugung, Teilprojekt: Bestandaufnahme Adam Opel AG und Übertragung der wirtschaftlichen Projektergebnisse auf die Adam Opel AG</t>
  </si>
  <si>
    <t>2016-12-01  –  2020-03-31</t>
  </si>
  <si>
    <t>Opel Automobile GmbH, Rüsselsheim am Main</t>
  </si>
  <si>
    <t>EnEff:Wärme - ZellFlex: Identifikation urbaner Zellstrukturen für flexible Wärme- und Temperaturverteilungen in Wärmenetzen</t>
  </si>
  <si>
    <t>Technische Universität Dresden - Fakultät Maschinenwesen - Institut für Energietechnik - Professur für Gebäudeenergietechnik und Wärmeversorgung,</t>
  </si>
  <si>
    <t>2019-05-01  –  2022-04-30</t>
  </si>
  <si>
    <t>TransDE: Transformation der Infrastruktur Deutschlands bis zum Jahr 2050 im Einklang mit der Energiewende aller Verbrauchssektoren - Teilvorhaben: Analyse und Modellentwicklung zur gasseitigen Entwicklung der Bereitstellung, Infrastruktur und Nachfrage</t>
  </si>
  <si>
    <t>DBI Gas- und Umwelttechnik GmbH - Fachgebiet EVS, Freiberg</t>
  </si>
  <si>
    <t>Verbundvorhaben: MOCVD4.2 - Optimierte Produktion von Verbindungshalbleitern für erhöhte Wirkungsgrade in der Energieversorgung; Teilvorhaben: Konzeption und industrielle Bewertung</t>
  </si>
  <si>
    <t>AZUR SPACE Solar Power GmbH, Heilbronn</t>
  </si>
  <si>
    <t>Fraunhofer-Institut für Techno- und Wirtschaftsmathematik (ITWM), Kaiserslautern</t>
  </si>
  <si>
    <t>Verbundvorhaben SynErgie: Synchronisierte und energieadaptive Produktionstechnik zur flexiblen Ausrichtung von Industrieprozessen auf eine fluktuierende Energieversorgung. X1_Linde: Erforschung und Demonstration von Industrieprozessen und Produktionssystemen im Hinblick auf energetische Nachfrageflexibilität</t>
  </si>
  <si>
    <t>2016-09-01  –  2019-10-31</t>
  </si>
  <si>
    <t>Linde Aktiengesellschaft - Engineering, Pullach</t>
  </si>
  <si>
    <t>Zentrum für Sonnenenergie- und Wasserstoff-Forschung Baden-Württemberg (ZSW), Stuttgart</t>
  </si>
  <si>
    <t>Verbundvorhaben: SmartCell - Intelligente Überwachung einer Solarzellenfertigung; Teilvorhaben: Datenbankstrukturen und Kernkomponenten des modularen Digitalisierungskonzeptes</t>
  </si>
  <si>
    <t>2019-01-01  –  2021-06-30</t>
  </si>
  <si>
    <t>IMPLANT: Verbesserte Genauigkeit von Lebensdauerbewertungsmethoden für Gasturbinenmaterialen unter Berücksichtigung relevanter mehrachsiger Ermüdungsbeanspruchungen</t>
  </si>
  <si>
    <t>Technische Universität Darmstadt - Zentrum für Konstruktionswerkstoffe - Staatliche Materialprüfungsanstalt Darmstadt - FG und Institut für Werkstoffkunde, Darmstadt</t>
  </si>
  <si>
    <t>SWW Wunsiedel GmbH, Wunsiedel</t>
  </si>
  <si>
    <t>Partner 9</t>
  </si>
  <si>
    <t>Partner 10</t>
  </si>
  <si>
    <t>EnEff:Wärme SmartProHeaT: Smart Prosumer Heating Technologies, Teilvorhaben: Integration of smart prosumers into smart thermal grids</t>
  </si>
  <si>
    <t>2018-09-01  –  2021-03-31</t>
  </si>
  <si>
    <t>Hochschule für Angewandte Wissenschaften Hamburg - Energiecampus, Hamburg</t>
  </si>
  <si>
    <t>Schleswig-Holstein Netz AG, Quickborn</t>
  </si>
  <si>
    <t>Verbundvorhaben: ZellNetz2050 - Simulation des Aufbaus zellularer Energienetzstrukturen; Teilvorhaben: Untersuchung und Modellierung von Technologiepiloten im zellularen System</t>
  </si>
  <si>
    <t>Technische Universität Dresden - Fakultät Elektrotechnik und Informationstechnik - Institut für Elektrische Energieversorgung und Hochspannungstechnik - Professur für Elektroenergieversorgung, Dresden</t>
  </si>
  <si>
    <t>Mitteldeutsche Netzgesellschaft Strom mbH, Kabelsketal</t>
  </si>
  <si>
    <t>Verbundvorhaben: GaIN ' Gewinnbringende Partizipation der mittelständischen Industrie am Energiemarkt der Zukunft; Teilvorhaben GVS: Entwicklung Community basierter Marktplätze und Dienstleistungen</t>
  </si>
  <si>
    <t>2019-12-01  –  2022-11-30</t>
  </si>
  <si>
    <t>GasVersorgung Süddeutschland GmbH, Stuttgart</t>
  </si>
  <si>
    <t>Technische Werke Ludwigshafen am Rhein Aktiengesellschaft, Ludwigshafen am Rhein</t>
  </si>
  <si>
    <t>Verbundvorhaben:_EnEff:Wärme: IQDortmund: Konzeptionierung eines integrierten Wärmenetzes zur sektorenübergreifenden Quartiersversorgung in Dortmund Teilvorhaben: Simulation und Modellierung des Betriebs elektrischer Netze</t>
  </si>
  <si>
    <t>2019-09-01  –  2022-04-30</t>
  </si>
  <si>
    <t>Verbundvorhaben: Entwicklung von architektonisch hoch integrierten Fassadenkollektoren mit Heatpipes (ArKol); Teilvorhaben: Integration des Streifenkollektors in Fassaden mit WDVS und deren Realisierung in Demonstratoren.</t>
  </si>
  <si>
    <t>2016-01-01  –  2019-12-31</t>
  </si>
  <si>
    <t>DAW SE, Ober-Ramstadt</t>
  </si>
  <si>
    <t>Priedemann Facade-Lab GmbH, Großbeeren</t>
  </si>
  <si>
    <t>Bewertung des Einsatzes von Elektrobussen mit Dezentraler Ladeinfrastruktur in Metropolen am Beispiel der HOCHBAHN</t>
  </si>
  <si>
    <t>2014-10-01  –  2016-12-31</t>
  </si>
  <si>
    <t>Hochschule für Angewandte Wissenschaften Hamburg, Hamburg</t>
  </si>
  <si>
    <t>Hamburger Hochbahn Aktiengesellschaft, Hamburg</t>
  </si>
  <si>
    <t>Universität Duisburg-Essen, Essen</t>
  </si>
  <si>
    <t>Verbundvorhaben: ProKoMo - Bessere Preisprognosen in der Energiewirtschaft durch Kombination von fundamentalen und stochastischen Modellen, Teilvorhaben: Stochastifizierung</t>
  </si>
  <si>
    <t>Karlsruher Institut für Technologie (KIT) - Institut für Operations Research Analytics and Statistics, Karlsruhe</t>
  </si>
  <si>
    <t>Brandenburgische TU Cottbus-Senftenberg - Fachgebiet Energiewirtschaft, Cottbus</t>
  </si>
  <si>
    <t>EnEff:Stadt: EnbA-M: Energienetz Berlin Adlershof; Teilvorhaben: Mathematische Optimierung zur Steuerung von Energienetzen</t>
  </si>
  <si>
    <t>2018-04-01  –  2021-03-31</t>
  </si>
  <si>
    <t>Konrad-Zuse-Zentrum für Informationstechnik Berlin (ZIB), Berlin</t>
  </si>
  <si>
    <t>Verbundvorhaben EnEff:Wärme - Technische Gebrauchsdaueranalyse von Wärmenetzen unter Berücksichtigung volatiler erneuerbarer Energien - Schwerpunkte: Koordination, PUR-Schaum, Systembauteile, Praxismessungen, integrale Betrachtung</t>
  </si>
  <si>
    <t>2015-10-01  –  2019-05-31</t>
  </si>
  <si>
    <t>AGFW-Projektgesellschaft für Rationalisierung, Information und Standardisierung mbH, Frankfurt am Main</t>
  </si>
  <si>
    <t>MicrobEnergy GmbH, Schwandorf</t>
  </si>
  <si>
    <t>Technische Universität Berlin - Fakultät III - Prozesswissenschaften - Institut für Energietechnik - Fachgebiet Maschinen- und Energieanlagentechnik - Sekr. KT 2, Berlin</t>
  </si>
  <si>
    <t>StoREgio Energiespeichersysteme e.V., Ludwigshafen am Rhein</t>
  </si>
  <si>
    <t>Verbundvorhaben: Netzbetreiberübergreifendes Blindleistungsmanagement in Verteilnetzen (RPC2); Teilvorhaben: Blindleistungsmanagementsysteme und Testinfrastrukturen</t>
  </si>
  <si>
    <t>2017-08-01  –  2020-10-31</t>
  </si>
  <si>
    <t>Verbundvorhaben: NewBeam - Entwicklung eines neuartigen Multifunktions-Werkstückträgers und seiner Herstellungs- und Einsatztechnologie für die ressourcen- und kosteneffiziente Herstellung von Solarwafern; Teilvorhaben: Vieldrahtsägeprozess mit Multifunktions-Werkstückträger.</t>
  </si>
  <si>
    <t>2017-08-01  –  2020-01-31</t>
  </si>
  <si>
    <t>PV Crystalox Solar Silicon GmbH, Erfurt</t>
  </si>
  <si>
    <t>Verbundvorhaben: NetzDatenStrom - Standardkonforme Integration quelloffener Big Data-Lösungen in existierende Netzleitsysteme; Teilvorhaben BTC: Konzipierung und Validierung von standardkonformen Schnittstellen</t>
  </si>
  <si>
    <t>2016-10-01  –  2018-12-31</t>
  </si>
  <si>
    <t>BTC Business Technology Consulting AG, Oldenburg</t>
  </si>
  <si>
    <t>Universität zu Lübeck - Institut für Multimediale und Interaktive Systeme (IMIS), Lübeck</t>
  </si>
  <si>
    <t>OFFIS e.V., Oldenburg</t>
  </si>
  <si>
    <t>Verbundprojekt: ECOFLEX-Turbo: 4.3.4b; Teilvorhaben: Bestimmung von Wärmeübergangskoeffizienten in Turbinenseitenräumen unter Nassdampfbedingungen</t>
  </si>
  <si>
    <t>2017-11-01  –  2020-10-31</t>
  </si>
  <si>
    <t>Universität Duisburg-Essen - Campus Duisburg - Fakultät Ingenieurwissenschaften - Abteilung Maschinenbau - Strömungsmaschinen, Duisburg</t>
  </si>
  <si>
    <t>AG Turbo COOREFLEX-turbo Vorhaben 4.3.10 - Vorwärmung von Dampfturbinenkomponenten</t>
  </si>
  <si>
    <t>2014-08-01  –  2017-12-31</t>
  </si>
  <si>
    <t>Rheinisch-Westfälische Technische Hochschule Aachen - Fakultät 4 - Maschinenwesen - Lehrstuhl und Institut für Dampf- und Gasturbinen, Aachen</t>
  </si>
  <si>
    <t>Volkswagen AG - Abteilung Konzernforschung Energieträger (K-GERAK/E, Kst. 1778), Wolfsburg</t>
  </si>
  <si>
    <t>ADDITIVE Soft- und Hardware für Technik und Wissenschaft GmbH, Friedrichsdorf</t>
  </si>
  <si>
    <t>Verbundvorhaben: EnerWing_xM - Konzeption und Auslegung der Flügeltechnologie für systemdienliche Flugwindkraftanlagen der Megawatt-Klasse; Teilvorhaben: Aerodynamische Analyse und Optimierung von Hochauftriebskonfigurationen für Flügel mit multiplen Betriebspunkten</t>
  </si>
  <si>
    <t>Technische Universität Berlin - Fakultät V - Verkehrs- und Maschinensysteme - Institut für Strömungsmechanik und Technische Akustik (ISTA) - FG Experimentelle Strömungsmechanik, Berlin</t>
  </si>
  <si>
    <t>Verbundvorhaben: E2Fuels - Modul1 Strombasierte Kraftstoffe und Energiesystemanalysen - Teilvorhaben: E2Fuels - Elektrolyse und elektrochemische Synthesen</t>
  </si>
  <si>
    <t>Fraunhofer-Institut für Fertigungstechnik und Angewandte Materialforschung (IFAM) - Institutsteil Dresden, Dresden</t>
  </si>
  <si>
    <t>Kisters AG, Oldenburg</t>
  </si>
  <si>
    <t>Siemens Aktiengesellschaft - CT REE ENS DEH-DE, Erlangen</t>
  </si>
  <si>
    <t>Rheinisch-Westfälische Technische Hochschule Aachen - E.ON Energy Research Center - Lehrstuhl für Gebäude- und Raumklimatechnik, Aachen</t>
  </si>
  <si>
    <t>Arte Möbel GmbH, Magdeburg</t>
  </si>
  <si>
    <t>Verbundvorhaben: Optisys - Optimaler Anteil und Systembeitrag von Bioenergie in gekoppelten Elektrizitäts- und KWK-Systemen in Deutschland; Teilvorhaben: Systemische Analyse flexibler Bioenergieanlagen unter Berücksichtigung von Sektorkopplungen</t>
  </si>
  <si>
    <t>2017-09-01  –  2019-12-31</t>
  </si>
  <si>
    <t>Universität Stuttgart - Fakultät 4 Energie-, Verfahrens- und Biotechnik - Institut für Energiewirtschaft und rationelle Energieanwendung (IER), Stuttgart</t>
  </si>
  <si>
    <t>Fraunhofer-Institut für Produktionstechnik und Automatisierung (IPA), Stuttgart</t>
  </si>
  <si>
    <t>Verbundvorhaben: Effektive Rahmenbedingungen für einen kostenoptimalen EE-Ausbau mit komplementären dezentralen Flexibilitätsoptionen im Elektrizitätssektor; Teilvorhaben: Fundamentale Elektrizitätsmarktanalyse dezentraler Flexibilitätsoptionen</t>
  </si>
  <si>
    <t>2016-03-01  –  2019-04-30</t>
  </si>
  <si>
    <t>Universität Stuttgart - Institut für Energiewirtschaft und Rationelle Energieanwendung, Stuttgart</t>
  </si>
  <si>
    <t>DIALOGIK gemeinnützige Gesellschaft für Kommunikations- und Kooperationsforschung mbH, Stuttgart</t>
  </si>
  <si>
    <t>Definition und Umsetzung von Anforderungen an das zukunftsfähige hochflexible, energieeffiziente und emissionsarme Kohlekraftwerk, Teilprojekt: Optimierung von Kessel- und Turbinenkomponenten PP4F</t>
  </si>
  <si>
    <t>2015-12-01  –  2016-10-31</t>
  </si>
  <si>
    <t>GE Boiler Deutschland GmbH, Stuttgart</t>
  </si>
  <si>
    <t>Verbundvorhaben EnEff:Wärme - Technische Gebrauchsdaueranalyse von Wärmenetzen unter Berücksichtigung volatiler erneuerbarer Energien - Schwerpunkt: Böden</t>
  </si>
  <si>
    <t>Leibniz Universität Hannover - Fakultät für Bauingenieurwesen und Geodäsie - Institut für Geotechnik, Hannover</t>
  </si>
  <si>
    <t>Verbundprojekt: COOREFLEX-Turbo: 1.2.10 Detaillierte Untersuchung des Teillastverhaltens von Radialverdichtern für den flexiblen Kraftwerksbetrieb</t>
  </si>
  <si>
    <t>2015-06-01  –  2018-05-31</t>
  </si>
  <si>
    <t>Rheinisch-Westfälische Technische Hochschule Aachen - Fakultät 4 - Maschinenwesen - Lehrstuhl und Institut für Strahlantriebe und Turboarbeitsmaschinen, Aachen</t>
  </si>
  <si>
    <t>Verbundvorhaben: EnEff:Wärme - BBFly: Transformation eines Bestandsnetzes und innovatives Lastmanagement diversifizierter nichtfossiler Wärmeerzeuger - Teilvorhaben: Konzeption und Monitoring</t>
  </si>
  <si>
    <t>2019-06-01  –  2022-05-31</t>
  </si>
  <si>
    <t>Technische Universität Dresden - Fakultät Maschinenwesen - Institut für Energietechnik - Professur für Gebäudeenergietechnik und Wärmeversorgung, Dresden</t>
  </si>
  <si>
    <t>Stadtwerke Böblingen GmbH &amp; Co. KG, Böblingen</t>
  </si>
  <si>
    <t>Dr. Riedel Automatisierungstechnik GmbH, Berlin</t>
  </si>
  <si>
    <t>Borderstep Institut für Innovation und Nachhaltigkeit gemeinnützige GmbH, Berlin</t>
  </si>
  <si>
    <t>Verbundvorhaben EnEff:Wärme - Technische Gebrauchsdaueranalyse von Wärmenetzen unter Berücksichtigung volatiler erneuerbarer Energien - Schwerpunkt: Wirtschaftliche Betrachtungen</t>
  </si>
  <si>
    <t>50Hertz Transmission GmbH, Berlin</t>
  </si>
  <si>
    <t>BenFlex2 - Techno-ökonomisches Benchmarking flexibler erneuerbarer Kraftwerke und alternativer Flexibilitätsoptionen (Energiespeicher und das Abschalten von EE)</t>
  </si>
  <si>
    <t>2017-07-01  –  2019-03-31</t>
  </si>
  <si>
    <t>Verbundvorhaben: Zquadrat - ZEBRA Technologie für Zelle und Modul; Teilvorhaben: Entwicklung einer Technik zur farblich Anpassbarkeit von Solarmodulen auf Basis der vom ISC entwickelten ZEBRA Zelle</t>
  </si>
  <si>
    <t>SUNOVATION Produktion GmbH, Elsenfeld</t>
  </si>
  <si>
    <t>Verbundvorhaben: PEPA - Bestimmung, Vorhersage und Reduzierung von PE-/PA-Strömen in Netzen mit hohem Anteil von Frequenzumrichtern; Teilvorhaben: Messtechnische und Simulationsgestützte Untersuchung von PE-/PA-Strömen und Entwurf von Filter-/Reduktionsmaßnahmen</t>
  </si>
  <si>
    <t>Block Transformatoren-Elektronik GmbH, Verden (Aller)</t>
  </si>
  <si>
    <t>HanseWerk Natur GmbH, Hamburg</t>
  </si>
  <si>
    <t>EWE NETZ GmbH, Oldenburg</t>
  </si>
  <si>
    <t>Verbundprojekt: COOREFLEX-Turbo: 4.1.6a Optimierung der teilbeaufschlagten Regelstufe einer Industriedampfturbine - Teil A</t>
  </si>
  <si>
    <t>2016-01-01  –  2019-06-30</t>
  </si>
  <si>
    <t>MAN Energy Solutions SE, Oberhausen</t>
  </si>
  <si>
    <t>Fraunhofer-Institut für Fertigungstechnik und Angewandte Materialforschung (IFAM), Bremen</t>
  </si>
  <si>
    <t>EnerKite GmbH, Kleinmachnow</t>
  </si>
  <si>
    <t>Verbundvorhaben: HyForPV - Hybride Solarstrahlungsvorhersagen und skalierbare Rechenverfahren für die Systemintegration und Vermarktung von PV-Strom; Teilvorhaben: Universität Stuttgart</t>
  </si>
  <si>
    <t>Universität Stuttgart - Höchstleistungsrechenzentrum Stuttgart (HLRS), Stuttgart</t>
  </si>
  <si>
    <t>Verbundvorhaben: OVANET2.0 - Systemeffizienz und Systemsicherheit auf dem Weg zum vermaschten AC-DC-Übertragungsnetz; Teilvorhaben: Protection Zones und sicherer bi-/monopolarer Betrieb von HGÜ-Overlaynetzen</t>
  </si>
  <si>
    <t>Technische Universität Ilmenau - Fakultät für Elektrotechnik und Informationstechnik - Institut für Elektrische Energie- und Steuerungstechnik - Fachgebiet Elektrische Energieversorgung, Ilmenau</t>
  </si>
  <si>
    <t>Verbundvorhaben: eco4wind - Echtzeitbetriebsführung für moderne Windenergieanlagen; Teilvorhaben: Robustheit und hardwarenahe Funktionsauswertung</t>
  </si>
  <si>
    <t>2017-01-01  –  2019-12-31</t>
  </si>
  <si>
    <t>Ruhr-Universität Bochum - Fakultät Maschinenbau - Institut product and service engineering - Lehrstuhl für Regelungstechnik und Systemtheorie, Bochum</t>
  </si>
  <si>
    <t>Stadtwerke Hennigsdorf GmbH, Hennigsdorf</t>
  </si>
  <si>
    <t>Verbundvorhaben: DC-Industrie - Intelligentes offenes DC-Netz in der Industrie für hocheffiziente Sys-temlösungen mit elektrischen Antrieben; Teilvorhaben Universität Stuttgart: Energetische Flexibilisierung der Produktion</t>
  </si>
  <si>
    <t>2016-07-01  –  2019-09-30</t>
  </si>
  <si>
    <t>Universität Stuttgart - Fakultät 4 Energie-, Verfahrens- und Biotechnik - Institut für Energieeffizienz in der Produktion (EEP), Stuttgart</t>
  </si>
  <si>
    <t>Verbundprojekt: ECOFLEX-Turbo: 1.1.16; Teilvorhaben: Untersuchung von Verdichterstufen mit verringerter Rotorschaufelzahl und variabler Statorteilung</t>
  </si>
  <si>
    <t>2017-12-01  –  2020-11-30</t>
  </si>
  <si>
    <t>TU Dresden - Fakultät Maschinenwesen, Institut für Strömungsmechanik, Professur für Turbomaschinen und Flugantriebe, Dresden</t>
  </si>
  <si>
    <t>Berechnung des Tropfenverhaltens in Niederdruckstufen von Dampfturbinen unter Berücksichtigung der Kondensation; BMWI-Verbundprogramm COOREFLEX-turbo, Teilvorhaben-Nummer: 4.1.9 B</t>
  </si>
  <si>
    <t>2015-10-01  –  2019-12-31</t>
  </si>
  <si>
    <t>Verbundprojekt: Intelligente Steuerungs- und Verschaltungskonzepte für modulare Elektrofahrzeug-Batteriesysteme zur Steigerung der Effizienz und Sicherheit sowie zur Senkung der Systemkosten;TV: Optimierung des Energiemanagements von Fahrzeugen mit Lithium-Ionen Starter- und Bordnetzbatterien</t>
  </si>
  <si>
    <t>2015-09-01  –  2017-05-31</t>
  </si>
  <si>
    <t>Audi Electronics Venture GmbH, Gaimersheim</t>
  </si>
  <si>
    <t>Verbundvorhaben: EnEff:Wärme - Smart Heat Grid Hamburg: Ein intelligentes Wärmenetz für Hamburg Wilhelmsburg und Transfer intelligenter Maßnahmen für Großwärmenetze - Schwerpunkt: IKT-Konzepte</t>
  </si>
  <si>
    <t>eNeG Gesellschaft für wirtschaftlichen Energieeinsatz m.b.H ., Hamburg</t>
  </si>
  <si>
    <t>HAMBURG ENERGIE GmbH, Hamburg</t>
  </si>
  <si>
    <t>Software Aktiengesellschaft, Darmstadt</t>
  </si>
  <si>
    <t>EnEff:Stadt, CleanTechCampus Garching - Entwicklung ganzheitlich optimierter, nachhaltiger und übertragbarer Energiekonzepte für komplexe Mischgebiete am Beispiel der TUM Campus Garching - Teilprojekt 2: Optimierung und Weiterentwicklung der Wärme- und Kälteinfrastruktur.</t>
  </si>
  <si>
    <t>2016-05-01  –  2019-10-31</t>
  </si>
  <si>
    <t>Bayerisches Zentrum für Angewandte Energieforschung, e.V. - Bereich Energiespeicherung (ES), Garching b.München</t>
  </si>
  <si>
    <t>Stadtwerk Haßfurt GmbH, Haßfurt</t>
  </si>
  <si>
    <t>Verbundvorhaben: PtM - Power-to-Methanol; Teilvorhaben: TU Freiberg</t>
  </si>
  <si>
    <t>2018-10-01  –  2020-03-31</t>
  </si>
  <si>
    <t>Technische Universität Bergakademie Freiberg - Fakultät für Chemie und Physik - Institut für Technische Chemie, Freiberg</t>
  </si>
  <si>
    <t>Ausgewertet: Seiten 1-20 (von 76)</t>
  </si>
  <si>
    <t>Titel</t>
  </si>
  <si>
    <t>- Annahmen zu Schalt- und Verschiebedauern
- Annahmen zu max. Abrufhäufigkeit
- Annahmen zu Kosten
- Annahmen zu Auslastungen / Verbrauchsprofilen
- Verbräuche im GHD- und Haushaltssegment sowie Lastprofile
- Annahmen zu Ladeleistungen bei Elektromobilität und Anschlussraten der Fahrzeuge
- Annahmen zu zukünftiger Durchdringung / Verbrauchsentwicklung von lastmanagementfähigen Verbrauchern (z.B. zukünftige Industrieproduktion, Rückgang Nachtspeicherheizungen, stärkere Durchdringung Wärmepumpen)
- Annahmen zu spezifischen Verbräuchen
- Annahme, dass Lastreduktions- und Lasterhöhungspotenziale im Fall der Lastverschiebung symmetrisch ausfallen
- Annahme zu Bereitstellungsalternative bei Power-to-Heat</t>
  </si>
  <si>
    <t>23; 30; 46-61; 117; 202; 203</t>
  </si>
  <si>
    <t xml:space="preserve">Abschätzung des Systembeitrags von Lastmanagementmaßnahmen:
- Potenzialabschätzung und Bewertung von Lastverschiebung, Lastreduktion und Lasterhöhung mittels eines Strommarktmodells (ELTRAMOD)
- Auswahl geeigneter Verbraucher anhand der Kriterien hoher Stromverbrauch, Aufweisen von Flexibilität im Strombezug, keine bzw. nur geringfügige Einschränkung des Komforts, Zugriffsmöglichkeit auf Anwendungen / Prozesse
- Metaanalyse für existierende Potenzialabschätzungen (Klobasa 2007, Molly et al. 2010, Paulus und Borggrefe 2011, Elberg et al. 2012, Apel et al. 2012, Gils 2015)
- Bottom-Up-Ermittlung des Potenzials je Anwendung / Prozess:
- Industrie: Abschätzung über jährliche Produktion und prozessspezifischen StV; stündlicher StV über Profil / Vollbenutzungsstunden; Ermittlung stündliches Lastmanagementpotenzial über flexibilisierbaren Lastanteil
- GHD: Abschätzung Stromnachfrage über geschätzte Prozessnachfrage und Anteil der Lastmanagementanwendung an Prozessnachfrage; Ermittlung installierte Leistung über Vollbenutzungsstunden; Annahme Lastprofile, Berücksichtigung von Temperaturdaten
- Wärmepumpen und Nachtspeicher: Ermittlung Lastgang über äquivalente Tagesmitteltemperaturen für acht repräsentattive Netzgebiete
- Warmwasser und Kühlanwendungen: Abschätzung anhand typischer Tageslastgänge
- Elektromobilität: Ermittlung des Potenzials anhand Strombedarf (spezifischer Verbrauch, Batteriewirkungsgrad), Ladeprofil und Ladeverfügbarkeit unter Annahme von Marktdurchdringungsraten
- Prognose für Potenzialentwicklung bis 2050:
-&gt; Referenzentwicklung sowie untere und obere Abschätzung; Bottom-Up-Projektion
- Abschätzung für Lasterhöhungspotenziale aus Power-to-Gas und Power-to-Heat mittels Elektrodenheizkesseln für Energiesystem mit 60 bzw. 80 % EE-Anteil:
- Abschätzung des integrierbaren Überschussstroms für Power-to-Gas und des Potentials zur Umsetzung in H2: Abschätzung der erzeugbaren Energiemengen bei vollständiger bzw. anteiliger Umwandlung von EE-Überschüssen in H2
- Abschätzung des Potenzials zur Integration von Elektroheizkesseln in Fernwärmenetze: Entwicklung eines synthetischen Wärmelastgangs, Dimensionierung über Wärmelastspitze zu Zeiten eines EE-Überangebots
- Einsatz von Power-to-Heat und Power-to-Gas bei Strompreisen unterhalb derer diese günstiger sind als angenommene fossile Bereitstellungsalternative (Erdgas-Spitzenlastkessel bzw. Erdgas)
Strommarktmodellierung mit ELTRAMOD:
- Analyse von Szenarien mit 60 % und 80 % EE sowie vollständigem bzw. halbem Potenzial an Lastmanagement
- Modellerweiterung um die Abbildung der betrachteten Lastmanagementmaßnahmen
- Modellvalidierung anhand Realdaten und Literatureinordnung
- Analyse von Sensitivitäten i.S. unterschiedlicher Berücksichtigung von Lastmanagementmaßnahmen
</t>
  </si>
  <si>
    <t>S. 4-7; 16; 41-43; 44-45; 47-61; 75-80; 81-123; 126-127</t>
  </si>
  <si>
    <t>Lüftungsanlagen, Kühl- und Gefriergeräte im LEH</t>
  </si>
  <si>
    <t>Druckluft</t>
  </si>
  <si>
    <t>Nachtspeicher, elektrische Warmwasserbereitstellung, Kühl- und Gefriergeräte, Warmwasserbereitstellung, Wärmepumpen</t>
  </si>
  <si>
    <t>- existierende Studien und Gutachten
- Branchenstatistiken</t>
  </si>
  <si>
    <t>29-194</t>
  </si>
  <si>
    <t>positives und negatives Regel(leistungs)potenzial in Abhängigkeit der Bereitstellungsdauer sowie in Abhängigkeit der Außentemperatur (falls anwendbar); verschiebbare Energiemengen</t>
  </si>
  <si>
    <t>Daten aus Diagrammen nicht bzw. nur beschwerlich extrahierbar; detaillierte Betrachtung von Thermosensibilitäten und thermodynamischen Wechselwirkungen; methodisches Vorgehen jedoch mitunter intransparent; keine Aussagen zu zeitlicher Verfügbarkeit von Potenzialen, da Ermittlung im Vergleich mit als konstant angenommener Durchschnittslast erfolgt</t>
  </si>
  <si>
    <t>- Annahme zum Raumverhalten / Wärmeübergang sowie zur Dimensionierung elektrischer Speichertechnologien
- Annahmen zum nutzbaren Anteil von Warmwasserspeichern
- Annahmen zum Regelungsverhalten, zum Wirkungsgrad sowie zu Schadstoffbelastungsgrenzen bei Lüftungsanlagen; Annahme zu Referenzanlage
- Annahmen zu Temperaturspreizung bei Kühlschränken und Gefriergeräten
- Annahme einer tolerablen Temperaturdifferenz in Gebäuden
- Annahme, dass Heizgrenztemperatur normalverteilt je nach Gebäudebestand
- Annahme zu Druckniveau der Druckluftbereitstellung</t>
  </si>
  <si>
    <t>44-45; 63-64; 81; 84; 88-89; 104; 129; 138; 159-160</t>
  </si>
  <si>
    <t>Analyse der (temperaturabhängigen) technischen Potenziale für Demand Response im Anlagenbestand mittels thermodynamischer Simulationsmodelle für den Einsatz in Regelleistungsmärkten:
- Grubndsätzlich Abschätzung des positiven und negativen Regel(leistungs)potenzials über Abweichungen gegenüber der durchschnittlichen, als konstant bzw. temperaturabhängig unterstellten Auslastung
- Nachtspeicher: Simulation des Wärmeübertragungsverhaltens und Abschätzung über Durchdringungsraten und Stromverbräuche sowie potenzielle Nutzungszeiträume (S. 38-53)
- Elektrische Warmwasserversorgung: Berücksichtigung von Geräten mit Warmwasserspeichern; Abschätzung basierend auf Durchdringungsrate und Stromverbräuchen; keine Temeraturabhängigkeit der Potenziale betrachtet (S. 62.69)
- Lüftungsanlagen: Entwicklung eines (vereinfachten) Raummodells zur Ermittlung des elektrischen Speicherpotenzials von Lüftungsanlagen; Abschätzung von Lastmanagementpotenzialen über angenommene Referenzanlage (S. 73-97)
- Kühl- und Gefrieranlagen: Abschätzung für Haushalte über thermodynamisches Kühlschranksimulationsmodell und Abgleich mit Messungen an einer realen Versuchsanlage; Ansatz für Gefriergeräte analog (S. 109-114, 114-116); Erweiterung des Modells zur Simulation von Kühl- und Gefrieranwendungen um Komponente zur Beschreibung des Wärmeeintrags im Lebensmitteleinzelhandel (S. 119-121)
- Umwälzpumpen für Warmwasserheizung: Verzicht auf detaillierte Gebäudesimulation; Abschätzung über elektrischen Energieaufwand, Durchdringung mit Umwälzpumen sowie Betriebsdauern (S. 138-140)
- Druckluft: thermodynamisches Modell für Druckluft sowie grobe Kostenschätzung in Abhängigkeit des Druckes; ökonomischer Fokus auf drehzahlvariablem Betrieb von Druckluftanlagen (S. 159-162)
- Weiße Ware: Abschätzung über Nutzungszeiträume (Prior 1997) (S. 168-169)</t>
  </si>
  <si>
    <t>38-45; 48-53; 62-69; 73-97; 104-116; 119-121; 168-169</t>
  </si>
  <si>
    <t>751-755</t>
  </si>
  <si>
    <t>Waschmaschine, Trcokner, Spülmaschine, Ofen, Kühlschrank, Grefiergeräte, Warmwasserbereitung, elektrische Direktheizung, elektrische Speicherheizung, Umwälzpumpen (Heizung)</t>
  </si>
  <si>
    <t>Chlor-Alkali-Elektrolyse, Luftzerlegung, Primäraluminiumelektrolyse, Kuper-Zink-Elektrolyse, Papier, Elektrostahlherstellung, Zement</t>
  </si>
  <si>
    <t>762-765</t>
  </si>
  <si>
    <t>2010-2016</t>
  </si>
  <si>
    <t>- Industrie: Annahme eines konstanten Verbrauchsprofils für betrachtete Prozesse
- Annahme flexibilisierbarer Lastanteile, wo keine Literaturangaben vorhanden sind
- Annahmen zu Verschiebedauern
- Annahme zu Abrufhäufigkeit (einmal alle vier Stunden)</t>
  </si>
  <si>
    <t>S. 751, 752; 755; 762-764</t>
  </si>
  <si>
    <t>Analyse des technischen Lastmanagementpotenzials für Deutschland unter Berücksichtigung verschiedener Zeitskalen sowie sozioökonomischer Akzeptanzlimitationen:
- Abschaltung und Wiederzuschaltung des Potenzials während Zeiten eines negativen Regelleistungsbedarfs zur Vermeidung eines zusätzlichen Regelleistungsbedarfs durch nachteilige Beeinträchtigung der Systembilanz
- Erzeugung von Lastverschiebepotenzialen basierend auf historischen bzw. simulierten Lastprofildaten in sekündlicher Auflösung
- Betrachtung von Verschiebeleistung, Verschiebedauer, Anknüdigungsvorlauf für Anwendungszwecke Residuallastausgleich und Systemdienstleistungen (Regelleistung)
- Generierung von sektoralen Lastprofilen in einem Bottom-Up-Ansatz:
- Haushalte: Generierung von Lastprofilen für Datensets von bis zu 1.000 Punkten (Haushalten); Skalierung auf nationalen Gesamtverbrauch
- Industrie: Annahme eines konstanten Verbrauchsprofils / durchgängigen Betriebs basierend auf Literaturangaben zu durchschnittlichen Auslastungen sowie Reduzierbarkeiten und Verschiebedauern
- Extraktion des Lastverschiebungspotenzialprofils in einem Top-Down-Verfahren:
- Untergliederung in Lastverschiebungsmaßnahmen mit und ohne Vorankündigungsnotwendigkeit
- Abschätzung der verschiebbaren Leistung je Kategorie: ohne Vorankündigung: Verschiebungen von 1 min bis 45 min; mit: Verschiebungen von 0,5 h bis 24 h; Multipllikation des Lastprofils mit Anteil der flexibilisierbaren Leistung
- Abschätzung eines minimalen und eines maximalen Verschiebepotenzials: Minimum: nur Prozesse ohne Vorankündigung; Maximum: alls Prozesse sowie jeweils längste mögliche Verschiebedauern
- Simulation eines 100 % EE-Szenarios für Deutschland und Betrachtung der Anwendungsfälle 1) Momentanreserve und PRL, 2) SRL und MRL, 3) Glättung von Residuallastgradienten, 4) Residuallastdeckung; nur initialer Lastverzicht betrachtet
- Einsatzplanung basierend auf dem anlegbaren Vorhersagehorizont: Greedy-Algorithmus / Heuristik für Ermittlung eines lokalen Optimums für Kurzfristeinsatzfälle zur Regelleistungsbereitstellung 1) und 2); numerische optimale Lösung für Einsatzfälle 3) und 4)</t>
  </si>
  <si>
    <t>sehr detaillierte zeitliche Betrachtung, aber zugleich auf grobe Annahmen sowie sozialwissenschaftliche Erkenntnisse gestützt, die eigentlich nicht den angestrebten Detaillierungsgrad aufweisen; keine Aussagen zu alternativen Bereitstellungsformen für Regelleistung bzw. Residuallasten und keine Angaben zu Kosten</t>
  </si>
  <si>
    <t>Gils 2014</t>
  </si>
  <si>
    <t>Gils 2016</t>
  </si>
  <si>
    <t>Gils 2015</t>
  </si>
  <si>
    <t>Balancing of Intermittent Renewable Power Generation by Demand Response and Thermal Energy Storage</t>
  </si>
  <si>
    <t>Assessment of the theoretical demand response potential in Europe, in: Energies, Vol. 57, S. 1-18; )</t>
  </si>
  <si>
    <t>Economic potential for future demand response in Germany – Modeling approach and case study, in: Applied Energy, Vol. 162, S. 401-415</t>
  </si>
  <si>
    <t>The potential and usefulness of demand response to provide electricity system services, in: Applied Energy, Vol. 2014, S. 749–766</t>
  </si>
  <si>
    <t>ETH Zürich, Departement Umweltsystemwissenschaften, Gruppe Klimaschutz und -anpassung</t>
  </si>
  <si>
    <t>Hochschule Karlsruhe - Technik und Wirtschaft</t>
  </si>
  <si>
    <t>DLR, Institut für Technische Thermodynamik</t>
  </si>
  <si>
    <t>IAEW (RWTH Aachen)</t>
  </si>
  <si>
    <t>Dissertation / Monografie</t>
  </si>
  <si>
    <t>BET; Trianel</t>
  </si>
  <si>
    <t>Gruber et al. 2014</t>
  </si>
  <si>
    <t xml:space="preserve">Pellinger und Schmid 2016
</t>
  </si>
  <si>
    <t>Verbundforschungsvorhaben Merit Order der Energiespeicherung im Jahr 2030, Teil 2: Technoökonomische Analyse Funktionaler Energiespeicher</t>
  </si>
  <si>
    <t>Universität Kassel, Fachbereich Elektrotechnik</t>
  </si>
  <si>
    <t>Steurer et al. 2015</t>
  </si>
  <si>
    <t>Steurer 2017</t>
  </si>
  <si>
    <t>Analyse von Demand Side Integration im Hinblick auf eine effiziente und umweltfreundliche Energieversorgung</t>
  </si>
  <si>
    <t>Identifikation und Realisierung wirtschaftlicher Potenziale für Demand Side Integration in der Industrie in Deutschland</t>
  </si>
  <si>
    <t>Conference Article</t>
  </si>
  <si>
    <t>IER; Trianel</t>
  </si>
  <si>
    <t>Studie
(Conference Article)</t>
  </si>
  <si>
    <t>Regionale Lastmanagement-Potenziale stromintensiver Prozesse</t>
  </si>
  <si>
    <t>Fokus auf Lastmanagement</t>
  </si>
  <si>
    <t>Fokus LMM</t>
  </si>
  <si>
    <t>unter anderem</t>
  </si>
  <si>
    <t>nein, nur einer der Betrachtungsaspekte</t>
  </si>
  <si>
    <t>Unternehmensbefragungen / Interviews</t>
  </si>
  <si>
    <t>Bottom-Up-Abschätzung</t>
  </si>
  <si>
    <t>Top-Down-Abschätzung</t>
  </si>
  <si>
    <t>Methode</t>
  </si>
  <si>
    <t>X</t>
  </si>
  <si>
    <t>(X)</t>
  </si>
  <si>
    <t>Publikation(en)</t>
  </si>
  <si>
    <t>Häufigkeit</t>
  </si>
  <si>
    <t>Industrie - Prozesse ursprünglich</t>
  </si>
  <si>
    <t>Industrie - Prozesse zusammengefasst</t>
  </si>
  <si>
    <t>Industrie - QST ursprünglich</t>
  </si>
  <si>
    <t>Industrie - QST zusammengefasst</t>
  </si>
  <si>
    <t>Aluminiumelektrolyse</t>
  </si>
  <si>
    <t>Holzschleifer (Papier)</t>
  </si>
  <si>
    <t>Chlorelektrolyse</t>
  </si>
  <si>
    <t>Elektrostahlöfen</t>
  </si>
  <si>
    <t>Zementmühlen</t>
  </si>
  <si>
    <t>Papiermaschinen</t>
  </si>
  <si>
    <t>Chlor-Alkali-Elektrolyse</t>
  </si>
  <si>
    <t>Luftzerlegung</t>
  </si>
  <si>
    <t>Primäraluminiumelektrolyse</t>
  </si>
  <si>
    <t>Kuper-Zink-Elektrolyse</t>
  </si>
  <si>
    <t>Elektrostahlherstellung</t>
  </si>
  <si>
    <t>Chloralkalielektrolyse (Membranverfahren und HCl-Verfahren)</t>
  </si>
  <si>
    <t>Zement (Roh- und Zementmühlen)</t>
  </si>
  <si>
    <t>Hilfsspalte Kategorie</t>
  </si>
  <si>
    <t>2a</t>
  </si>
  <si>
    <t>2b</t>
  </si>
  <si>
    <t>5a</t>
  </si>
  <si>
    <t>Metallbearbeitung - Wärmebehandlung (Induktionsofen, Widerstandsofen)</t>
  </si>
  <si>
    <t>Giessereien (Induktionsofen, Lichtbogenofen, Widerstandsofen)</t>
  </si>
  <si>
    <t>Elektro-Stahlherstellung</t>
  </si>
  <si>
    <t>Papierindustrie (Schleifer, Refiner, Pulper)</t>
  </si>
  <si>
    <t>NE-Metallindustrie (Alu, Kupfer, Zink-Blei -&gt; Schmelzflusselektrolyse, Affinierung)</t>
  </si>
  <si>
    <t>Primäralumiumelektrolyse</t>
  </si>
  <si>
    <t>Kupferelektrolyse</t>
  </si>
  <si>
    <t>Zinkelektrolyse</t>
  </si>
  <si>
    <t>Chloralkalielektrolyse</t>
  </si>
  <si>
    <t>mechanische Holzzerfaserung</t>
  </si>
  <si>
    <t>Altpapieraufbereitung</t>
  </si>
  <si>
    <t>Roh- und Zementmühlen</t>
  </si>
  <si>
    <t>Rohmühlen und Zementmühlen</t>
  </si>
  <si>
    <t>Holzschleifer / Zellstoffherstellung</t>
  </si>
  <si>
    <t>Gasverflüssigung</t>
  </si>
  <si>
    <t>Zink</t>
  </si>
  <si>
    <t>Zementindustrie</t>
  </si>
  <si>
    <t>Stahlherstellung</t>
  </si>
  <si>
    <t>Papierindustrie</t>
  </si>
  <si>
    <t>Aluminiumindustrie</t>
  </si>
  <si>
    <t>Ernährung</t>
  </si>
  <si>
    <t>Chemieindustrie</t>
  </si>
  <si>
    <t>Metallverarbeitung</t>
  </si>
  <si>
    <t>Kfz</t>
  </si>
  <si>
    <t>Maschinenbau</t>
  </si>
  <si>
    <t>Glasindustrie</t>
  </si>
  <si>
    <t>Elektrolichtbogenofen</t>
  </si>
  <si>
    <t>Holzschleifer</t>
  </si>
  <si>
    <t>Refiner</t>
  </si>
  <si>
    <t>Kupfer- und Zinkelektrolyse</t>
  </si>
  <si>
    <t>Holzstoffherstellung</t>
  </si>
  <si>
    <t>Zellstoffherstellung</t>
  </si>
  <si>
    <t>Zement- und Rohmühlen</t>
  </si>
  <si>
    <t>Zellstoffproduktion</t>
  </si>
  <si>
    <t>Gießereien</t>
  </si>
  <si>
    <t>Chlorherstellung</t>
  </si>
  <si>
    <t>Stahlindustrie: Elektrolichtbogenofen</t>
  </si>
  <si>
    <t>Papierherstellung: Holzschleifer</t>
  </si>
  <si>
    <t>Papierherstellung</t>
  </si>
  <si>
    <t>Schmelzofen</t>
  </si>
  <si>
    <t>Kupfer</t>
  </si>
  <si>
    <t>Papierrecycling</t>
  </si>
  <si>
    <t>Chlor-Alkali-Elektrolyse (Amalgam-, Diaphragma-Verfahren)</t>
  </si>
  <si>
    <t>Calciumcarbid-Herstellung (Lichtbogenofen)</t>
  </si>
  <si>
    <t>Primärzinkherstellung (Nasschemische Elektrolyse)</t>
  </si>
  <si>
    <t>Primärkupferherstellung (elektrolytische Kupferraffination)</t>
  </si>
  <si>
    <t>Chloralkalielektrolyse (Membranverfahren, Amalgamverfahren, Deaconverfahren, Diaphragmaverfahren)</t>
  </si>
  <si>
    <t>Primäraluminium-Schmelzflusselektrolyse</t>
  </si>
  <si>
    <t>Gießereien (Induktionsofen für Aluminiumguss sowie Stahl- und Eisenguss)</t>
  </si>
  <si>
    <t>Elektrostahl (Elektrolichtbogenofen)</t>
  </si>
  <si>
    <t>Silizium-Metall (Lichtbogenofen)</t>
  </si>
  <si>
    <t>Graphitelektroden (Graphitierungsofen)</t>
  </si>
  <si>
    <t>Behälterglasindustrie (elektrische Booster)</t>
  </si>
  <si>
    <t>Holzstoffherstellung (Holzschleifer, TMP-Refiner)</t>
  </si>
  <si>
    <t>Zellstoffherstellung und Altpapier (Pulper, Zellstoffkocher, Refiner)</t>
  </si>
  <si>
    <t>Fördertechnik</t>
  </si>
  <si>
    <t>Recyclingindustrie (Zerkleinerer)</t>
  </si>
  <si>
    <t>2c</t>
  </si>
  <si>
    <t>Calciumcarbidproduktion</t>
  </si>
  <si>
    <t>WZ-Klassifikation</t>
  </si>
  <si>
    <t>7a</t>
  </si>
  <si>
    <t>7b</t>
  </si>
  <si>
    <t>C17</t>
  </si>
  <si>
    <t>Herstellung von Papier, Pappe und Waren daraus</t>
  </si>
  <si>
    <t>C17.11</t>
  </si>
  <si>
    <t>Herstellung von Holz- und Zellstoff</t>
  </si>
  <si>
    <t>C17.12</t>
  </si>
  <si>
    <t>Herstellung von Papier, Karton und Pappe</t>
  </si>
  <si>
    <t>1+7</t>
  </si>
  <si>
    <t>16a</t>
  </si>
  <si>
    <t>Aluminiumelektrolyseöfen</t>
  </si>
  <si>
    <t>Papierherstellung, Elektrostahlherstellung: Schmelzofen (Elektrolichtbogenofen), Chlorelektrolyse, Zement: Rohgestein-u. Klinkermühlen, Behälterglasindustrie: Scherbenaufbereitung, Schmelzwannen, Aluminiumelektrolyseöfen, Luftzerlegung</t>
  </si>
  <si>
    <t>Sauerstoffherstellung (Luftverdichtung, Produktverdichtung)</t>
  </si>
  <si>
    <t>2a+2c</t>
  </si>
  <si>
    <t>Elektrostahlherstellung (Lichtbogenofen)</t>
  </si>
  <si>
    <t>Rohgestein- und Klinkermühlen</t>
  </si>
  <si>
    <t>Zementherstellung</t>
  </si>
  <si>
    <t>Kupfer- und Zinkherstellung (Elektrolyse)</t>
  </si>
  <si>
    <t>Metallindustrie: Warmhalte-/Schmelzofen</t>
  </si>
  <si>
    <t>8+9</t>
  </si>
  <si>
    <t>Metallbearbeitung (Wärmebehandlung)</t>
  </si>
  <si>
    <t>Gießereien (Induktionsofen)</t>
  </si>
  <si>
    <t>Ernährungsindustrie gesamt</t>
  </si>
  <si>
    <t>Chemieindustrie gesamt</t>
  </si>
  <si>
    <t>Kfz-Industrie gesamt</t>
  </si>
  <si>
    <t>Maschinenbau gesamt</t>
  </si>
  <si>
    <t>Glasindustrie gesamt</t>
  </si>
  <si>
    <t>Druckluftanwendungen</t>
  </si>
  <si>
    <t>Zusammengesetzt: Aluminium, Chlor, Papier, Stahl, Zement</t>
  </si>
  <si>
    <t>Druckluft, Fördertechnik, Querschnittstechnologien</t>
  </si>
  <si>
    <t>Behälterglasindustrie</t>
  </si>
  <si>
    <t>Holzstoff- und Zellstoffherstellung</t>
  </si>
  <si>
    <t>GHD - QST / Branchen ursprünglich</t>
  </si>
  <si>
    <t>Vorgehen bei der Auswertung von Publikationen - Methodenvergleich</t>
  </si>
  <si>
    <t>1.</t>
  </si>
  <si>
    <t>2.</t>
  </si>
  <si>
    <t>Schließung von Datenlücken durch Angaben in weiteren Publikationen die referenziert werden (insbes. Jahre der Datenbasis)</t>
  </si>
  <si>
    <t>Zusammenstellung des Rohdatenmaterials</t>
  </si>
  <si>
    <t>Auswertung Bibliographie</t>
  </si>
  <si>
    <t>Extraktion der bibliographischen Angaben aus Tabelle "Gesamtueberblick"</t>
  </si>
  <si>
    <t>Zusammenstellung aller Daten auf dem Tabellenblatt "Gesamtueberblick"</t>
  </si>
  <si>
    <t>3.</t>
  </si>
  <si>
    <t>Extraktion der Angaben zu Methode i.e.S. auf Tabellenblatt "01_Methode_Daten_roh"</t>
  </si>
  <si>
    <t>Kodierung der Werte über SVERWEIS auf Tabellenbaltt "01_Methode_Daten_AUSW"</t>
  </si>
  <si>
    <t>4.</t>
  </si>
  <si>
    <t>Auswertung der betrachteten Prozesse und Anwendungen</t>
  </si>
  <si>
    <t>Extraktion der Prozesse und Anwendungen aus Tabelle "Gesamtueberblick" und einzelne Auflistung</t>
  </si>
  <si>
    <t>Zusammenfassung zu Kategorien durch Vergabe der gleichen Nummer an komplett bzw. weitgehend übereinstimmende Kategorien</t>
  </si>
  <si>
    <t>separate Kategorisierung für Industrieprozesse, QST Industrie, QST GHD und Haushaltsanwendungen</t>
  </si>
  <si>
    <t>Einordnung der betrachteten Prozesse und Anwendungen nach vorgenommener Untergliederung</t>
  </si>
  <si>
    <t>C10 / C11</t>
  </si>
  <si>
    <t>Herstellung von Nahrungs- und Futtermitteln / Getränkeherstellung</t>
  </si>
  <si>
    <t>C20</t>
  </si>
  <si>
    <t>Herstellung von chemischen Erzeugnissen</t>
  </si>
  <si>
    <t>C24.10</t>
  </si>
  <si>
    <t>Erzeugung von Roheisen, Stahl und Ferrolegierungen</t>
  </si>
  <si>
    <t>C24.42 / C24.43 / C 24.44</t>
  </si>
  <si>
    <t>C24.42</t>
  </si>
  <si>
    <t>Erzeugung und erste Bearbeitung von Aluminium</t>
  </si>
  <si>
    <t xml:space="preserve">Erzeugung und erste Bearbeitung von Aluminium /  Blei, Zink und Zinn / Kupfer </t>
  </si>
  <si>
    <t>C24.5</t>
  </si>
  <si>
    <t>C23.51</t>
  </si>
  <si>
    <t>Herstellung von Zement</t>
  </si>
  <si>
    <t>C20.11</t>
  </si>
  <si>
    <t>Herstellung von Industriegasen</t>
  </si>
  <si>
    <t>Erzeugung und erste Bearbeitung von Blei, Zink und Zinn / Kupfer</t>
  </si>
  <si>
    <t>C24.43 / C24.44</t>
  </si>
  <si>
    <t>C24</t>
  </si>
  <si>
    <t>Metallerzeugung und -bearbeitung</t>
  </si>
  <si>
    <t>Herstellung von sonstigen anorganischen Grundstoffen und Chemikalien</t>
  </si>
  <si>
    <t>C20.13</t>
  </si>
  <si>
    <t>C29</t>
  </si>
  <si>
    <t>Herstellung von Kraftwagen und Kraftwagenteilen</t>
  </si>
  <si>
    <t>C28</t>
  </si>
  <si>
    <t>C23.1</t>
  </si>
  <si>
    <t>Herstellung von Glas und Glaswaren</t>
  </si>
  <si>
    <t>C24.45</t>
  </si>
  <si>
    <t>Erzeugung und erste Bearbeitung von sonstigen NE-Metallen</t>
  </si>
  <si>
    <t>C27.90</t>
  </si>
  <si>
    <t>Herstellung von sonstigen elektrischen Ausrüstungen und Geräten a. n. g.</t>
  </si>
  <si>
    <t>WZ-Bezeichnung</t>
  </si>
  <si>
    <t>C24.44</t>
  </si>
  <si>
    <t>C24.43</t>
  </si>
  <si>
    <t>Erzeugung und erste Bearbeitung von Kupfer</t>
  </si>
  <si>
    <t>Erzeugung und erste Bearbeitung von Blei, Zink und Zinn</t>
  </si>
  <si>
    <t>Gebäudebelüftung</t>
  </si>
  <si>
    <t>Kühlung in der Lebensmittelindustrie</t>
  </si>
  <si>
    <t>Kälteanwendungen</t>
  </si>
  <si>
    <t>Pumpen</t>
  </si>
  <si>
    <t>Beleuchtung</t>
  </si>
  <si>
    <t>Ind. Kühlung</t>
  </si>
  <si>
    <t>Zerkleinerer</t>
  </si>
  <si>
    <t>Prozessdampf mittels KWK-Eigenerzeugungdaher kein direkter Strombezug aus öffentlichem Netz</t>
  </si>
  <si>
    <t>Kälte</t>
  </si>
  <si>
    <t>Lüftung</t>
  </si>
  <si>
    <t>Kühl- und Gefrierprozesse (Ernährungsindustrie)</t>
  </si>
  <si>
    <t>Belüftung und Klimatisierung</t>
  </si>
  <si>
    <t>Prozesskälte</t>
  </si>
  <si>
    <t>Belüftung</t>
  </si>
  <si>
    <t>Ind. Belüftung</t>
  </si>
  <si>
    <t>Kältemaschinen (Prozess- und Klimakälte)</t>
  </si>
  <si>
    <t>Kühl- und Gefriergerät</t>
  </si>
  <si>
    <t>Lüftungs- und Klimatisierungsanlagen</t>
  </si>
  <si>
    <t>Elektrische Wärmeerzeugung (Raum- und Prozesswärme)</t>
  </si>
  <si>
    <t>Pumpanlagen</t>
  </si>
  <si>
    <t>4+10</t>
  </si>
  <si>
    <t>3a</t>
  </si>
  <si>
    <t>3+10</t>
  </si>
  <si>
    <t>Prozessdampf mittels KWK-Eigenerzeugung</t>
  </si>
  <si>
    <t>Pumpenanwendungen</t>
  </si>
  <si>
    <t>Klimakälte</t>
  </si>
  <si>
    <t>Kühlung (Lebensmittelindustrie)</t>
  </si>
  <si>
    <t>GHD - QST / Branchen zusammengefasst</t>
  </si>
  <si>
    <t>Baugewerbe</t>
  </si>
  <si>
    <t>Raumwärme</t>
  </si>
  <si>
    <t>Abwasserbehandlung</t>
  </si>
  <si>
    <t>Klimatisierung</t>
  </si>
  <si>
    <t>Nachtspeicher</t>
  </si>
  <si>
    <t>Heizsysteme</t>
  </si>
  <si>
    <t>Abwasser (Kläranlagen)</t>
  </si>
  <si>
    <t>Kühl- und Gefriergeräte im LEH</t>
  </si>
  <si>
    <t>Büros / Textilbetriebe</t>
  </si>
  <si>
    <t>Handel</t>
  </si>
  <si>
    <t>Gastgewerbe</t>
  </si>
  <si>
    <t>Landwirtschaft</t>
  </si>
  <si>
    <t>Gartenbau</t>
  </si>
  <si>
    <t>Bäder</t>
  </si>
  <si>
    <t>Wäscherei</t>
  </si>
  <si>
    <t>produzierendes Gewerbe</t>
  </si>
  <si>
    <t>mechanische Energie</t>
  </si>
  <si>
    <t>Warmwasserbereitstellung</t>
  </si>
  <si>
    <t>Kühlung im Lebensmitteleinzelhandel</t>
  </si>
  <si>
    <t>Kühlhäuser</t>
  </si>
  <si>
    <t>Klimaanlagen</t>
  </si>
  <si>
    <t>Warmwasserspeicher</t>
  </si>
  <si>
    <t>Nachtspeicherheizungen</t>
  </si>
  <si>
    <t>Pumpen in der Trinkwasseraufbereitung</t>
  </si>
  <si>
    <t>Kühl- und Gefriergeräte</t>
  </si>
  <si>
    <t>Kühlhäuser (Lebensmittel)</t>
  </si>
  <si>
    <t>Warmwasser</t>
  </si>
  <si>
    <t>Ventilation und Belüftung im GHD-Sektor</t>
  </si>
  <si>
    <t>Belüftung von Gebäuden</t>
  </si>
  <si>
    <t>Wärmepumpen</t>
  </si>
  <si>
    <t>Prozesswärme</t>
  </si>
  <si>
    <t>Lebensmittelkühlung Einzelhandel</t>
  </si>
  <si>
    <t>Trinkwasserpumpen</t>
  </si>
  <si>
    <t>Lüftungsanlagen</t>
  </si>
  <si>
    <t>Kälteanlagen</t>
  </si>
  <si>
    <t>Beleuchtung im Gartenbau</t>
  </si>
  <si>
    <t>Kühlung im Gastronomiebereich (Hotels, Restaurants)</t>
  </si>
  <si>
    <t>Pumpenanwendungen (Grundwasser- und Verteilpumpen in der Wasserversorgung, Wasserhaltung von Schöpfwerken)</t>
  </si>
  <si>
    <t>Prozesskälte in Lebensmittelindustrie, Kühlhäusern und sonstigen</t>
  </si>
  <si>
    <t>Klimatisierung von Bürogebäuden, Einzelhandel, Hotelgebäuden und Gastronomie</t>
  </si>
  <si>
    <t>10a</t>
  </si>
  <si>
    <t>10b</t>
  </si>
  <si>
    <t>10c</t>
  </si>
  <si>
    <t>14a</t>
  </si>
  <si>
    <t>14c</t>
  </si>
  <si>
    <t>14b</t>
  </si>
  <si>
    <t>10+11</t>
  </si>
  <si>
    <t>15a</t>
  </si>
  <si>
    <t>Büros und Textilbetriebe gesamt</t>
  </si>
  <si>
    <t>Handel gesamt</t>
  </si>
  <si>
    <t>Gastgewerbe gesamt</t>
  </si>
  <si>
    <t>Landwirtschaft gesamt</t>
  </si>
  <si>
    <t>Gartenbau gesamt</t>
  </si>
  <si>
    <t>Bäder gesamt</t>
  </si>
  <si>
    <t>Wäschereien gesamt</t>
  </si>
  <si>
    <t>produzierendes Gewerbe gesamt</t>
  </si>
  <si>
    <t>Baugewerbe gesamt</t>
  </si>
  <si>
    <t>Pumpenanwendungen in der Wasserversorgung</t>
  </si>
  <si>
    <t>HaHa - Geräte / Anwendungen ursprünglich</t>
  </si>
  <si>
    <t>HaHa - Geräte / Anwendungen zusammengefasst</t>
  </si>
  <si>
    <t>Gefrierschrank / -truhe</t>
  </si>
  <si>
    <t>Umwälzpumpen (Heizung)</t>
  </si>
  <si>
    <t>Trockner und Geschirrspüler</t>
  </si>
  <si>
    <t>Hybrid-Wärmepumpen</t>
  </si>
  <si>
    <t>Mini-/Mikro-BHKW</t>
  </si>
  <si>
    <t>Heizungsumwälzpumpen</t>
  </si>
  <si>
    <t>Lastflexibilisierung mittels Batteriespeicher</t>
  </si>
  <si>
    <t>Geschirrspüler</t>
  </si>
  <si>
    <t>Kühlschrank</t>
  </si>
  <si>
    <t>Wäschetrockner</t>
  </si>
  <si>
    <t>Raumklimatisierung</t>
  </si>
  <si>
    <t>Kühl- / Gefrierkombination</t>
  </si>
  <si>
    <t>Warmwassererzeugung</t>
  </si>
  <si>
    <t>Trockner</t>
  </si>
  <si>
    <t>Spülmaschine</t>
  </si>
  <si>
    <t>Ofen</t>
  </si>
  <si>
    <t>Gefriergeräte</t>
  </si>
  <si>
    <t>Warmwasserbereitung</t>
  </si>
  <si>
    <t>elektrische Direktheizung</t>
  </si>
  <si>
    <t>elektrische Speicherheizung</t>
  </si>
  <si>
    <t>Waschmaschinen</t>
  </si>
  <si>
    <t>Elektrospeicherheizungen</t>
  </si>
  <si>
    <t>Kühlschränke</t>
  </si>
  <si>
    <t>Kühl- und Gefrierkombinationen</t>
  </si>
  <si>
    <t>Elektromobilität</t>
  </si>
  <si>
    <t>Umwälzpumpen</t>
  </si>
  <si>
    <t>Smart Meter / intelligente Geräte</t>
  </si>
  <si>
    <t>Photovoltaik</t>
  </si>
  <si>
    <t>hybride Heizungssysteme (mit Installation eines elektrischen Warmwasserspeichers)</t>
  </si>
  <si>
    <t>PV-Speichersysteme</t>
  </si>
  <si>
    <t>Raumklimatisierung (Klimaanlagen)</t>
  </si>
  <si>
    <t>6a</t>
  </si>
  <si>
    <t>1+8+11</t>
  </si>
  <si>
    <t>2+3</t>
  </si>
  <si>
    <t>elektrische Warmwasserbereitung</t>
  </si>
  <si>
    <t>elektrische Warmwassererzeugung</t>
  </si>
  <si>
    <t>Gefrierschränke und -truhen</t>
  </si>
  <si>
    <t>Elektrische Öfen</t>
  </si>
  <si>
    <t>elektrische Direktheizungen</t>
  </si>
  <si>
    <t>Lastflexibilisierung mittels Batteriespeichern</t>
  </si>
  <si>
    <t>Mini-/Mikro-BHKWs</t>
  </si>
  <si>
    <t>Streichmaschinen und Kalander</t>
  </si>
  <si>
    <t>2d</t>
  </si>
  <si>
    <t>Papierveredelung (Streichmaschinen und Kalander)</t>
  </si>
  <si>
    <t>Altpapierrecycling (Pulper)</t>
  </si>
  <si>
    <t>Aluminiumelektrolyse, Holzschleifer (Papier), Chlorelektrolyse, Elektrostahlöfen, Roh- und Zementmühlen, Papiermaschinen</t>
  </si>
  <si>
    <t>Wasserwirtschaft: Klärgas-BHKW</t>
  </si>
  <si>
    <t>Aluminiumelektrolyse, Kupfer- und Zinkelektrolyse, Chloralkalielektrolyse, Luftzerlegung, Papier: Holzstoffherstellung, Zellstoffherstellung, Altpapieraufbereitung, Papiermaschinen, Streichmaschinen und Kalander, Elektrolichbogenofen, Rohmühlen, Zementmühlen</t>
  </si>
  <si>
    <t>Aluminiumelektrolyse, Chloralkalielektrolyse, Elektrolichtbogenofen, Holzstoffherstellung, Streichmaschinen und Kalander, Rohmühlen und Zementmühlen</t>
  </si>
  <si>
    <t>Druckluft, Beleuchtung, (Prozess-)Kälte, Lüftung, Pumpen</t>
  </si>
  <si>
    <t>Angabe der WZ-Zuordnung soweit möglich</t>
  </si>
  <si>
    <t>Entfernung von Angaben der Kategorie sonstige -&gt; zu Gesamtprozess bzw. Gesamtanwendung hinzugezählt</t>
  </si>
  <si>
    <t>Prozesskälte, Klimakälte, mechanische Energie, Warmwasserbereitstellung, Raumwärme, Belüftung</t>
  </si>
  <si>
    <t>Raumwärme (elektrische Raumheizung)</t>
  </si>
  <si>
    <t>Kühlhäuser; Kälteanlagen; Pumpenanwendungen (Grundwasser- und Verteilpumpen in der Wasserversorgung; Wasserhaltung von Schöpfwerken); Beleuchtung im Gartenbau; elektrische Raumheizung</t>
  </si>
  <si>
    <t>Notstromaggregate, Back-Up-Server und Mobilfunkstationen</t>
  </si>
  <si>
    <t>Notstromaggragate, Back-Up-Server und Mobilfunkstationen</t>
  </si>
  <si>
    <t>Kühl- und Gefriergeräte, Waschmaschinen, Trockner und Geschirrspülerm Klimaanlagen, Warmwasserspeicher, Nachtspeicherheizungen, Wärmepumpen, Heizungsumwälzpumpen</t>
  </si>
  <si>
    <t>Wärmepumpen, Nachtspeicher, Warmwasser</t>
  </si>
  <si>
    <t>Nummer der Publikation(en)</t>
  </si>
  <si>
    <t>Nummer</t>
  </si>
  <si>
    <t>Status quo (nicht spezifiziert)</t>
  </si>
  <si>
    <t>2020</t>
  </si>
  <si>
    <t>technisches Potential; soziotechnisches Potenzial</t>
  </si>
  <si>
    <t>im gesamten Artikel; zudem: Zeitreihen im Supplementary Material</t>
  </si>
  <si>
    <t>2010</t>
  </si>
  <si>
    <t>2011</t>
  </si>
  <si>
    <t>2012</t>
  </si>
  <si>
    <t>2013</t>
  </si>
  <si>
    <t>2014</t>
  </si>
  <si>
    <t>2015</t>
  </si>
  <si>
    <t>2016</t>
  </si>
  <si>
    <t>2017</t>
  </si>
  <si>
    <t>2018</t>
  </si>
  <si>
    <t>2019</t>
  </si>
  <si>
    <t>nicht spezifiziert</t>
  </si>
  <si>
    <t>2005</t>
  </si>
  <si>
    <t>2006</t>
  </si>
  <si>
    <t>2007</t>
  </si>
  <si>
    <t>2008</t>
  </si>
  <si>
    <t>2009</t>
  </si>
  <si>
    <t>theoretisch</t>
  </si>
  <si>
    <t>Potenzialbegriffe</t>
  </si>
  <si>
    <t>soziotechnisch</t>
  </si>
  <si>
    <t>ökonomisch</t>
  </si>
  <si>
    <t>sozial</t>
  </si>
  <si>
    <t>realisiert</t>
  </si>
  <si>
    <t>Jahr</t>
  </si>
  <si>
    <t>Status quo
(vor 2020)</t>
  </si>
  <si>
    <t>verschiebbare Leistung / Energiemenge; Verschiebedauer; verschiebbarer Anteil; Vorankündigungsdauer; zeitlich aufgelöste Potenziale (nach Vorankündigungs- und Verschiebedauern sowie Tages- / Jahreszeit)</t>
  </si>
  <si>
    <t>751-754 + supplementary data</t>
  </si>
  <si>
    <t>Parameter</t>
  </si>
  <si>
    <t>Potenzialtrennung</t>
  </si>
  <si>
    <t>Schaltdauer</t>
  </si>
  <si>
    <t>Verschiebedauer</t>
  </si>
  <si>
    <t>Schalthäufigkeit</t>
  </si>
  <si>
    <t>Investitionsausgaben</t>
  </si>
  <si>
    <t>fixe Kosten</t>
  </si>
  <si>
    <t>variable Kosten</t>
  </si>
  <si>
    <t>Potenzial pos</t>
  </si>
  <si>
    <t>Potenzial neg</t>
  </si>
  <si>
    <t>Annahmen ursprünglich</t>
  </si>
  <si>
    <t>Annahmen - ursprünglich</t>
  </si>
  <si>
    <t>zukünftige Stromverbrauchsentwicklung (konstant bei Haushaltslasten)</t>
  </si>
  <si>
    <t>Durchdringung mit elektrischen Heizsystemen im GHD-Sektor</t>
  </si>
  <si>
    <t>Industrie: Annahme eines konstanten Verbrauchsprofils für betrachtete Prozesse</t>
  </si>
  <si>
    <t xml:space="preserve">Annahme flexibilisierbarer Lastanteile, wo keine Literaturangaben vorhanden sind
</t>
  </si>
  <si>
    <t>Annahmen zu Verschiebedauern</t>
  </si>
  <si>
    <t>Annahme zu Abrufhäufigkeit (einmal alle vier Stunden)</t>
  </si>
  <si>
    <t>flexibel nutzbarer Anteil (eigene Berechnung auf Basis der für DSM nutzbaren Stunden)</t>
  </si>
  <si>
    <t>Annahmen zu Auslastungen und Betriebszeiten</t>
  </si>
  <si>
    <t xml:space="preserve">Annahme zur (spezifischen) Leistungsaufnahme
</t>
  </si>
  <si>
    <t xml:space="preserve">Abschätzung von Lastgängen über Produktionskapazitäten und Ausstattungsraten
</t>
  </si>
  <si>
    <t>Annahmen zu Prozessauslastungen</t>
  </si>
  <si>
    <t>Annahmen zu Schalt- und Verschiebedauern</t>
  </si>
  <si>
    <t>Annahmen zu Einschränkung des soziotechnischen Potenzials</t>
  </si>
  <si>
    <t xml:space="preserve">Annahme von Durchdringungsraten in den Szenarien
</t>
  </si>
  <si>
    <t>Annahmen von Verschiebedauern</t>
  </si>
  <si>
    <t>Annahmen zu Eignung von Prozessen</t>
  </si>
  <si>
    <t>Annahmen zur Potenzialentwicklung</t>
  </si>
  <si>
    <t>Annahmen zu den Opportunitätskosten in der Industrie, insbes. Stromgroßhandelspreis und Gewinnmargen</t>
  </si>
  <si>
    <t>Annahme, dass Lastinanspruchnahme der Querschnittstechnologien dem Gesamtlastgang folgt</t>
  </si>
  <si>
    <t>Annahmen zu den Schaltund Verschiebedauern</t>
  </si>
  <si>
    <t>Annahme zukünftiger Leistungszubau</t>
  </si>
  <si>
    <t xml:space="preserve">Zeitverfügbarkeit einiger Prozesse
</t>
  </si>
  <si>
    <t xml:space="preserve">Vergütung nach AbLaV als maßgeblich für ökonomische Erschließung
</t>
  </si>
  <si>
    <t xml:space="preserve">Zeitverfügbarkeiten einiger Anwendungen
</t>
  </si>
  <si>
    <t xml:space="preserve">Annahme der Strombezugskosten für VOLL-Berechnung
</t>
  </si>
  <si>
    <t xml:space="preserve">Annahme zum Raumverhalten / Wärmeübergang sowie zur Dimensionierung elektrischer Speichertechnologien
</t>
  </si>
  <si>
    <t>Annahmen zum Regelungsverhalten, zum Wirkungsgrad sowie zu Schadstoffbelastungsgrenzen bei Lüftungsanlagen; Annahme zu Referenzanlage</t>
  </si>
  <si>
    <t>Annahme, dass Heizgrenztemperatur normalverteilt je nach Gebäudebestand</t>
  </si>
  <si>
    <t>Annahme zu den Aktivierungsdauern bei Querschnittstechnologien</t>
  </si>
  <si>
    <t xml:space="preserve">Auslastung / Lastverlauf
</t>
  </si>
  <si>
    <t>(literaturbasierte) Annahmen zu Nutzerakzeptanz von Demand Side Management-Maßnahmen</t>
  </si>
  <si>
    <t>Lastmanagementfaktoren (Anteil flexibilisierbarer Leistung)</t>
  </si>
  <si>
    <t>Entwicklungsprojektionen</t>
  </si>
  <si>
    <t>Approximation der Lastzustände von Querschnittstechnologien</t>
  </si>
  <si>
    <t>Annahme Mindestbetriebsgröße</t>
  </si>
  <si>
    <t>Annahmen zu max. Abrufhäufigkeit</t>
  </si>
  <si>
    <t>Annahmen zu Kosten</t>
  </si>
  <si>
    <t>Annahmen zu Auslastungen / Verbrauchsprofilen</t>
  </si>
  <si>
    <t>Annahmen zu Ladeleistungen bei Elektromobilität und Anschlussraten der Fahrzeuge</t>
  </si>
  <si>
    <t>Annahmen zu spezifischen Verbräuchen</t>
  </si>
  <si>
    <t>Annahme zu Bereitstellungsalternative bei Power-to-Heat</t>
  </si>
  <si>
    <t>flexibilisierbarer Leistungsanteil</t>
  </si>
  <si>
    <t>Annahme des zur Verfügung stehenden technischen Lastverzichtpotenzials</t>
  </si>
  <si>
    <t>Annahmen zu zukünftiger Potenzialentwicklung</t>
  </si>
  <si>
    <t>Annahmen zum nutzbaren Anteil von Warmwasserspeichern</t>
  </si>
  <si>
    <t>Annahmen zu Temperaturspreizung bei Kühlschränken und Gefriergeräten</t>
  </si>
  <si>
    <t>Annahme einer tolerablen Temperaturdifferenz in Gebäuden</t>
  </si>
  <si>
    <t>Annahme zu Druckniveau der Druckluftbereitstellung</t>
  </si>
  <si>
    <t>Verschiebedauern und -häufigkeiten</t>
  </si>
  <si>
    <t>Durchdringung mit Technologien</t>
  </si>
  <si>
    <t>Verschiebezeiträume</t>
  </si>
  <si>
    <t xml:space="preserve">Annahmen zu verschiebbaren Leistungsanteilen </t>
  </si>
  <si>
    <t>Annahmen zu Kosten(degressionen)</t>
  </si>
  <si>
    <t xml:space="preserve">Annahmen zu Aktivierungsdauern
</t>
  </si>
  <si>
    <t xml:space="preserve">Annahmen zu Ausstattungsgraden
</t>
  </si>
  <si>
    <t>Prozessspezifikatioen (Leistungen, Nutzungszeiträume, Wärmeübergangskoeffizienten) für Simulationen</t>
  </si>
  <si>
    <t xml:space="preserve">Annahmen zu Schalt- und Verschiebedauern
</t>
  </si>
  <si>
    <t>Verbräuche im GHD- und Haushaltssegment</t>
  </si>
  <si>
    <t>Lastprofile</t>
  </si>
  <si>
    <t xml:space="preserve">Verbrauchsentwicklung von lastmanagementfähigen Verbrauchern </t>
  </si>
  <si>
    <t>Annahmen zu zukünftiger Durchdringung von lastmanagementfähigen Verbrauchern (z.B. zukünftige Industrieproduktion, Rückgang Nachtspeicherheizungen, stärkere Durchdringung Wärmepumpen)</t>
  </si>
  <si>
    <t>Annahme, dass Lastreduktions- und Lasterhöhungspotenziale im Fall der Lastverschiebung symmetrisch ausfallen</t>
  </si>
  <si>
    <t>5.</t>
  </si>
  <si>
    <t>Auswertung zentraler Annahmen</t>
  </si>
  <si>
    <t>Auswertung der Methode i.e.S. sowie von Datenquellenkategorien</t>
  </si>
  <si>
    <t>Extraktion der Angaben zu zentralen Annahmen, die in Quelle dokumentiert sind</t>
  </si>
  <si>
    <t>Extraktion der zentralen Annahmen aus Tabelle "Gesamtueberblick" und einzelne Auflistung</t>
  </si>
  <si>
    <t xml:space="preserve">Annahmen zu den Lastprofilen
</t>
  </si>
  <si>
    <t>Durchdringungen mit elektrischen Heizungssystemen</t>
  </si>
  <si>
    <t>Einordnung der Studien: Kategorie wird als erfüllt betrachtet, sobald sie für einen der betrachteten Verbraucher (Prozesse / QSTs / Anwendungen) zutreffend ist</t>
  </si>
  <si>
    <t>Annahmen zu den Schalt- und Verschiebedauern bei Haushaltsgeräten</t>
  </si>
  <si>
    <t>Schalthäufigkeiten</t>
  </si>
  <si>
    <t>Auslastung der Prozesse bzw. Zeitverfügbarkeit</t>
  </si>
  <si>
    <t xml:space="preserve">Annahme zu Schalt- und Verschiebedauern
</t>
  </si>
  <si>
    <t>Durchdringungsraten</t>
  </si>
  <si>
    <t>Dauern: Aktivierungsdauer, Schaltdauer und/oder Verschiebedauer</t>
  </si>
  <si>
    <t>Abrufhäufigkeit</t>
  </si>
  <si>
    <t>Einschränkung durch soziale Akzeptanz(faktoren)</t>
  </si>
  <si>
    <t>Prozesseignung für Lastmanagement</t>
  </si>
  <si>
    <t>Kosten- und Kostenentwicklung</t>
  </si>
  <si>
    <t>Eingangsdaten für (thermodynamische) Prozesssimulationen</t>
  </si>
  <si>
    <t>Erheblichkeitsschwelle für Lastmanagement</t>
  </si>
  <si>
    <t>Annahmen im Kontext der Elektromobilität</t>
  </si>
  <si>
    <t>spezifische Leistungen und/oder Verbräuche</t>
  </si>
  <si>
    <t>Symmetrieannahme für Potenziale</t>
  </si>
  <si>
    <t>Stromverbrauchs- und/oder Leistungsentwicklung</t>
  </si>
  <si>
    <t>Verbrauchsprofile und/oder Zeitverfügbarkeit</t>
  </si>
  <si>
    <t>zukünftige Potenzialentwicklung</t>
  </si>
  <si>
    <t>Bereitstellungsalternativen (z.B. bei Power-to-Heat)</t>
  </si>
  <si>
    <t>StV / Leistungen</t>
  </si>
  <si>
    <t>Kategorie</t>
  </si>
  <si>
    <t>Profile / Zeitverfügbarkeit</t>
  </si>
  <si>
    <t>flex. Leistung</t>
  </si>
  <si>
    <t>Zeitdauern</t>
  </si>
  <si>
    <t>spez. Leistung / Verbräuche</t>
  </si>
  <si>
    <t>(soziale) Akzeptanz</t>
  </si>
  <si>
    <t>Prozesseignung</t>
  </si>
  <si>
    <t>Kosten(entwicklung)</t>
  </si>
  <si>
    <t>Potenzialentwicklung</t>
  </si>
  <si>
    <t>Simulationsdaten</t>
  </si>
  <si>
    <t>Erheblichkeitsschwelle</t>
  </si>
  <si>
    <t>Annahmen Elektormobilität</t>
  </si>
  <si>
    <t>Symmetrieannahme</t>
  </si>
  <si>
    <t>Bereitstellungsalternative</t>
  </si>
  <si>
    <t>Energiesystemanalysen</t>
  </si>
  <si>
    <t>existierende Potenzialabschätzungen (insbes. Molly et al. 2010, Klobasa 2013)</t>
  </si>
  <si>
    <t>Verbändestatistiken zu Produktionsvolumina und Geräteausstattung</t>
  </si>
  <si>
    <t>Erfahrungswerte FfE</t>
  </si>
  <si>
    <t>vorhandene Literatur, insbes. Klobasa 2007</t>
  </si>
  <si>
    <t xml:space="preserve">-Studien: Stadler (2006); Gutschi und Stigler (2008); Klobasa (2009); dena (2010); Roon und Gobmaier (2010)
</t>
  </si>
  <si>
    <t>Datenbasis ursprünglich</t>
  </si>
  <si>
    <t xml:space="preserve">existierende Potenzialstudien
</t>
  </si>
  <si>
    <t>synthetische Lastprofile (SynPro-Tool des Fraunhofer ISE; GEKLES-Tool der TU München)</t>
  </si>
  <si>
    <t>sozialwissenschaftliche Studien zur Akzeptanz von Lastmanagement (Smart-A-Studie) -&gt; Befragung von Haushaltskunden</t>
  </si>
  <si>
    <t>existierende Abschätzungen (Molly et al. 2010, Apel et al. 2012)</t>
  </si>
  <si>
    <t xml:space="preserve">Statistiken DESTATIS
</t>
  </si>
  <si>
    <t xml:space="preserve">industrielle Produktionskapazitäten und Ausstattungsraten aus Statistiken
</t>
  </si>
  <si>
    <t>existierende Studien: Klobasa (2009), Stadler (2008)</t>
  </si>
  <si>
    <t xml:space="preserve">existierende eigene Datenbasis (Roon und Gobmaier 2010)
</t>
  </si>
  <si>
    <t xml:space="preserve">Produktionsstatistiken von Verbänden und Unternehmen (standortscharf)
</t>
  </si>
  <si>
    <t>existierende Studien: Klobasa (2007), dena (2010), VDE (2012), …</t>
  </si>
  <si>
    <t xml:space="preserve">existierende Abschätzungen (v.a. Steurer et al. 2015, Schlesinger et al. 2014)
</t>
  </si>
  <si>
    <t xml:space="preserve">existierende Potenzialstudien (u.A. Molly et al. 2010, Apel et al. 2012, Gils 2014)
</t>
  </si>
  <si>
    <t xml:space="preserve">Statistik Stromverbrauch Destatis
</t>
  </si>
  <si>
    <t xml:space="preserve">Produktionsstatistiken
</t>
  </si>
  <si>
    <t>existierende Studien: Klobasa (2007), dena (2010), VDE (2012), …'(Gruber et al. 2014: maßgeblich basierend auf Klobasa et al. 2013 bzw. Buber et al. 2013)</t>
  </si>
  <si>
    <t>Studien: Klobasa (2009); EWI (2012); VDE (2012); Fraunhofer ISI/FfE (2013)</t>
  </si>
  <si>
    <t xml:space="preserve">existierende Studien und Gutachten
</t>
  </si>
  <si>
    <t>existierende Studien / Publikationen: u.a. dena (2010); VDE (2012); Stamminger (2008); Klobasa (2007); Buber et al. (2013)</t>
  </si>
  <si>
    <t>Statistiken Branchenverbände</t>
  </si>
  <si>
    <t>Lastgangdaten (für Einzelfallstudien)</t>
  </si>
  <si>
    <t>Herstellerangaben</t>
  </si>
  <si>
    <t>technisch orientierte Paper</t>
  </si>
  <si>
    <t>Wetterdaten des deutschen Wetterdienstes</t>
  </si>
  <si>
    <t>Statistiken und Branchenveröffentlichungen</t>
  </si>
  <si>
    <t>Branchenstatistiken</t>
  </si>
  <si>
    <t>Statistiken (GHD)</t>
  </si>
  <si>
    <t>Smart A-Studie für Abschätzung der zukünftigen Entwicklungen sowie Klobasa (2007) und Stadler (2005) für Zeitrestriktionen</t>
  </si>
  <si>
    <t>statstistische Daten</t>
  </si>
  <si>
    <t>Stromverbrauchsstatistiken, offizielle Statistiken</t>
  </si>
  <si>
    <t>existierende Potenzialstudien</t>
  </si>
  <si>
    <t>Smart Meter-Studien</t>
  </si>
  <si>
    <t>Branchen- und Produktionsstatistiken</t>
  </si>
  <si>
    <t>Literatur zu Elektromobilität</t>
  </si>
  <si>
    <t>E-Energy-Projektergebnisse</t>
  </si>
  <si>
    <t>E-Energy</t>
  </si>
  <si>
    <t>existierende Potenzialstudien, v.a. Klobasa (2007); dena (2010); Focken et al. (2011); Apel et al. (2012); Buber et al. (2013); Langrock et al. (2015) und Styczynski und Suaer (2015); LoadShift</t>
  </si>
  <si>
    <t>Lastmanagementpotenzialstudien</t>
  </si>
  <si>
    <t>Lastprofilgeneratoren</t>
  </si>
  <si>
    <t>sozialwissenschaftliche Studien</t>
  </si>
  <si>
    <t>Branchen- und Verbandsstatistiken</t>
  </si>
  <si>
    <t>reale Lastgangdaten</t>
  </si>
  <si>
    <t>eigene Datenbasis / Datenbank</t>
  </si>
  <si>
    <t>technische Publikationen zu Prozessen</t>
  </si>
  <si>
    <t>Literatur zu Elekrotmobilität</t>
  </si>
  <si>
    <t>Statistiken der Statistikämter / öffentlicher Stellen</t>
  </si>
  <si>
    <t>Smart Metering- und Lastamanagementfeldstudien</t>
  </si>
  <si>
    <t>Smart Metering- und Lastmanagementfeldstudien</t>
  </si>
  <si>
    <t>762-766</t>
  </si>
  <si>
    <t>78-96; 131-139</t>
  </si>
  <si>
    <t>8-49; 130-132</t>
  </si>
  <si>
    <t>methodisch fokussierte Paper (Modellierung / Simulation / Optimierung)</t>
  </si>
  <si>
    <t>Energiverbrauchsstatistik</t>
  </si>
  <si>
    <t>Energieverbrauchsstatistik</t>
  </si>
  <si>
    <t>Datenportale: Verbrauchsdaten, Wetterdaten, Preisdaten</t>
  </si>
  <si>
    <t>3; 5-7; 16-18</t>
  </si>
  <si>
    <t>13-23; 176-187</t>
  </si>
  <si>
    <t>32; 36</t>
  </si>
  <si>
    <t>89-90; 114-117</t>
  </si>
  <si>
    <t>13-119; 139-146</t>
  </si>
  <si>
    <t>-Statistiken (GHD) und Literaturwerte (bei Haushalten und GHD inbes. Smart A-Studie für Abschätzung der zukünftigen Entwicklungen sowie Klobasa (2007) und Stadler (2005) für Zeitrestriktionen)
- Energieverbrauchsstatistik (ISI / Schlomann et al.)
- Smart-Metering- und Lastmanagementfeldstudien
- Paper zu Modellierung (genetische Algorithmen)
- Branchenveröffentlichungen / Publikationen zu technischen Prozessen</t>
  </si>
  <si>
    <t>- existierende Potenzialstudien
- historische bzw. statstistische Daten -&gt; Verbrauchsstatistiken / BMWi Energiedaten
- synthetische Lastprofile (SynPro-Tool des Fraunhofer ISE; GEKLES-Tool der TU München)
- sozialwissenschaftliche Studien zur Akzeptanz von Lastmanagement (Smart-A-Studie) -&gt; Befragung von Haushaltskunden
- Energiesystemanalysen
- Branchenveröffentlichungen / Publikationen zu technischen Prozessen</t>
  </si>
  <si>
    <t>- existierende Abschätzungen (Molly et al. 2010, Apel et al. 2012)
- Branchen- und Verbrandsstatistiken (Produktionsmengen)
- ENTSO-E-Lastwerte</t>
  </si>
  <si>
    <t>- Statistiken DESTATIS
- Statistiken Branchenverbände
- Lastgangdaten (für Einzelfallstudien)
- Energieverbrauchsstatistik (ISI / Schlomann et al.)
- (Branchen-)Publikationen zu Prozessen / Technologien</t>
  </si>
  <si>
    <t>- industrielle Produktionskapazitäten und Ausstattungsraten aus Statistiken
- existierende Studien: Klobasa (2009), Stadler (2008)
- Energieverbrauchsstatistik (ISI / Schlomann et al.)
- Smart-Metering- und Lastmanagementpotenzialstudien
- methodisch fokussierte Paper / Publikationen
- (Branchen-)Publikationen zu Technologien / Prozessen
- Wetterdaten</t>
  </si>
  <si>
    <t>- existierende eigene Datenbasis (Roon und Gobmaier 2010)
- Smart Metering- und Lastmanagementpotenzialstudien
- eigene Datenbasis / Datenbank
- Energiesystemanalysen
- Verbrauchsdaten
- gemessene Lastgangdaten
- Annahmen</t>
  </si>
  <si>
    <t>58-84; 137-162</t>
  </si>
  <si>
    <t>51-87; 201-210</t>
  </si>
  <si>
    <t>Kurzbeleg (Lesart: Zeile zitiert Spalte bzw. Spalte zitiert in Zeile)</t>
  </si>
  <si>
    <t>VNB-Daten (z. B. Einspeisemanagement)</t>
  </si>
  <si>
    <t>18; 22; 54; 65; 107-108</t>
  </si>
  <si>
    <t>16-23; 37-30; 42-80; 166-181</t>
  </si>
  <si>
    <t>15-27; 67-70</t>
  </si>
  <si>
    <t>45-62; 80-88; 206-211</t>
  </si>
  <si>
    <t>434; 441</t>
  </si>
  <si>
    <t>81-264; 539-568</t>
  </si>
  <si>
    <t>77; 143-149</t>
  </si>
  <si>
    <t>14; 38-40</t>
  </si>
  <si>
    <t>48, 50-54; 147-152</t>
  </si>
  <si>
    <t>49; 217-241</t>
  </si>
  <si>
    <t>13-23; 31-37; 41-42</t>
  </si>
  <si>
    <t>154-158; 164-230; 120-142</t>
  </si>
  <si>
    <t>Zeitverfügbarkeit</t>
  </si>
  <si>
    <t>Saisonalität berücksichtigt?</t>
  </si>
  <si>
    <t>Tageszeitliche Abhängigkeit berücksichtigt?</t>
  </si>
  <si>
    <t>Temperaturabhängigkeit berücksichtigt?</t>
  </si>
  <si>
    <t>Zeitverfügbarkeitszeitreihen generiert?</t>
  </si>
  <si>
    <t>Lastgänge / Lastblöcke berücksichtigt?</t>
  </si>
  <si>
    <t>Methodenvergleich für Analysen zu technischen Lastmanagementpotenzialen in Deutschland</t>
  </si>
  <si>
    <t>Methodenvergleich von Analysen zu technischen Lastmanagementpotenzialen in Deutschland</t>
  </si>
  <si>
    <t>Diese Excel-Arbeitsmappe enthält Informationen zu den methodischen Vorgehensweise der im Rahmen einer Metaanalyse ausgewerteten Publikationen zu technischen Lastmanagementpotenzialen in Deutschland</t>
  </si>
  <si>
    <t>Hintergrund und Überblick</t>
  </si>
  <si>
    <t>Inhalt</t>
  </si>
  <si>
    <t>Methodisches Vorgehen</t>
  </si>
  <si>
    <t>2.1 Auswahl von Publikationen</t>
  </si>
  <si>
    <t>Bundesrepublik Deutschland</t>
  </si>
  <si>
    <t>Publikationen mit Erscheinungsjahr nach 2005</t>
  </si>
  <si>
    <t>Quellen Zeitverfügbarkeit</t>
  </si>
  <si>
    <t>Benutzungsstunden / Auslastungsgrade angegeben?</t>
  </si>
  <si>
    <t>Verwendung von positivem und negativem Potenzial spiegelbildlich zu den meisten Untersuchungen; keine konsequente Trennung von positiven und negativen Potenzialen; Intransparenzen hinsichtlich Potenziale; Fehlen von Kostenangaben; aber: detaillierte Angaben zu Industrieprozessen, u.a. zu deren zeitlicher Charakteristik</t>
  </si>
  <si>
    <t>S. 13, 16-17</t>
  </si>
  <si>
    <t>keine (i.e.S.)</t>
  </si>
  <si>
    <t>S. 22, 63-64, 100-104</t>
  </si>
  <si>
    <t>S. 65-81</t>
  </si>
  <si>
    <t>detaillierte Simulation von thermosensiblen Lasten (Kühlschränken, elektrische Warmwasserbereitung); sehr grob bei industriellen Anwendungen</t>
  </si>
  <si>
    <t>S. 41, 44-50</t>
  </si>
  <si>
    <t>keine dedizierte ökonomische Analyse; implizit wird ökonomische Vorzugswürdigkeit für technische Potenziale unterstellt; Inkonsistenzen vorhanden; kaum Angaben zur zeitlichen Potenzialverfügbarkeit</t>
  </si>
  <si>
    <t>S. 23, 44-59, 65-67, 197-208</t>
  </si>
  <si>
    <t>breite Spannbreite der Werte durch Sortierung nach Aktivierungsdauern erschwert zusammenfassende Auswertung, dennoch sehr detaillierte Informationslage; zwar detaillierte Angaben zu den Aktivierungs- / Schaltdauern, aber kaum Aussagen zur zeitlichen Verfügbarkeit</t>
  </si>
  <si>
    <t>S. 17, 103-153</t>
  </si>
  <si>
    <t>S. 19-20, 22-23, 25, 27, 34-35</t>
  </si>
  <si>
    <t>S. 412-425</t>
  </si>
  <si>
    <t>Auswahl industrieller Anwendung über Top-Down-Ansatz (S. 434):
- Stromverbrauchsanteil &gt; 1,5 % des industriellen Verbrauchs und spezifische Energiekosten je Bruttowertschöpfung &gt; 5 % der BWS
- Ausschluss ungeeigneter Prozesse (4 von 8 der den Kriterien gerecht werdenden Prozesse als geeignet identifiziert)
Modellgestützte Imlementierung von DSM im DIME-Strommarktmodell (S. 436-440):
- Fokus auf Investition in und Einsatzvon Lastmanagement für MRL (und Spotmärkte)
- Analyse von Systemkosteneffekten</t>
  </si>
  <si>
    <t>S. 434-435, 437</t>
  </si>
  <si>
    <t>S. 88-93, 97-98, 101, 103, 108-109, 137-139, 209-213</t>
  </si>
  <si>
    <t>S. 50-55</t>
  </si>
  <si>
    <t>S. 49-53, 66, 92, 96-97, 114, 168-170</t>
  </si>
  <si>
    <t>S. 71-73, 164-213</t>
  </si>
  <si>
    <t>S. 13-22, 31-37</t>
  </si>
  <si>
    <t>Analyse teilweise relativ grob gehalten; Industrie komplett auf weitere Publikation gestützt und kaum granular</t>
  </si>
  <si>
    <t>Saisonalität</t>
  </si>
  <si>
    <t>Benutzungsstunden / Auslastung</t>
  </si>
  <si>
    <t>Tageszeit</t>
  </si>
  <si>
    <t>Temperaturabhängigkeit</t>
  </si>
  <si>
    <t>Lastgänge / Lastblöcke</t>
  </si>
  <si>
    <t>Zeitverfügbarkeitszeitreihen</t>
  </si>
  <si>
    <t>Lastflexibilisierung mit Batteriespeichern</t>
  </si>
  <si>
    <t>Kosten-Potenzial-Kurven</t>
  </si>
  <si>
    <t>Analyse mehrerer Szenarien</t>
  </si>
  <si>
    <t>Unternehmensbefragungen</t>
  </si>
  <si>
    <t>methodisch fokussierte Paper</t>
  </si>
  <si>
    <t>Datenportale: Verbrauchs-, Wetter-, Preisdaten</t>
  </si>
  <si>
    <t>Hybrid-Wärmeerzeugungssysteme</t>
  </si>
  <si>
    <t>2025</t>
  </si>
  <si>
    <t>2030</t>
  </si>
  <si>
    <t>2050</t>
  </si>
  <si>
    <t>Kennwerte zu technischem Lastmanagementpotenzial</t>
  </si>
  <si>
    <t>Mindestens Angaben zu einem der folgenden Sektoren: Haushalte, GHD, Industrie; keine Analysen zu Einzelprozessen einbezogen</t>
  </si>
  <si>
    <t>Durchführung einer eigenständigen Analyse (keine Metaanalyse)</t>
  </si>
  <si>
    <t>Einbezug mindestens eines der ausgewerteten Lastmanagementparameters (gewöhnlich mindestens Angaben zu den technischen Potenzialen in MW)</t>
  </si>
  <si>
    <t>2.2 Analyse der Methode</t>
  </si>
  <si>
    <t>- regionaler Fokus</t>
  </si>
  <si>
    <t>- zeitliche Eingrenzung</t>
  </si>
  <si>
    <t>- inhaltlicher Fokus</t>
  </si>
  <si>
    <t>- Eingeständigkeit</t>
  </si>
  <si>
    <t>- Abdeckung</t>
  </si>
  <si>
    <t>- sektorale Abdeckung</t>
  </si>
  <si>
    <t>- Hauptannahmen zur Potenzialquantifizierung</t>
  </si>
  <si>
    <t>- Datenbasis im Detail</t>
  </si>
  <si>
    <t>- Methode für die weitere Verwertung der technischen Potenziale</t>
  </si>
  <si>
    <t>- ausgewertete Prozesse und Anwendungen (je Sektor)</t>
  </si>
  <si>
    <t>- methodisches Gesamtvorgehen und zentrale Datenquellen</t>
  </si>
  <si>
    <t>- Parameter zur Beschreibung der technischen Potenziale. Diese umfassen:</t>
  </si>
  <si>
    <t>- leistungsbezogene Parameter: für Lastverschiebung oder Lastverzicht geeignete Leistung sowie Mindest- und Maximallasten</t>
  </si>
  <si>
    <t>- zeitbezogende Parameter: Aktivierungsdauer, Schaltdauer, Verschiebedauer, Regenerationsdauer, zeitliche Verfügbarkeit der Lastmanagementpotenziale</t>
  </si>
  <si>
    <t>- kostenbezogene Parameter: spezifische Investitionsausgaben, variable Kosten (für die Aktivierung), fixe Kosten</t>
  </si>
  <si>
    <t>- verwendeter Potenzialbegriff (neben dem technischen)</t>
  </si>
  <si>
    <t>- abgedeckter Zeithorizont</t>
  </si>
  <si>
    <t>- Basisjahr</t>
  </si>
  <si>
    <r>
      <t xml:space="preserve">Die </t>
    </r>
    <r>
      <rPr>
        <b/>
        <sz val="11"/>
        <color theme="1"/>
        <rFont val="Arial"/>
        <family val="2"/>
      </rPr>
      <t>Inhalte</t>
    </r>
    <r>
      <rPr>
        <sz val="11"/>
        <color theme="1"/>
        <rFont val="Arial"/>
        <family val="2"/>
      </rPr>
      <t xml:space="preserve"> dieses Dokuments können auf folgendem Tabellenblatt nachvollzogen werden:</t>
    </r>
  </si>
  <si>
    <t>Vorgehen zur Erhebung der Ausprägungen für die methodischen Elemente</t>
  </si>
  <si>
    <t>Dokumentation_Methode</t>
  </si>
  <si>
    <r>
      <t xml:space="preserve">Das genaue Vorgehen zur </t>
    </r>
    <r>
      <rPr>
        <b/>
        <sz val="11"/>
        <color theme="1"/>
        <rFont val="Arial"/>
        <family val="2"/>
      </rPr>
      <t>Erhebung der Ausprägungen</t>
    </r>
    <r>
      <rPr>
        <sz val="11"/>
        <color theme="1"/>
        <rFont val="Arial"/>
        <family val="2"/>
      </rPr>
      <t xml:space="preserve"> für die methodischen Elemente kann auf folgendem Tabellenblatt nachvollzogen werden:</t>
    </r>
  </si>
  <si>
    <t>Grundsätzlich wurden für die analysierten methodischen Elemente Ausprägungen definiert und in einer dreistufigen Abstufung bewertet:</t>
  </si>
  <si>
    <t>- 1: erfüllt</t>
  </si>
  <si>
    <t>- 0,5: in Teilen, aber nicht durchgängig erfüllt</t>
  </si>
  <si>
    <t>- 0: nicht erfüllt</t>
  </si>
  <si>
    <r>
      <t xml:space="preserve">Zur Zusammenstellung des Datenmaterials wird folgendes </t>
    </r>
    <r>
      <rPr>
        <b/>
        <sz val="11"/>
        <color theme="1"/>
        <rFont val="Arial"/>
        <family val="2"/>
      </rPr>
      <t>Vorgehen</t>
    </r>
    <r>
      <rPr>
        <sz val="11"/>
        <color theme="1"/>
        <rFont val="Arial"/>
        <family val="2"/>
      </rPr>
      <t xml:space="preserve"> gewählt.</t>
    </r>
  </si>
  <si>
    <t>Kriterien für die Auswahl sind</t>
  </si>
  <si>
    <t>Die folgenden Elemente zur Charakterisierung des methodischen Vorgehens werden gesammelt und in der vorliegenden Excel-Arbeitsmappe zusammengestellt</t>
  </si>
  <si>
    <t>Kriteriengestützt werden Publikationen zu technischen Lastmanagementpotenzialen für Deutschland identifiziert und hinsichtlich ihres methodischen Vorgehens sowie der angegebenen Potenziale ausgewertet.</t>
  </si>
  <si>
    <t>Nachfolgend ist das hierzu angewendete methodische Vorgehen mit Fokus auf dem Methodenvergleich dargelegt.</t>
  </si>
  <si>
    <t>Die Daten werden aus den Publikationen soweit möglich erhoben. Hierbei werden weitgehend die ursrpünglichen Bezeichnungen bzw. Kategorisierungen verwendet, soweit diese konform mit der eigenen Analyse sind.</t>
  </si>
  <si>
    <t>Eine Ausnahme bildet etwa der Potenzialbegriff, der nach der Definition der eigenen Arbeit zugewiesen wird.</t>
  </si>
  <si>
    <t>Zur Schließung von Datenlücken werden Angaben in weiteren Publikationen herangezogen, die referenziert werden (insbesondere hinsichtlich der Jahre der Datenbasis).</t>
  </si>
  <si>
    <t>Gesamtüberblick</t>
  </si>
  <si>
    <t>Die Zusammenstellung aller Daten erfolgt auf dem Tabellenblatt</t>
  </si>
  <si>
    <t>Auf den weiteren Tabellenblätter werden Einzelelemente ausgewertet.</t>
  </si>
  <si>
    <t>Gesamtueberblick</t>
  </si>
  <si>
    <t>00_Ueberblick_Biografie</t>
  </si>
  <si>
    <t>00_Zuordnung_Publikation_Nummer</t>
  </si>
  <si>
    <t>01_Methode_Daten_kodiert</t>
  </si>
  <si>
    <t>01_Methode_Daten_AUSW</t>
  </si>
  <si>
    <t>02_Ind_QST_Urliste</t>
  </si>
  <si>
    <t>02_GHD_QST-Branchen_Urliste</t>
  </si>
  <si>
    <t>02_HaHa_Urliste</t>
  </si>
  <si>
    <t>01_Methode_Daten_AUSW_NR</t>
  </si>
  <si>
    <t>01_Annahmen_Kategorien</t>
  </si>
  <si>
    <t>01_Annahmen_Urliste</t>
  </si>
  <si>
    <t>01_Annahmen_Daten_kodiert</t>
  </si>
  <si>
    <t>01_Annahmen_Daten_AUSW</t>
  </si>
  <si>
    <t>01_Annahmen_Daten_AUSW_NR</t>
  </si>
  <si>
    <t>01_Datenbasis_Kategorien</t>
  </si>
  <si>
    <t>01_Datenbasis_Urliste</t>
  </si>
  <si>
    <t>01_Datenbasis_kodiert</t>
  </si>
  <si>
    <t>01_Datenbasis_AUSW</t>
  </si>
  <si>
    <t>01_Datenbasis_AUSW_NR</t>
  </si>
  <si>
    <t>01_Folgeanalyse_kodiert</t>
  </si>
  <si>
    <t>01_Folgeanalyse_AUSW</t>
  </si>
  <si>
    <t>01_Folgeanalyse_AUSW_NR</t>
  </si>
  <si>
    <t>01_Zitationsanalyse_kodiert</t>
  </si>
  <si>
    <t>02_Ind_QST_Kategorien</t>
  </si>
  <si>
    <t>02_GHD_QST-Branchen_Kategorien</t>
  </si>
  <si>
    <t>02_HaHa_Kategorien</t>
  </si>
  <si>
    <t>02_Ind_Prozesse_Kategorien</t>
  </si>
  <si>
    <t>02_Ind_Prozesse_Urliste</t>
  </si>
  <si>
    <t>02_Ind_Prozesse_kodiert</t>
  </si>
  <si>
    <t>02_Ind_Prozesse_AUSW</t>
  </si>
  <si>
    <t>02_Ind_Prozesse_AUSW_NR</t>
  </si>
  <si>
    <t>02_Ind_QST_kodiert</t>
  </si>
  <si>
    <t>02_Ind_QST_AUSW</t>
  </si>
  <si>
    <t>02_Ind_QST_AUSW_NR</t>
  </si>
  <si>
    <t>02_GHD_QST-Branchen_kodiert</t>
  </si>
  <si>
    <t>02_GHD_QST-Branchen_AUSW</t>
  </si>
  <si>
    <t>02_GHD_QST-Branchen_AUSW_NR</t>
  </si>
  <si>
    <t>02_HaHa_kodiert</t>
  </si>
  <si>
    <t>02_HaHa_AUSW</t>
  </si>
  <si>
    <t>02_HaHa_AUSW_NR</t>
  </si>
  <si>
    <t>03_Flexparameter_kodiert</t>
  </si>
  <si>
    <t>03_Flexparameter_AUSW</t>
  </si>
  <si>
    <t>03_Flexparameter_AUSW_NR</t>
  </si>
  <si>
    <t>03_Zeitverfuegbarkeit_kodiert</t>
  </si>
  <si>
    <t>03_Zeitverfuegbarkeit_AUSW</t>
  </si>
  <si>
    <t>03_Zeitverfuegbarkeit_AUSW_NR</t>
  </si>
  <si>
    <t>04_Potenzialbegriff_kodiert</t>
  </si>
  <si>
    <t>04_Potenzialbegriff_AUSW</t>
  </si>
  <si>
    <t>04_Potenzialbegriff_AUSW_NR</t>
  </si>
  <si>
    <t>05_Betrachtungshorizont_kodiert</t>
  </si>
  <si>
    <t>05_Betrachtungshorizont_AUSW</t>
  </si>
  <si>
    <t>05_Betrachtungshorizont_AUSW_NR</t>
  </si>
  <si>
    <t>05_Basisjahr_kodiert</t>
  </si>
  <si>
    <t>05_Basisjahr_AUSW</t>
  </si>
  <si>
    <t>05_Basisjahr_AUSW_NR</t>
  </si>
  <si>
    <t>Dropdown</t>
  </si>
  <si>
    <t>Auswertung_Flexpotenziale</t>
  </si>
  <si>
    <t>EnArgus</t>
  </si>
  <si>
    <t>Inhaltsverzeichnis</t>
  </si>
  <si>
    <t>Dokumentation der Methode</t>
  </si>
  <si>
    <t>Gesamtüberblick über die Datenzusammenstellung</t>
  </si>
  <si>
    <t>Überblick über bibliografische Angaben</t>
  </si>
  <si>
    <t>Zuordnung der Publikationen zu Nummern</t>
  </si>
  <si>
    <t>industrielle Prozesse als Urliste</t>
  </si>
  <si>
    <t>GHD-Branchen und -Prozesse als Urlise</t>
  </si>
  <si>
    <t>Haushaltsanwerndungen als Urliste</t>
  </si>
  <si>
    <t>Tabellenblatt</t>
  </si>
  <si>
    <t>Beschreibung</t>
  </si>
  <si>
    <t>Auswertung von Methode und Daten - ausgewertet mit Nummern</t>
  </si>
  <si>
    <t>Annahmen und Kategorien</t>
  </si>
  <si>
    <t>Annahmen als Urliste</t>
  </si>
  <si>
    <t>Annahmen und Daten - kodiert</t>
  </si>
  <si>
    <t>Annahmen und Daten - ausgewertet</t>
  </si>
  <si>
    <t>Annahmen und Daten - ausgewertet mit Nummern</t>
  </si>
  <si>
    <t>Kategorien für die Datenbasis</t>
  </si>
  <si>
    <t>Urliste für die Datenbasis</t>
  </si>
  <si>
    <t>Datenbasis - kodiert</t>
  </si>
  <si>
    <t>Datenbasis - ausgewertet mit Nummern</t>
  </si>
  <si>
    <t>Folgeanalyse - ausgewertet mit Nummern</t>
  </si>
  <si>
    <t>Datenbasis - ausgewertet</t>
  </si>
  <si>
    <t>Folgeanalyse - ausgewertet</t>
  </si>
  <si>
    <t>Folgeanalyse - kodiert</t>
  </si>
  <si>
    <t>Zitationsanalyse - kodiert</t>
  </si>
  <si>
    <t>Potenzialbegriff - kodiert</t>
  </si>
  <si>
    <t>Potenzialbegriff - ausgewertet</t>
  </si>
  <si>
    <t>Potenzialbegriff - ausgewertet mit Nummern</t>
  </si>
  <si>
    <t>Betrachtungshorizont - kodiert</t>
  </si>
  <si>
    <t>Betrachtungshorizont - ausgewertet</t>
  </si>
  <si>
    <t>Betrachtungshorizont - ausgewertet mit Nummern</t>
  </si>
  <si>
    <t>Basisjahr - kodiert</t>
  </si>
  <si>
    <t>Basisjahr - ausgewertet</t>
  </si>
  <si>
    <t>Basisjahr - ausgewertet mit Nummern</t>
  </si>
  <si>
    <t>Kategorien für industrielle Prozesse</t>
  </si>
  <si>
    <t>Kategorien für Haushalsanwendungen</t>
  </si>
  <si>
    <t>Kategorien für industrielle Querschnittstechnologien</t>
  </si>
  <si>
    <t>Kategorien für GHD-QST und Branchen</t>
  </si>
  <si>
    <t>Urliste der industriellen Prozesse</t>
  </si>
  <si>
    <t>industrielle Prozesse - kodiert</t>
  </si>
  <si>
    <t>industrielle Prozesse - ausgewertet</t>
  </si>
  <si>
    <t>industrielle Prozesse - ausgewertet mit Nummern</t>
  </si>
  <si>
    <t>industrielle Querschnittstechnologien - ausgewertet</t>
  </si>
  <si>
    <t>industrielle Querschnittstechnologien - ausgewertet mit Nummern</t>
  </si>
  <si>
    <t>industrielle Querschnittstechnologien - kodiert</t>
  </si>
  <si>
    <t>GHD-QST und Branchen - kodiert</t>
  </si>
  <si>
    <t>GHD-QST und Branchen - ausgewertet</t>
  </si>
  <si>
    <t>GHD-QST und Branchen - ausgewertet mit Nummern</t>
  </si>
  <si>
    <t>Haushaltsanwendungen - kodiert</t>
  </si>
  <si>
    <t>Haushaltsanwendungen - ausgewertet</t>
  </si>
  <si>
    <t>Haushaltsanwendungen - ausgewertet mit Nummern</t>
  </si>
  <si>
    <t>Flexibilitätsparameter - kodiert</t>
  </si>
  <si>
    <t>Flexibilitätsparameter - ausgewertet</t>
  </si>
  <si>
    <t>Flexibilitätsparameter - ausgewertet mit Nummern</t>
  </si>
  <si>
    <t>Zeitverfügbarkeit - kodiert</t>
  </si>
  <si>
    <t>Zeitverfügbarkeit - ausgewertet</t>
  </si>
  <si>
    <t>Zeitverfügbarkeit - ausgewertet mit Nummern</t>
  </si>
  <si>
    <t>Dropdown-Optionen</t>
  </si>
  <si>
    <t>Auswertung zu Flexibilitätspotenzialen (aggregiert)</t>
  </si>
  <si>
    <t>Ergebnisse einer Recherche zu Flexibilität bei EnArgus</t>
  </si>
  <si>
    <t>Methode und Daten - kodiert</t>
  </si>
  <si>
    <t>Methode und Daten - ausgewertet</t>
  </si>
  <si>
    <t>öffentliche Statistiken</t>
  </si>
  <si>
    <t>Smart Metering- und 
Lastamanagementfeldstudien</t>
  </si>
  <si>
    <t>VNB-Daten (z. B. 
Einspeisemanagement)</t>
  </si>
  <si>
    <t>technische Publikationen 
zu Prozessen</t>
  </si>
  <si>
    <t>Datenportale: Verbrauchs-, 
Wetter-, Preisdaten</t>
  </si>
  <si>
    <t>Papierherstellung 
(Prozess gesamt)</t>
  </si>
  <si>
    <t>Holzstoff- und Zellstoffherstellung 
(Holzschleifer / Refiner)</t>
  </si>
  <si>
    <t>Papierveredelung 
(Streichmaschinen und Kalander)</t>
  </si>
  <si>
    <t>Elektrostahlherstellung 
(Lichtbogenofen)</t>
  </si>
  <si>
    <t>Zementherstellung 
(Prozess gesamt)</t>
  </si>
  <si>
    <t>Kupfer- und Zinkherstellung 
(Elektrolyse)</t>
  </si>
  <si>
    <t>Primärkupferherstellung 
(elektrolytische Kupferraffination)</t>
  </si>
  <si>
    <t>Primärzinkherstellung 
(Nasschemische Elektrolyse)</t>
  </si>
  <si>
    <t>Metallbearbeitung 
(Wärmebehandlung)</t>
  </si>
  <si>
    <t>Calciumcarbid-Herstellung 
(Lichtbogenofen)</t>
  </si>
  <si>
    <t>Graphitelektroden 
(Graphitierungsofen)</t>
  </si>
  <si>
    <t>Silizium-Metall 
(Lichtbogenofen)</t>
  </si>
  <si>
    <t>Kühlung im 
Lebensmitteleinzelhandel</t>
  </si>
  <si>
    <t>Kühlung im Gastronomiebereich 
(Hotels, Restaurants)</t>
  </si>
  <si>
    <t>Raumwärme 
(elektrische Raumheizung)</t>
  </si>
  <si>
    <t>Pumpenanwendungen in der 
Wasserversorgung</t>
  </si>
  <si>
    <t>Notstromaggregate, Back-Up-
Server und Mobilfunkstationen</t>
  </si>
  <si>
    <t>Lastflexibilisierung mittels 
Batteriespeichern</t>
  </si>
  <si>
    <t>Potenzial positiv</t>
  </si>
  <si>
    <t>Potenzial negativ</t>
  </si>
  <si>
    <t>Benutzungsstunden / 
Auslastung</t>
  </si>
  <si>
    <t>Prozessdampf mittels 
KWK-Eigenerzeugung</t>
  </si>
  <si>
    <t>Kühlung 
(Lebensmittelindustrie)</t>
  </si>
  <si>
    <t>Elektrische 
Wärmeerzeugung</t>
  </si>
  <si>
    <t>Betrachtungsumfang Sektoren</t>
  </si>
  <si>
    <t>Haushalte</t>
  </si>
  <si>
    <t>GHD</t>
  </si>
  <si>
    <t>Industrie</t>
  </si>
  <si>
    <t>Prozessdetaillierung?</t>
  </si>
  <si>
    <t>Papierindustrie: 
Holzstoffherstellung</t>
  </si>
  <si>
    <t>Papierindustrie: 
Zellstoffherstellung</t>
  </si>
  <si>
    <t>Papierindustrie: 
Altpapier</t>
  </si>
  <si>
    <t>Papierindustrie: 
Papiermaschinen</t>
  </si>
  <si>
    <t>Papierindustrie: 
Streichmaschinen und Kalander</t>
  </si>
  <si>
    <t>Chlor-Alkali-Elektrolyse: 
Membranverfahren</t>
  </si>
  <si>
    <t>Chlor-Alkali-Elektrolyse: 
Amalgamverfahren</t>
  </si>
  <si>
    <t>Chlor-Alkali-Elektrolyse:
 Diaphragmaverfahren</t>
  </si>
  <si>
    <t>Chlor-Alkali-Elektrolyse: 
HCl-Verfahren (Deacon-Verfahren)</t>
  </si>
  <si>
    <t>Zementindustrie: 
Drehrohröfen</t>
  </si>
  <si>
    <t>Zementindustrie: 
Rohmehlmühlen</t>
  </si>
  <si>
    <t>Zementindustrie: 
Zementmühlen</t>
  </si>
  <si>
    <t>Kürzel</t>
  </si>
  <si>
    <t>Ape12</t>
  </si>
  <si>
    <t>Ary17</t>
  </si>
  <si>
    <t>Blu13</t>
  </si>
  <si>
    <t>Foc11</t>
  </si>
  <si>
    <t>Gil15</t>
  </si>
  <si>
    <t>Gob12</t>
  </si>
  <si>
    <t>Gro13</t>
  </si>
  <si>
    <t>Gru17</t>
  </si>
  <si>
    <t>Haa17</t>
  </si>
  <si>
    <t>Hen15</t>
  </si>
  <si>
    <t>Klo09</t>
  </si>
  <si>
    <t>Klo13</t>
  </si>
  <si>
    <t>Krz13</t>
  </si>
  <si>
    <t>Lad18</t>
  </si>
  <si>
    <t>Lan15</t>
  </si>
  <si>
    <t>Lie15</t>
  </si>
  <si>
    <t>Mol10</t>
  </si>
  <si>
    <t>Pau11</t>
  </si>
  <si>
    <t>Pel16</t>
  </si>
  <si>
    <t>r2b14</t>
  </si>
  <si>
    <t>Roo10</t>
  </si>
  <si>
    <t>Sch14</t>
  </si>
  <si>
    <t>Sta06</t>
  </si>
  <si>
    <t>Ste17</t>
  </si>
  <si>
    <t>Sty15</t>
  </si>
  <si>
    <t>Fundstellen</t>
  </si>
  <si>
    <t>765-766</t>
  </si>
  <si>
    <t>16-17</t>
  </si>
  <si>
    <t>178, 182, 184-186</t>
  </si>
  <si>
    <t>140-143, 145-146</t>
  </si>
  <si>
    <t>137, 148, 150-151, 155-156, 159</t>
  </si>
  <si>
    <t>92-94</t>
  </si>
  <si>
    <t>169, 172, 175, 177, 179-180</t>
  </si>
  <si>
    <t>209-210</t>
  </si>
  <si>
    <t>67-68, 70</t>
  </si>
  <si>
    <t>545, 549-550, 553, 565-566</t>
  </si>
  <si>
    <t>143, 146-147</t>
  </si>
  <si>
    <t>38-39</t>
  </si>
  <si>
    <t>147, 149, 152</t>
  </si>
  <si>
    <t>41-42</t>
  </si>
  <si>
    <t>120, 128-130, 132-133, 135-136, 138-139</t>
  </si>
  <si>
    <t>Luftzerlegung; Chlorelektrolyse; Metallbearbeitung - Wärmebehandlung (Induktionsofen, Widerstandsofen); Giessereien (Induktionsofen, Lichtbogenofen, Widerstandsofen); Elektro-Stahlherstellung; NE-Metallindustrie (Alu, Kupfer, Zink-Blei -&gt; Schmelzflusselektrolyse, Affinierung); Papierindustrie (Schleifer, Refiner, Pulper, Streichmaschinen und Kalander); Zement (Roh- und Zementmühlen)</t>
  </si>
  <si>
    <t>Klobasa et al. 2013
(Buber et al. 2013; Gruber et al. 2014)</t>
  </si>
  <si>
    <t>Pellinger und Schmid 2016</t>
  </si>
  <si>
    <t>Lastmanagement als Beitrag zur Deckung des Spitzenlastbedarfs in Süddeutschland (Lastmanagement für Systemdienstleistungen und zur Reduktion der Spitzenlast; Regionale Lastmanagement-Potenziale stromintensiver Prozesse)</t>
  </si>
  <si>
    <t>Studie (Journal Article; Conference Article)</t>
  </si>
  <si>
    <t>Vorgehen bei Klobasa et al. 2013: Ermittlung des Lastmanagementpotenzials in Süddeutschland (S. 22-23, 31, 44)
- Auswertung von Studien und Statistiken
- Online-Umfrage mit 297 Unternehmensteilnahmen
- Interviews mit 10 Unternehmen
- Gespräche mit Energieversorgern und Dienstleistern
- Analyse von Einzelprozessen und Abschätzung des im Rahmen der AbLaV nutzbaren Potenzials (S. 44-51)
- Ermittlung von Lastverschiebe- und Lastverzichtpotenzialen bei industriellen Querschnittstechnologien basierend auf Daten aus Energieeffizienznetzwerk, Statistiken, Umfrage und Gesprächen (S. 54-60)
- Ermittlung des Lastverschiebungspotenzials für Nachtspeicher und Wärmepumpen anhand Verschiebemodellen sowie Außentemperaturen (S. 70-74)
Vorgehen Buber et al. 2013: Hochskalierung der Werte für die energieintensive Industrie auf Gesamtdeutschland (S. 90-91)
Vorgehen bei Gruber et al. 2014: Regionalisieriung der Werte basierend auf Daten aus Klobasa et al. 2013 sowie Buber et al. 2013 (S. 2; 4-5)</t>
  </si>
  <si>
    <t xml:space="preserve">Separate Ermittlung der Potenziale für Haushalte, Industrie und GHD und jeweils Angabe einer Minimal- und Maximalabschätzung: (S. 8-10)
Haushalte (S. 8-10):
- Auswahl geeigneter Anwendungen anhand Kriterien: ausreichende Leistung, keine Power On Demand-Anwendungen sowie maximale Leistungsabgabe möglichst direkt zu Beginn des Einschaltprozesses
- Ermittlung technisches Potenzial: positiv: durchschnittliche Leistung, negativ: Differenz zwischen Maximalleistung und durchschnittlicher Leistung; durchschnittliche Leistung über Durchdringung und typische Lastprofile bzw. Vollbenutzungsstunden abgeschätzt
- Ermittlung realisierbares Potenzial durch Einführung Realisierbarkeitsfaktoren: Berücksichtigung praktischer und wirtschaftlicher Erwägungen; Einführung Akzeptanzfaktoren: Abbildung des Einverständnis mit externer Steuerung von Lasten
- Zuordnung zu diskreten Bereitstellungszeiträumen
GHD (S. 26-28):
- Ermittlung von Potenzialen für typische Anwendungsbereiche im GHD-Sektor
- Bestimmung von durchschnittlichen Leistungen auf Basis von Jahresenergieverbräuchen
- Ermittlung technisches und realisierbares Potenzial ansonsten analog zum Haushaltssektor
Industrie (S. 38):
- Abschätzung für Industrie beruhend auf Abschätzung der FfE (Buber et al. 2013; Gruber et al. 2014)
</t>
  </si>
  <si>
    <t>Energieflexibilität in der deutschen Industrie. Ergebnisse aus dem Kopernikus-Projekt - Synchronisierte und energieadaptive Produktionstechnik zur flexiblen Ausrichtung von Industrieprozessen auf eine fluktuierende Energieversorgung (SynErgie).</t>
  </si>
  <si>
    <t>BMBF</t>
  </si>
  <si>
    <t>421-446</t>
  </si>
  <si>
    <t>Messwerte, Befragungen</t>
  </si>
  <si>
    <t>1ff.</t>
  </si>
  <si>
    <t>detailliert für verschiedene Industriebranchen, allerdings Fokus eher auf Idendifikation und Hebung realer Bottom-Up-Potenziale anstatt Generierung einer übergeordneten Gesamtpotenzialschätzung</t>
  </si>
  <si>
    <t>Sau19</t>
  </si>
  <si>
    <t>1</t>
  </si>
  <si>
    <t>0</t>
  </si>
  <si>
    <t>Ausfelder et al.</t>
  </si>
  <si>
    <t>Flexibilitätsoptionen in der Grundstoffindustrie</t>
  </si>
  <si>
    <t>- Metaanalyse zur Klärung von Definitorik
- Hochrechnung von Einzelstandorten basierend auf Branchen- und Prozesssteckbriefen, die in Umfrage erstellt wurden
- Analyse regulatorischer, technischer, organisatorischer Hemmnisse (Interviews und Literaturrecherche)
- Analyse wirtschaftlicher Rahmenbedingungen in Unternehmensbefragungen
- Entwicklung lineares Modell zur Reduktion von Strombezugskosten
- Einordnung in Anforderungskategorien: Kurzfrist (Regelleistung), mehrere Stunden (DA), Dunkelflaute von 1-5 Tagen</t>
  </si>
  <si>
    <t>1-45</t>
  </si>
  <si>
    <t>Befragungen, Literatur, Hochrechnung</t>
  </si>
  <si>
    <t>Aus18</t>
  </si>
  <si>
    <t>detailliert für verschiedene Industriebranchen, allerdings Fokus eher auf Idendifikation und Hebung realer Bottom-Up-Potenziale anstatt Generierung einer übergeordneten Gesamtpotenzialschätzung; für Hochrechnungen teilweise nur Methoden dargelegt; Ergebnisse nicht oder nicht ohne Weiteres extrahierbar</t>
  </si>
  <si>
    <t>- Transparenzschaffung: Datenerhebung in verschiedenen Industriebranchen mittels realer Messungen, Ermittlung von möglichen Maßnahmen und Differenzlastprofilen, Priorisierung von Maßnahmen
- überschlägige Wirtschaftlichkeitsbewertung mithilfe eines einfachen Excel-Tools auf Betriebsebene
- ggf. Simulation des Produktionsprozesses mithilfe eines generischen Material- und Energieflusstools
- ggf. Hochskalierung der Potenziale
- Vorgehen in den verschiedenen Industriezweigen unterscheidet sich (mitunter stark)</t>
  </si>
  <si>
    <t>- Diese Parameter wurden in einer separaten Arbeitsmappe erfasst (Potenziale_Lastmanagement.xlsx) und unter Nutzung eines jupyter notebooks aufbereitet (DR_potential_evaluation.ipynb).</t>
  </si>
  <si>
    <t>Erfassung der Daten aus Publikationen soweit möglich; weitgehend Übernahme der ursprünglichen Bezeichnungen / Kategorisierungen; Ausnahme: Potenzialbegriff nach Definition der eigenen Arbeit zugewiesen</t>
  </si>
  <si>
    <t>SynErgie Gesamtkonsortium</t>
  </si>
  <si>
    <t>0,5</t>
  </si>
  <si>
    <t>421-446; Einzelkapitel</t>
  </si>
  <si>
    <t>Heitkötter et al.</t>
  </si>
  <si>
    <t>Hei21</t>
  </si>
  <si>
    <t>Assessment of the regionalised demand response potential in Germany using an open source tool and dataset</t>
  </si>
  <si>
    <t>SDW; BMWK</t>
  </si>
  <si>
    <t>Paper</t>
  </si>
  <si>
    <t>100003-100008</t>
  </si>
  <si>
    <t>detaillierte und konsistente Analyse; starker Fokus auf Regionalisierung, aber Daten für Gesamtdeutschland sollten sich ebenfalls extrahieren lassen</t>
  </si>
  <si>
    <t>- Regionalisierung Energieverbrauch unter Verwendung von Lastprofilen, Nutzungsraten und flexibilisierbaren Leistungsanteilen
  - bei Haushalten Nutzung von Einwohnerzahlen und durchschnittlichem Einkommen als Proxy
  - bei GHD Nutzung von Erwerbstätigen als Proxy
  - energieintensive Industrien standortscharf regionalisiert
- Ermittlung von Basislastgängen und Flexibilitätsrestriktionen
  - bei Haushaltsanwendungen: Nutzung von BDEW-Standardlastprofil H0
  - bei GHD-Anwendungen: Nutzung von BDEW-Standardlastprofil G3
  - PtH-Profile aus vorheriger Analyse in Heitkötter et al. (2020)
  - weitere Profilannahmen aus Gils (2015); Elektromobilität nach Tena (2015)
  - COP-Profile nach Ruhnau et al. (2019) -&gt; When2Heat-Datenset
- Ermittlung von Potenzialen mit einem linearen Lastverschiebemodell
  - speicheranaloge Modellierung -&gt; Erweiterung Ansatz von Kleinhans (2014)
  - Verschiebedauern, Leistungsgrenzen und flexible Leistungsanteile aus Literatur übernommen
- Ausgabe von regionalen Potenzialen sowie regionalen Kosten-Potenzial-Kurven
- Entwicklung von Status-Quo-Daten für 2018 und Projektionen für 2030
  - Projektionen basierend auf Szenario B des NEP 2030 aus dem Jahr 2019 sowie Gils (2015) und Steurer (2017)</t>
  </si>
  <si>
    <t>Märkle-Huß et al.</t>
  </si>
  <si>
    <t>Mae18</t>
  </si>
  <si>
    <t>Large-scale demand response and its implications for spot prices, load and policies: Insights from the German-Austrian electricity market</t>
  </si>
  <si>
    <t>Universität Freiburg</t>
  </si>
  <si>
    <t>- Entwicklung eines quadratischen Kostenminimierungsproblems für den Demand Response-Einsatz
- Analyse von Kosteneinsparungen basierend auf realen Gebotskurven für DA-AT und unter Annahme, dass Lastverschiebung zur Verfügung steht</t>
  </si>
  <si>
    <t>1291-1292</t>
  </si>
  <si>
    <t>Literatur: Gils (2014), (2016); Klobasa (2009), (2010); Stötzer (2015)</t>
  </si>
  <si>
    <t>1-45; Einzelkapitel</t>
  </si>
  <si>
    <t>an der Grenze der Auswertbarkeit infolge eher überschaubaren und nicht transparent dargelegten Eigenbeitrags der Potenzialermittlung</t>
  </si>
  <si>
    <t>Wohlfarth et al.</t>
  </si>
  <si>
    <t>Sauer et al.</t>
  </si>
  <si>
    <t>114091-114094</t>
  </si>
  <si>
    <t>Fraunhofer ISI; Utrecht University</t>
  </si>
  <si>
    <t>Demand response in the service sector – Theoretical, technical and practical potentials</t>
  </si>
  <si>
    <t>- Durchführung einer standardisierten Telefon-Befragung unter Unternehmen der Branchen Bürobetriebe, Handel und Hotel/Gastgewerbe
- Hochskalierung der Ergebnisse auf Gesamtbranchen
- Ermittlung theoretischer, technischer und praktischer Potenziale
- Analyse von Einflussfaktoren (Hemmnissen und Treibern) auf die (Nicht-)Hebung von Demand Response-Potenzialen -&gt; Regressionsanalyse für Einflussermittlung</t>
  </si>
  <si>
    <t>standardisierte Befragung</t>
  </si>
  <si>
    <t>2018/19</t>
  </si>
  <si>
    <t>Woh20</t>
  </si>
  <si>
    <t>Literatur; (Regionen-)statistische Daten</t>
  </si>
  <si>
    <t>2017-2018</t>
  </si>
  <si>
    <t>2017-2020</t>
  </si>
  <si>
    <t>114091-114098</t>
  </si>
  <si>
    <t>Jetter et al.</t>
  </si>
  <si>
    <t>Jet21</t>
  </si>
  <si>
    <t>Regionale Lastmanagementpotenziale. Quantifizierung bestehender und zukünftiger Lastmanagementpotenziale in Deutschland</t>
  </si>
  <si>
    <t>FfE; Guidhouse</t>
  </si>
  <si>
    <t>ÜNB</t>
  </si>
  <si>
    <t>Gutachten</t>
  </si>
  <si>
    <t>- Bestimmung von Lastmanagementkategorien und Erhebung der Potenziale
- Durchführung von Experteninterviews
- Ausarbeitung von drei Potenzialen der zukünftigen Entwicklung
- Bestimmung von Kosten für Lastmanagement
- Regionalisierung der Potenziale</t>
  </si>
  <si>
    <t>Literatur (u.a. Steurer 2017, Gruber 2017, Heitkötter et al. 2021, …); Experteninterviews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</si>
</sst>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quot; GW&quot;"/>
    <numFmt numFmtId="165" formatCode="0.0"/>
  </numFmts>
  <fonts count="18" x14ac:knownFonts="1">
    <font>
      <sz val="12"/>
      <color theme="1"/>
      <name val="Calibri"/>
      <family val="2"/>
      <scheme val="minor"/>
    </font>
    <font>
      <sz val="10"/>
      <color theme="1"/>
      <name val="Arial"/>
      <family val="2"/>
    </font>
    <font>
      <sz val="11"/>
      <color theme="1"/>
      <name val="Arial"/>
      <family val="2"/>
    </font>
    <font>
      <b/>
      <sz val="11"/>
      <color theme="1"/>
      <name val="Arial"/>
      <family val="2"/>
    </font>
    <font>
      <sz val="9"/>
      <color indexed="81"/>
      <name val="Segoe UI"/>
      <family val="2"/>
    </font>
    <font>
      <b/>
      <sz val="9"/>
      <color indexed="81"/>
      <name val="Segoe UI"/>
      <family val="2"/>
    </font>
    <font>
      <b/>
      <sz val="10"/>
      <name val="Arial"/>
      <family val="2"/>
    </font>
    <font>
      <sz val="12"/>
      <name val="Times New Roman"/>
      <family val="1"/>
    </font>
    <font>
      <sz val="10"/>
      <name val="Arial"/>
      <family val="2"/>
    </font>
    <font>
      <sz val="12"/>
      <name val="Calibri"/>
      <family val="2"/>
      <scheme val="minor"/>
    </font>
    <font>
      <b/>
      <sz val="10"/>
      <name val="Arial"/>
      <family val="2"/>
    </font>
    <font>
      <sz val="10"/>
      <name val="Arial"/>
      <family val="2"/>
    </font>
    <font>
      <u/>
      <sz val="12"/>
      <color theme="10"/>
      <name val="Calibri"/>
      <family val="2"/>
      <scheme val="minor"/>
    </font>
    <font>
      <b/>
      <sz val="12"/>
      <color theme="1"/>
      <name val="Calibri"/>
      <family val="2"/>
      <scheme val="minor"/>
    </font>
    <font>
      <b/>
      <sz val="12"/>
      <name val="Calibri"/>
      <family val="2"/>
      <scheme val="minor"/>
    </font>
    <font>
      <u/>
      <sz val="12"/>
      <name val="Calibri"/>
      <family val="2"/>
      <scheme val="minor"/>
    </font>
    <font>
      <b/>
      <sz val="10"/>
      <color theme="1"/>
      <name val="Arial"/>
      <family val="2"/>
    </font>
    <font>
      <u/>
      <sz val="12"/>
      <color theme="10"/>
      <name val="Arial"/>
      <family val="2"/>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theme="1"/>
      </bottom>
      <diagonal/>
    </border>
  </borders>
  <cellStyleXfs count="2">
    <xf numFmtId="0" fontId="0" fillId="0" borderId="0"/>
    <xf numFmtId="0" fontId="12" fillId="0" borderId="0" applyNumberFormat="0" applyFill="0" applyBorder="0" applyAlignment="0" applyProtection="0"/>
  </cellStyleXfs>
  <cellXfs count="115">
    <xf numFmtId="0" fontId="0" fillId="0" borderId="0" xfId="0"/>
    <xf numFmtId="0" fontId="2" fillId="0" borderId="0" xfId="0" applyFont="1"/>
    <xf numFmtId="0" fontId="3" fillId="0" borderId="0" xfId="0" applyFont="1"/>
    <xf numFmtId="0" fontId="6" fillId="2" borderId="1" xfId="0" applyFont="1" applyFill="1" applyBorder="1" applyAlignment="1">
      <alignment horizontal="lef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0" borderId="1" xfId="0" applyFont="1" applyFill="1" applyBorder="1" applyAlignment="1">
      <alignment horizontal="left" vertical="center" wrapText="1"/>
    </xf>
    <xf numFmtId="0" fontId="7" fillId="0" borderId="0" xfId="0" applyFont="1" applyFill="1"/>
    <xf numFmtId="0" fontId="8" fillId="0" borderId="1" xfId="0" applyFont="1" applyFill="1" applyBorder="1" applyAlignment="1">
      <alignment horizontal="left" vertical="center" wrapText="1"/>
    </xf>
    <xf numFmtId="0" fontId="8" fillId="0" borderId="1" xfId="0" quotePrefix="1" applyFont="1" applyFill="1" applyBorder="1" applyAlignment="1">
      <alignment horizontal="left" vertical="center" wrapText="1"/>
    </xf>
    <xf numFmtId="164" fontId="8" fillId="0" borderId="1" xfId="0" applyNumberFormat="1" applyFont="1" applyFill="1" applyBorder="1" applyAlignment="1">
      <alignment horizontal="left" vertical="center" wrapText="1"/>
    </xf>
    <xf numFmtId="0" fontId="7" fillId="0" borderId="0" xfId="0" applyFont="1" applyFill="1" applyAlignment="1">
      <alignment vertical="center" wrapText="1"/>
    </xf>
    <xf numFmtId="17" fontId="8" fillId="0" borderId="1" xfId="0" quotePrefix="1" applyNumberFormat="1" applyFont="1" applyFill="1" applyBorder="1" applyAlignment="1">
      <alignment horizontal="left" vertical="center" wrapText="1"/>
    </xf>
    <xf numFmtId="16" fontId="8" fillId="0" borderId="1" xfId="0" applyNumberFormat="1" applyFont="1" applyFill="1" applyBorder="1" applyAlignment="1">
      <alignment horizontal="left" vertical="center" wrapText="1"/>
    </xf>
    <xf numFmtId="0" fontId="9" fillId="0" borderId="0" xfId="0" applyFont="1" applyFill="1"/>
    <xf numFmtId="0" fontId="7" fillId="0" borderId="0" xfId="0" applyFont="1" applyFill="1" applyAlignment="1">
      <alignment vertical="center"/>
    </xf>
    <xf numFmtId="0" fontId="1" fillId="0" borderId="0" xfId="0" applyFont="1" applyAlignment="1">
      <alignment vertical="center" wrapText="1"/>
    </xf>
    <xf numFmtId="0" fontId="8" fillId="0" borderId="3" xfId="0" applyFont="1" applyFill="1" applyBorder="1" applyAlignment="1">
      <alignment horizontal="left" vertical="center" wrapText="1"/>
    </xf>
    <xf numFmtId="0" fontId="6" fillId="0" borderId="2" xfId="0" applyFont="1" applyFill="1" applyBorder="1" applyAlignment="1">
      <alignment horizontal="left" vertical="center" wrapText="1"/>
    </xf>
    <xf numFmtId="0" fontId="8" fillId="0" borderId="3" xfId="0" quotePrefix="1" applyFont="1" applyFill="1" applyBorder="1" applyAlignment="1">
      <alignment horizontal="left" vertical="center" wrapText="1"/>
    </xf>
    <xf numFmtId="164" fontId="8" fillId="0" borderId="3" xfId="0" applyNumberFormat="1" applyFont="1" applyFill="1" applyBorder="1" applyAlignment="1">
      <alignment horizontal="left" vertical="center" wrapText="1"/>
    </xf>
    <xf numFmtId="0" fontId="10"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16" fontId="11" fillId="0" borderId="1" xfId="0" applyNumberFormat="1" applyFont="1" applyFill="1" applyBorder="1" applyAlignment="1">
      <alignment horizontal="left" vertical="center" wrapText="1"/>
    </xf>
    <xf numFmtId="0" fontId="11" fillId="0" borderId="1" xfId="0" quotePrefix="1" applyNumberFormat="1" applyFont="1" applyFill="1" applyBorder="1" applyAlignment="1">
      <alignment horizontal="left" vertical="center" wrapText="1"/>
    </xf>
    <xf numFmtId="164" fontId="11" fillId="0" borderId="1" xfId="0" applyNumberFormat="1" applyFont="1" applyFill="1" applyBorder="1" applyAlignment="1">
      <alignment horizontal="left" vertical="center" wrapText="1"/>
    </xf>
    <xf numFmtId="164" fontId="7" fillId="0" borderId="0" xfId="0" applyNumberFormat="1" applyFont="1" applyFill="1"/>
    <xf numFmtId="0" fontId="0" fillId="0" borderId="0" xfId="0" applyAlignment="1">
      <alignment wrapText="1"/>
    </xf>
    <xf numFmtId="0" fontId="13" fillId="0" borderId="0" xfId="0" applyFont="1" applyAlignment="1">
      <alignment wrapText="1"/>
    </xf>
    <xf numFmtId="0" fontId="9" fillId="0" borderId="0" xfId="0" applyFont="1" applyAlignment="1">
      <alignment wrapText="1"/>
    </xf>
    <xf numFmtId="0" fontId="14" fillId="0" borderId="0" xfId="0" applyFont="1" applyAlignment="1">
      <alignment wrapText="1"/>
    </xf>
    <xf numFmtId="0" fontId="15" fillId="0" borderId="0" xfId="1" applyFont="1" applyAlignment="1">
      <alignment vertical="center" wrapText="1"/>
    </xf>
    <xf numFmtId="0" fontId="8" fillId="0" borderId="1" xfId="0" applyFont="1" applyBorder="1" applyAlignment="1">
      <alignment horizontal="left" vertical="center" wrapText="1"/>
    </xf>
    <xf numFmtId="0" fontId="0" fillId="0" borderId="0" xfId="0" applyFill="1"/>
    <xf numFmtId="0" fontId="1" fillId="0" borderId="0" xfId="0" applyFont="1" applyFill="1" applyAlignment="1">
      <alignment vertical="center" wrapText="1"/>
    </xf>
    <xf numFmtId="0" fontId="6"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9" xfId="0" applyFont="1" applyFill="1" applyBorder="1" applyAlignment="1">
      <alignment horizontal="left" vertical="center" wrapText="1"/>
    </xf>
    <xf numFmtId="0" fontId="6" fillId="0" borderId="5"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0" borderId="9" xfId="0" applyFont="1" applyFill="1" applyBorder="1" applyAlignment="1">
      <alignment horizontal="left" vertical="center" wrapText="1"/>
    </xf>
    <xf numFmtId="0" fontId="8" fillId="0" borderId="1" xfId="0" applyFont="1" applyFill="1" applyBorder="1" applyAlignment="1">
      <alignment horizontal="center" vertical="center" wrapText="1"/>
    </xf>
    <xf numFmtId="0" fontId="6" fillId="2" borderId="1" xfId="0" applyFont="1" applyFill="1" applyBorder="1" applyAlignment="1">
      <alignment horizontal="left" vertical="center" textRotation="90" wrapText="1"/>
    </xf>
    <xf numFmtId="0" fontId="8" fillId="0" borderId="3" xfId="0" applyFont="1" applyFill="1" applyBorder="1" applyAlignment="1">
      <alignment horizontal="center" vertical="center" wrapText="1"/>
    </xf>
    <xf numFmtId="0" fontId="8" fillId="0" borderId="1" xfId="0" quotePrefix="1" applyFont="1" applyFill="1" applyBorder="1" applyAlignment="1">
      <alignment horizontal="center" vertical="center" wrapText="1"/>
    </xf>
    <xf numFmtId="0" fontId="11" fillId="0" borderId="1" xfId="0" applyFont="1" applyFill="1" applyBorder="1" applyAlignment="1">
      <alignment horizontal="center" vertical="center" wrapText="1"/>
    </xf>
    <xf numFmtId="0" fontId="2" fillId="0" borderId="0" xfId="0" applyFont="1" applyAlignment="1">
      <alignment horizontal="right"/>
    </xf>
    <xf numFmtId="0" fontId="2" fillId="0" borderId="0" xfId="0" applyFont="1" applyAlignment="1">
      <alignment horizontal="left"/>
    </xf>
    <xf numFmtId="0" fontId="2" fillId="0" borderId="0" xfId="0" applyFont="1" applyFill="1"/>
    <xf numFmtId="0" fontId="6" fillId="2" borderId="9" xfId="0" applyFont="1" applyFill="1" applyBorder="1" applyAlignment="1">
      <alignment horizontal="left" vertical="center" wrapText="1"/>
    </xf>
    <xf numFmtId="0" fontId="6" fillId="0" borderId="3" xfId="0" applyFont="1" applyFill="1" applyBorder="1" applyAlignment="1">
      <alignment horizontal="left" vertical="center" wrapText="1"/>
    </xf>
    <xf numFmtId="0" fontId="8" fillId="0" borderId="7" xfId="0" applyFont="1" applyFill="1" applyBorder="1" applyAlignment="1">
      <alignment horizontal="center" vertical="center" wrapText="1"/>
    </xf>
    <xf numFmtId="0" fontId="6" fillId="2" borderId="9" xfId="0" applyFont="1" applyFill="1" applyBorder="1" applyAlignment="1">
      <alignment horizontal="left" vertical="center" textRotation="90" wrapText="1"/>
    </xf>
    <xf numFmtId="0" fontId="6" fillId="2" borderId="5" xfId="0" applyFont="1" applyFill="1" applyBorder="1" applyAlignment="1">
      <alignment horizontal="left" vertical="center" textRotation="90" wrapText="1"/>
    </xf>
    <xf numFmtId="0" fontId="1" fillId="0" borderId="0" xfId="0" applyFont="1"/>
    <xf numFmtId="0" fontId="16" fillId="0" borderId="0" xfId="0" applyFont="1"/>
    <xf numFmtId="0" fontId="8" fillId="0" borderId="0" xfId="0" applyFont="1" applyFill="1"/>
    <xf numFmtId="0" fontId="1" fillId="0" borderId="1" xfId="0" applyFont="1" applyBorder="1"/>
    <xf numFmtId="0" fontId="16" fillId="0" borderId="1" xfId="0" applyFont="1" applyBorder="1"/>
    <xf numFmtId="0" fontId="6" fillId="0" borderId="3" xfId="0" applyFont="1" applyFill="1" applyBorder="1" applyAlignment="1">
      <alignment horizontal="center" vertical="center" wrapText="1"/>
    </xf>
    <xf numFmtId="0" fontId="1" fillId="0" borderId="1" xfId="0" applyFont="1" applyBorder="1" applyAlignment="1">
      <alignment horizontal="center" vertical="center"/>
    </xf>
    <xf numFmtId="0" fontId="8" fillId="0" borderId="9" xfId="0" applyFont="1" applyFill="1" applyBorder="1" applyAlignment="1">
      <alignment horizontal="center" vertical="center" wrapText="1"/>
    </xf>
    <xf numFmtId="0" fontId="6" fillId="2" borderId="10" xfId="0" applyFont="1" applyFill="1" applyBorder="1" applyAlignment="1">
      <alignment horizontal="left" vertical="center" wrapText="1"/>
    </xf>
    <xf numFmtId="0" fontId="6" fillId="2" borderId="4" xfId="0" applyFont="1" applyFill="1" applyBorder="1" applyAlignment="1">
      <alignment horizontal="left" vertical="center" wrapText="1"/>
    </xf>
    <xf numFmtId="0" fontId="6" fillId="2" borderId="11"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2" borderId="11" xfId="0" applyFont="1" applyFill="1" applyBorder="1" applyAlignment="1">
      <alignment horizontal="left" vertical="center" textRotation="90" wrapText="1"/>
    </xf>
    <xf numFmtId="0" fontId="8" fillId="0"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2" borderId="13" xfId="0" applyFont="1" applyFill="1" applyBorder="1" applyAlignment="1">
      <alignment horizontal="left" vertical="center" textRotation="90" wrapText="1"/>
    </xf>
    <xf numFmtId="0" fontId="6" fillId="0" borderId="1" xfId="0" applyFont="1" applyFill="1" applyBorder="1" applyAlignment="1">
      <alignment horizontal="center" vertical="center" wrapText="1"/>
    </xf>
    <xf numFmtId="0" fontId="8" fillId="0" borderId="3" xfId="0" applyNumberFormat="1" applyFont="1" applyFill="1" applyBorder="1" applyAlignment="1">
      <alignment horizontal="center" vertical="center" wrapText="1"/>
    </xf>
    <xf numFmtId="0" fontId="8" fillId="0" borderId="0" xfId="0" quotePrefix="1" applyFont="1" applyFill="1" applyBorder="1" applyAlignment="1">
      <alignment horizontal="left" vertical="center" wrapText="1"/>
    </xf>
    <xf numFmtId="0" fontId="8" fillId="0" borderId="0" xfId="0" quotePrefix="1" applyNumberFormat="1" applyFont="1" applyFill="1" applyBorder="1" applyAlignment="1">
      <alignment horizontal="left" vertical="center" wrapText="1"/>
    </xf>
    <xf numFmtId="0" fontId="8" fillId="0" borderId="0" xfId="0" applyNumberFormat="1" applyFont="1" applyFill="1" applyBorder="1" applyAlignment="1">
      <alignment horizontal="left" vertical="center" wrapText="1"/>
    </xf>
    <xf numFmtId="0" fontId="16" fillId="0" borderId="0" xfId="0" applyFont="1" applyFill="1" applyBorder="1"/>
    <xf numFmtId="0" fontId="1" fillId="0" borderId="0" xfId="0" applyFont="1" applyFill="1" applyBorder="1"/>
    <xf numFmtId="0" fontId="8" fillId="0" borderId="2" xfId="0" applyFont="1" applyFill="1" applyBorder="1" applyAlignment="1">
      <alignment horizontal="left" vertical="center" wrapText="1"/>
    </xf>
    <xf numFmtId="0" fontId="6" fillId="0" borderId="1" xfId="0" applyFont="1" applyFill="1" applyBorder="1"/>
    <xf numFmtId="0" fontId="8" fillId="0" borderId="1" xfId="0" applyFont="1" applyFill="1" applyBorder="1"/>
    <xf numFmtId="0" fontId="1" fillId="0" borderId="1" xfId="0" applyFont="1" applyFill="1" applyBorder="1"/>
    <xf numFmtId="0" fontId="1" fillId="0" borderId="3" xfId="0" applyFont="1" applyFill="1" applyBorder="1"/>
    <xf numFmtId="0" fontId="6" fillId="2" borderId="8" xfId="0" applyFont="1" applyFill="1" applyBorder="1" applyAlignment="1">
      <alignment horizontal="left" vertical="center" wrapText="1"/>
    </xf>
    <xf numFmtId="0" fontId="1" fillId="0" borderId="1" xfId="0" applyFont="1" applyBorder="1" applyAlignment="1">
      <alignment horizontal="center"/>
    </xf>
    <xf numFmtId="0" fontId="1" fillId="0" borderId="7" xfId="0" applyFont="1" applyBorder="1" applyAlignment="1">
      <alignment horizontal="center"/>
    </xf>
    <xf numFmtId="0" fontId="1" fillId="0" borderId="7" xfId="0" applyFont="1" applyBorder="1" applyAlignment="1">
      <alignment horizontal="center" vertical="center"/>
    </xf>
    <xf numFmtId="0" fontId="16" fillId="0" borderId="3" xfId="0" applyFont="1" applyBorder="1"/>
    <xf numFmtId="0" fontId="6" fillId="2" borderId="7" xfId="0" applyFont="1" applyFill="1" applyBorder="1" applyAlignment="1">
      <alignment horizontal="left" vertical="center" wrapText="1"/>
    </xf>
    <xf numFmtId="0" fontId="16" fillId="0" borderId="4" xfId="0" applyFont="1" applyBorder="1"/>
    <xf numFmtId="0" fontId="6" fillId="2" borderId="3" xfId="0" applyFont="1" applyFill="1" applyBorder="1" applyAlignment="1">
      <alignment horizontal="left" vertical="center" wrapText="1"/>
    </xf>
    <xf numFmtId="0" fontId="8" fillId="0" borderId="1" xfId="0" applyFont="1" applyFill="1" applyBorder="1" applyAlignment="1">
      <alignment horizontal="center" wrapText="1"/>
    </xf>
    <xf numFmtId="165" fontId="8" fillId="0" borderId="1" xfId="0" applyNumberFormat="1" applyFont="1" applyFill="1" applyBorder="1" applyAlignment="1">
      <alignment horizontal="left" vertical="center" wrapText="1"/>
    </xf>
    <xf numFmtId="165" fontId="8" fillId="0" borderId="3" xfId="0" applyNumberFormat="1" applyFont="1" applyFill="1" applyBorder="1" applyAlignment="1">
      <alignment horizontal="left" vertical="center" wrapText="1"/>
    </xf>
    <xf numFmtId="165" fontId="11" fillId="0" borderId="1" xfId="0" applyNumberFormat="1" applyFont="1" applyFill="1" applyBorder="1" applyAlignment="1">
      <alignment horizontal="left" vertical="center" wrapText="1"/>
    </xf>
    <xf numFmtId="0" fontId="3" fillId="3" borderId="0" xfId="0" applyFont="1" applyFill="1"/>
    <xf numFmtId="0" fontId="2" fillId="3" borderId="0" xfId="0" applyFont="1" applyFill="1"/>
    <xf numFmtId="0" fontId="2" fillId="3" borderId="0" xfId="0" applyFont="1" applyFill="1" applyAlignment="1">
      <alignment horizontal="left" indent="1"/>
    </xf>
    <xf numFmtId="0" fontId="12" fillId="3" borderId="0" xfId="1" applyFill="1"/>
    <xf numFmtId="0" fontId="6" fillId="4" borderId="14" xfId="0" applyFont="1" applyFill="1" applyBorder="1" applyAlignment="1">
      <alignment horizontal="left" vertical="center" wrapText="1"/>
    </xf>
    <xf numFmtId="0" fontId="8" fillId="4" borderId="14" xfId="0" applyFont="1" applyFill="1" applyBorder="1" applyAlignment="1">
      <alignment horizontal="left" vertical="center" wrapText="1"/>
    </xf>
    <xf numFmtId="0" fontId="8" fillId="4" borderId="14" xfId="0" applyNumberFormat="1" applyFont="1" applyFill="1" applyBorder="1" applyAlignment="1">
      <alignment horizontal="center" vertical="center" wrapText="1"/>
    </xf>
    <xf numFmtId="0" fontId="2" fillId="3" borderId="0" xfId="0" applyFont="1" applyFill="1" applyAlignment="1">
      <alignment horizontal="left"/>
    </xf>
    <xf numFmtId="0" fontId="3" fillId="3" borderId="0" xfId="0" applyFont="1" applyFill="1" applyAlignment="1">
      <alignment horizontal="left"/>
    </xf>
    <xf numFmtId="0" fontId="2" fillId="3" borderId="0" xfId="0" quotePrefix="1" applyFont="1" applyFill="1" applyAlignment="1">
      <alignment horizontal="left" indent="2"/>
    </xf>
    <xf numFmtId="0" fontId="2" fillId="3" borderId="0" xfId="0" quotePrefix="1" applyFont="1" applyFill="1" applyAlignment="1">
      <alignment horizontal="left" indent="4"/>
    </xf>
    <xf numFmtId="0" fontId="17" fillId="3" borderId="0" xfId="1" applyFont="1" applyFill="1"/>
    <xf numFmtId="15" fontId="2" fillId="3" borderId="0" xfId="0" applyNumberFormat="1" applyFont="1" applyFill="1" applyAlignment="1">
      <alignment horizontal="left" indent="1"/>
    </xf>
    <xf numFmtId="15" fontId="2" fillId="3" borderId="0" xfId="0" applyNumberFormat="1" applyFont="1" applyFill="1"/>
    <xf numFmtId="0" fontId="6" fillId="0" borderId="0" xfId="0" applyFont="1" applyFill="1" applyBorder="1" applyAlignment="1">
      <alignment horizontal="left" vertical="center" wrapText="1"/>
    </xf>
    <xf numFmtId="0" fontId="1" fillId="0" borderId="9" xfId="0" applyFont="1" applyBorder="1"/>
    <xf numFmtId="0" fontId="1" fillId="0" borderId="3" xfId="0" applyFont="1" applyBorder="1"/>
    <xf numFmtId="0" fontId="6" fillId="0" borderId="1" xfId="0" applyFont="1" applyBorder="1" applyAlignment="1">
      <alignment horizontal="left" vertical="center" wrapText="1"/>
    </xf>
    <xf numFmtId="0" fontId="1" fillId="0" borderId="0" xfId="0" applyFont="1" applyAlignment="1">
      <alignment wrapText="1"/>
    </xf>
  </cellXfs>
  <cellStyles count="2">
    <cellStyle name="Link" xfId="1" builtinId="8"/>
    <cellStyle name="Standard" xfId="0" builtinId="0"/>
  </cellStyles>
  <dxfs count="1250">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border outline="0">
        <right style="thin">
          <color indexed="64"/>
        </right>
        <top style="thin">
          <color indexed="64"/>
        </top>
        <bottom style="thin">
          <color theme="1"/>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0"/>
        <name val="Arial"/>
        <family val="2"/>
        <scheme val="none"/>
      </font>
    </dxf>
    <dxf>
      <border>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0"/>
        <name val="Arial"/>
        <family val="2"/>
        <scheme val="none"/>
      </font>
    </dxf>
    <dxf>
      <border>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microsoft.com/office/2017/10/relationships/person" Target="persons/perso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'01_Methode_Daten_AUSW_NR'!$B$2:$N$2</c:f>
              <c:strCache>
                <c:ptCount val="12"/>
                <c:pt idx="0">
                  <c:v>Bottom-Up-Abschätzung</c:v>
                </c:pt>
                <c:pt idx="1">
                  <c:v>Top-Down-Abschätzung</c:v>
                </c:pt>
                <c:pt idx="2">
                  <c:v>Kosten-Potenzial-Kurven</c:v>
                </c:pt>
                <c:pt idx="3">
                  <c:v>Analyse mehrerer Szenarien</c:v>
                </c:pt>
                <c:pt idx="4">
                  <c:v>Untersuchung von Fehlermaßen</c:v>
                </c:pt>
                <c:pt idx="5">
                  <c:v>Literaturanalyse</c:v>
                </c:pt>
                <c:pt idx="6">
                  <c:v>Auswertung von Statistiken</c:v>
                </c:pt>
                <c:pt idx="7">
                  <c:v>Expertenabschätzungen</c:v>
                </c:pt>
                <c:pt idx="8">
                  <c:v>(Online-)Umfragen</c:v>
                </c:pt>
                <c:pt idx="9">
                  <c:v>Unternehmensbefragungen</c:v>
                </c:pt>
                <c:pt idx="10">
                  <c:v>eigene Annahmen</c:v>
                </c:pt>
                <c:pt idx="11">
                  <c:v>eigene Erhebungen</c:v>
                </c:pt>
              </c:strCache>
            </c:strRef>
          </c:cat>
          <c:val>
            <c:numRef>
              <c:f>'01_Methode_Daten_AUSW_NR'!$B$28:$N$28</c:f>
              <c:numCache>
                <c:formatCode>General</c:formatCode>
                <c:ptCount val="12"/>
                <c:pt idx="0">
                  <c:v>22</c:v>
                </c:pt>
                <c:pt idx="1">
                  <c:v>25</c:v>
                </c:pt>
                <c:pt idx="2">
                  <c:v>5</c:v>
                </c:pt>
                <c:pt idx="3">
                  <c:v>11.5</c:v>
                </c:pt>
                <c:pt idx="4">
                  <c:v>2</c:v>
                </c:pt>
                <c:pt idx="5">
                  <c:v>24</c:v>
                </c:pt>
                <c:pt idx="6">
                  <c:v>18.5</c:v>
                </c:pt>
                <c:pt idx="7">
                  <c:v>6</c:v>
                </c:pt>
                <c:pt idx="8">
                  <c:v>3</c:v>
                </c:pt>
                <c:pt idx="9">
                  <c:v>9.5</c:v>
                </c:pt>
                <c:pt idx="10">
                  <c:v>19.5</c:v>
                </c:pt>
                <c:pt idx="11">
                  <c:v>3.5</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Methode und Datenquellen</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'03_Flexparameter_AUSW_NR'!$B$29:$J$29</c:f>
              <c:strCache>
                <c:ptCount val="9"/>
                <c:pt idx="0">
                  <c:v>Potenzialtrennung</c:v>
                </c:pt>
                <c:pt idx="1">
                  <c:v>Potenzial pos</c:v>
                </c:pt>
                <c:pt idx="2">
                  <c:v>Potenzial neg</c:v>
                </c:pt>
                <c:pt idx="3">
                  <c:v>Schaltdauer</c:v>
                </c:pt>
                <c:pt idx="4">
                  <c:v>Verschiebedauer</c:v>
                </c:pt>
                <c:pt idx="5">
                  <c:v>Schalthäufigkeit</c:v>
                </c:pt>
                <c:pt idx="6">
                  <c:v>Investitionsausgaben</c:v>
                </c:pt>
                <c:pt idx="7">
                  <c:v>fixe Kosten</c:v>
                </c:pt>
                <c:pt idx="8">
                  <c:v>variable Kosten</c:v>
                </c:pt>
              </c:strCache>
            </c:strRef>
          </c:cat>
          <c:val>
            <c:numRef>
              <c:f>'03_Flexparameter_AUSW_NR'!$B$28:$J$28</c:f>
              <c:numCache>
                <c:formatCode>General</c:formatCode>
                <c:ptCount val="9"/>
                <c:pt idx="0">
                  <c:v>20.5</c:v>
                </c:pt>
                <c:pt idx="1">
                  <c:v>25</c:v>
                </c:pt>
                <c:pt idx="2">
                  <c:v>23</c:v>
                </c:pt>
                <c:pt idx="3">
                  <c:v>13</c:v>
                </c:pt>
                <c:pt idx="4">
                  <c:v>16</c:v>
                </c:pt>
                <c:pt idx="5">
                  <c:v>14.5</c:v>
                </c:pt>
                <c:pt idx="6">
                  <c:v>12</c:v>
                </c:pt>
                <c:pt idx="7">
                  <c:v>10.5</c:v>
                </c:pt>
                <c:pt idx="8">
                  <c:v>12.5</c:v>
                </c:pt>
              </c:numCache>
            </c:numRef>
          </c:val>
          <c:extLst>
            <c:ext xmlns:c16="http://schemas.microsoft.com/office/drawing/2014/chart" uri="{C3380CC4-5D6E-409C-BE32-E72D297353CC}">
              <c16:uniqueId val="{00000000-7D04-4884-9699-B576DDFA9D23}"/>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Potenzialbegriff</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'03_Zeitverfuegbarkeit_AUSW_NR'!$B$2:$G$2</c:f>
              <c:strCache>
                <c:ptCount val="6"/>
                <c:pt idx="0">
                  <c:v>Benutzungsstunden / Auslastung</c:v>
                </c:pt>
                <c:pt idx="1">
                  <c:v>Saisonalität</c:v>
                </c:pt>
                <c:pt idx="2">
                  <c:v>Tageszeit</c:v>
                </c:pt>
                <c:pt idx="3">
                  <c:v>Temperaturabhängigkeit</c:v>
                </c:pt>
                <c:pt idx="4">
                  <c:v>Lastgänge / Lastblöcke</c:v>
                </c:pt>
                <c:pt idx="5">
                  <c:v>Zeitverfügbarkeitszeitreihen</c:v>
                </c:pt>
              </c:strCache>
            </c:strRef>
          </c:cat>
          <c:val>
            <c:numRef>
              <c:f>'03_Zeitverfuegbarkeit_AUSW_NR'!$B$28:$G$28</c:f>
              <c:numCache>
                <c:formatCode>0.0</c:formatCode>
                <c:ptCount val="6"/>
                <c:pt idx="0">
                  <c:v>14</c:v>
                </c:pt>
                <c:pt idx="1">
                  <c:v>13.5</c:v>
                </c:pt>
                <c:pt idx="2">
                  <c:v>14</c:v>
                </c:pt>
                <c:pt idx="3">
                  <c:v>12</c:v>
                </c:pt>
                <c:pt idx="4">
                  <c:v>11</c:v>
                </c:pt>
                <c:pt idx="5">
                  <c:v>13.5</c:v>
                </c:pt>
              </c:numCache>
            </c:numRef>
          </c:val>
          <c:extLst>
            <c:ext xmlns:c16="http://schemas.microsoft.com/office/drawing/2014/chart" uri="{C3380CC4-5D6E-409C-BE32-E72D297353CC}">
              <c16:uniqueId val="{00000000-A15C-4FF9-A57C-3151D5F6470B}"/>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Zeitverfügbarkeit</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'04_Potenzialbegriff_AUSW_NR'!$B$29:$G$29</c:f>
              <c:strCache>
                <c:ptCount val="6"/>
                <c:pt idx="0">
                  <c:v>theoretisch</c:v>
                </c:pt>
                <c:pt idx="1">
                  <c:v>technisch</c:v>
                </c:pt>
                <c:pt idx="2">
                  <c:v>soziotechnisch</c:v>
                </c:pt>
                <c:pt idx="3">
                  <c:v>ökonomisch</c:v>
                </c:pt>
                <c:pt idx="4">
                  <c:v>sozial</c:v>
                </c:pt>
                <c:pt idx="5">
                  <c:v>realisiert</c:v>
                </c:pt>
              </c:strCache>
            </c:strRef>
          </c:cat>
          <c:val>
            <c:numRef>
              <c:f>'04_Potenzialbegriff_AUSW_NR'!$B$28:$G$28</c:f>
              <c:numCache>
                <c:formatCode>General</c:formatCode>
                <c:ptCount val="6"/>
                <c:pt idx="0">
                  <c:v>3.5</c:v>
                </c:pt>
                <c:pt idx="1">
                  <c:v>24.5</c:v>
                </c:pt>
                <c:pt idx="2">
                  <c:v>5</c:v>
                </c:pt>
                <c:pt idx="3">
                  <c:v>12</c:v>
                </c:pt>
                <c:pt idx="4">
                  <c:v>0</c:v>
                </c:pt>
                <c:pt idx="5">
                  <c:v>2.5</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Potenzialbegriff</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'05_Betrachtungshorizont_AUSW_NR'!$B$29:$F$29</c:f>
              <c:strCache>
                <c:ptCount val="5"/>
                <c:pt idx="0">
                  <c:v>Status quo
(vor 2020)</c:v>
                </c:pt>
                <c:pt idx="1">
                  <c:v>2020</c:v>
                </c:pt>
                <c:pt idx="2">
                  <c:v>2025</c:v>
                </c:pt>
                <c:pt idx="3">
                  <c:v>2030</c:v>
                </c:pt>
                <c:pt idx="4">
                  <c:v>2050</c:v>
                </c:pt>
              </c:strCache>
            </c:strRef>
          </c:cat>
          <c:val>
            <c:numRef>
              <c:f>'05_Betrachtungshorizont_AUSW_NR'!$B$28:$F$28</c:f>
              <c:numCache>
                <c:formatCode>General</c:formatCode>
                <c:ptCount val="5"/>
                <c:pt idx="0">
                  <c:v>25</c:v>
                </c:pt>
                <c:pt idx="1">
                  <c:v>14</c:v>
                </c:pt>
                <c:pt idx="2">
                  <c:v>5</c:v>
                </c:pt>
                <c:pt idx="3">
                  <c:v>9.5</c:v>
                </c:pt>
                <c:pt idx="4">
                  <c:v>7</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Betrachtungsjahr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'05_Basisjahr_AUSW_NR'!$B$2:$R$2</c:f>
              <c:strCache>
                <c:ptCount val="1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nicht spezifiziert</c:v>
                </c:pt>
              </c:strCache>
            </c:strRef>
          </c:cat>
          <c:val>
            <c:numRef>
              <c:f>'05_Basisjahr_AUSW_NR'!$B$28:$R$28</c:f>
              <c:numCache>
                <c:formatCode>General</c:formatCode>
                <c:ptCount val="17"/>
                <c:pt idx="0">
                  <c:v>1</c:v>
                </c:pt>
                <c:pt idx="1">
                  <c:v>0</c:v>
                </c:pt>
                <c:pt idx="2">
                  <c:v>0</c:v>
                </c:pt>
                <c:pt idx="3">
                  <c:v>0</c:v>
                </c:pt>
                <c:pt idx="4">
                  <c:v>0</c:v>
                </c:pt>
                <c:pt idx="5">
                  <c:v>6</c:v>
                </c:pt>
                <c:pt idx="6">
                  <c:v>3</c:v>
                </c:pt>
                <c:pt idx="7">
                  <c:v>2</c:v>
                </c:pt>
                <c:pt idx="8">
                  <c:v>3</c:v>
                </c:pt>
                <c:pt idx="9">
                  <c:v>1</c:v>
                </c:pt>
                <c:pt idx="10">
                  <c:v>4</c:v>
                </c:pt>
                <c:pt idx="11">
                  <c:v>0</c:v>
                </c:pt>
                <c:pt idx="12">
                  <c:v>0</c:v>
                </c:pt>
                <c:pt idx="13">
                  <c:v>0</c:v>
                </c:pt>
                <c:pt idx="14">
                  <c:v>0</c:v>
                </c:pt>
                <c:pt idx="15">
                  <c:v>1</c:v>
                </c:pt>
                <c:pt idx="16">
                  <c:v>4</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Basisjahr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'01_Annahmen_Daten_AUSW_NR'!$B$29:$Q$29</c:f>
              <c:strCache>
                <c:ptCount val="16"/>
                <c:pt idx="0">
                  <c:v>StV / Leistungen</c:v>
                </c:pt>
                <c:pt idx="1">
                  <c:v>Durchdringungsraten</c:v>
                </c:pt>
                <c:pt idx="2">
                  <c:v>Profile / Zeitverfügbarkeit</c:v>
                </c:pt>
                <c:pt idx="3">
                  <c:v>flex. Leistung</c:v>
                </c:pt>
                <c:pt idx="4">
                  <c:v>Zeitdauern</c:v>
                </c:pt>
                <c:pt idx="5">
                  <c:v>Abrufhäufigkeit</c:v>
                </c:pt>
                <c:pt idx="6">
                  <c:v>spez. Leistung / Verbräuche</c:v>
                </c:pt>
                <c:pt idx="7">
                  <c:v>(soziale) Akzeptanz</c:v>
                </c:pt>
                <c:pt idx="8">
                  <c:v>Prozesseignung</c:v>
                </c:pt>
                <c:pt idx="9">
                  <c:v>Kosten(entwicklung)</c:v>
                </c:pt>
                <c:pt idx="10">
                  <c:v>Potenzialentwicklung</c:v>
                </c:pt>
                <c:pt idx="11">
                  <c:v>Simulationsdaten</c:v>
                </c:pt>
                <c:pt idx="12">
                  <c:v>Erheblichkeitsschwelle</c:v>
                </c:pt>
                <c:pt idx="13">
                  <c:v>Annahmen Elektormobilität</c:v>
                </c:pt>
                <c:pt idx="14">
                  <c:v>Symmetrieannahme</c:v>
                </c:pt>
                <c:pt idx="15">
                  <c:v>Bereitstellungsalternative</c:v>
                </c:pt>
              </c:strCache>
            </c:strRef>
          </c:cat>
          <c:val>
            <c:numRef>
              <c:f>'01_Annahmen_Daten_AUSW_NR'!$B$28:$Q$28</c:f>
              <c:numCache>
                <c:formatCode>General</c:formatCode>
                <c:ptCount val="16"/>
                <c:pt idx="0">
                  <c:v>3</c:v>
                </c:pt>
                <c:pt idx="1">
                  <c:v>8</c:v>
                </c:pt>
                <c:pt idx="2">
                  <c:v>13</c:v>
                </c:pt>
                <c:pt idx="3">
                  <c:v>8</c:v>
                </c:pt>
                <c:pt idx="4">
                  <c:v>10</c:v>
                </c:pt>
                <c:pt idx="5">
                  <c:v>5</c:v>
                </c:pt>
                <c:pt idx="6">
                  <c:v>2</c:v>
                </c:pt>
                <c:pt idx="7">
                  <c:v>4</c:v>
                </c:pt>
                <c:pt idx="8">
                  <c:v>1</c:v>
                </c:pt>
                <c:pt idx="9">
                  <c:v>7</c:v>
                </c:pt>
                <c:pt idx="10">
                  <c:v>5</c:v>
                </c:pt>
                <c:pt idx="11">
                  <c:v>2</c:v>
                </c:pt>
                <c:pt idx="12">
                  <c:v>1</c:v>
                </c:pt>
                <c:pt idx="13">
                  <c:v>2</c:v>
                </c:pt>
                <c:pt idx="14">
                  <c:v>1</c:v>
                </c:pt>
                <c:pt idx="15">
                  <c:v>1</c:v>
                </c:pt>
              </c:numCache>
            </c:numRef>
          </c:val>
          <c:extLst>
            <c:ext xmlns:c16="http://schemas.microsoft.com/office/drawing/2014/chart" uri="{C3380CC4-5D6E-409C-BE32-E72D297353CC}">
              <c16:uniqueId val="{00000000-DE1A-48DA-B821-A0F4A1B6B8F9}"/>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zentrale</a:t>
                </a:r>
                <a:r>
                  <a:rPr lang="de-DE" baseline="0"/>
                  <a:t> Annahmen</a:t>
                </a:r>
                <a:endParaRPr lang="de-DE"/>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'01_Datenbasis_AUSW_NR'!$B$2:$Q$2</c:f>
              <c:strCache>
                <c:ptCount val="16"/>
                <c:pt idx="0">
                  <c:v>Statistiken der Statistikämter / öffentlicher Stellen</c:v>
                </c:pt>
                <c:pt idx="1">
                  <c:v>Energiverbrauchsstatistik</c:v>
                </c:pt>
                <c:pt idx="2">
                  <c:v>Smart Metering- und Lastamanagementfeldstudien</c:v>
                </c:pt>
                <c:pt idx="3">
                  <c:v>methodisch fokussierte Paper</c:v>
                </c:pt>
                <c:pt idx="4">
                  <c:v>Lastmanagementpotenzialstudien</c:v>
                </c:pt>
                <c:pt idx="5">
                  <c:v>Lastprofilgeneratoren</c:v>
                </c:pt>
                <c:pt idx="6">
                  <c:v>VNB-Daten (z. B. Einspeisemanagement)</c:v>
                </c:pt>
                <c:pt idx="7">
                  <c:v>sozialwissenschaftliche Studien</c:v>
                </c:pt>
                <c:pt idx="8">
                  <c:v>Branchen- und Verbandsstatistiken</c:v>
                </c:pt>
                <c:pt idx="9">
                  <c:v>reale Lastgangdaten</c:v>
                </c:pt>
                <c:pt idx="10">
                  <c:v>eigene Datenbasis / Datenbank</c:v>
                </c:pt>
                <c:pt idx="11">
                  <c:v>Energiesystemanalysen</c:v>
                </c:pt>
                <c:pt idx="12">
                  <c:v>Herstellerangaben</c:v>
                </c:pt>
                <c:pt idx="13">
                  <c:v>technische Publikationen zu Prozessen</c:v>
                </c:pt>
                <c:pt idx="14">
                  <c:v>Datenportale: Verbrauchs-, Wetter-, Preisdaten</c:v>
                </c:pt>
                <c:pt idx="15">
                  <c:v>Literatur zu Elekrotmobilität</c:v>
                </c:pt>
              </c:strCache>
            </c:strRef>
          </c:cat>
          <c:val>
            <c:numRef>
              <c:f>'01_Datenbasis_AUSW_NR'!$B$28:$Q$28</c:f>
              <c:numCache>
                <c:formatCode>General</c:formatCode>
                <c:ptCount val="16"/>
                <c:pt idx="0">
                  <c:v>18</c:v>
                </c:pt>
                <c:pt idx="1">
                  <c:v>12</c:v>
                </c:pt>
                <c:pt idx="2">
                  <c:v>14</c:v>
                </c:pt>
                <c:pt idx="3">
                  <c:v>8</c:v>
                </c:pt>
                <c:pt idx="4">
                  <c:v>24</c:v>
                </c:pt>
                <c:pt idx="5">
                  <c:v>1</c:v>
                </c:pt>
                <c:pt idx="6">
                  <c:v>6</c:v>
                </c:pt>
                <c:pt idx="7">
                  <c:v>2</c:v>
                </c:pt>
                <c:pt idx="8">
                  <c:v>14</c:v>
                </c:pt>
                <c:pt idx="9">
                  <c:v>5</c:v>
                </c:pt>
                <c:pt idx="10">
                  <c:v>7</c:v>
                </c:pt>
                <c:pt idx="11">
                  <c:v>9</c:v>
                </c:pt>
                <c:pt idx="12">
                  <c:v>3</c:v>
                </c:pt>
                <c:pt idx="13">
                  <c:v>13</c:v>
                </c:pt>
                <c:pt idx="14">
                  <c:v>11</c:v>
                </c:pt>
                <c:pt idx="15">
                  <c:v>3</c:v>
                </c:pt>
              </c:numCache>
            </c:numRef>
          </c:val>
          <c:extLst>
            <c:ext xmlns:c16="http://schemas.microsoft.com/office/drawing/2014/chart" uri="{C3380CC4-5D6E-409C-BE32-E72D297353CC}">
              <c16:uniqueId val="{00000000-1B09-496C-AEB7-7569C621A9C2}"/>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Datenbasis</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'01_Folgeanalyse_AUSW_NR'!$B$2:$E$2</c:f>
              <c:strCache>
                <c:ptCount val="4"/>
                <c:pt idx="0">
                  <c:v>Modellierung (Simulation)</c:v>
                </c:pt>
                <c:pt idx="1">
                  <c:v>Modellierung (Optimierung)</c:v>
                </c:pt>
                <c:pt idx="2">
                  <c:v>Wirtschaftlichkeitsabschätzung</c:v>
                </c:pt>
                <c:pt idx="3">
                  <c:v>keine Verwertung</c:v>
                </c:pt>
              </c:strCache>
            </c:strRef>
          </c:cat>
          <c:val>
            <c:numRef>
              <c:f>'01_Folgeanalyse_AUSW_NR'!$B$28:$E$28</c:f>
              <c:numCache>
                <c:formatCode>General</c:formatCode>
                <c:ptCount val="4"/>
                <c:pt idx="0">
                  <c:v>5</c:v>
                </c:pt>
                <c:pt idx="1">
                  <c:v>11</c:v>
                </c:pt>
                <c:pt idx="2">
                  <c:v>3</c:v>
                </c:pt>
                <c:pt idx="3">
                  <c:v>6</c:v>
                </c:pt>
              </c:numCache>
            </c:numRef>
          </c:val>
          <c:extLst>
            <c:ext xmlns:c16="http://schemas.microsoft.com/office/drawing/2014/chart" uri="{C3380CC4-5D6E-409C-BE32-E72D297353CC}">
              <c16:uniqueId val="{00000000-1FC9-4FD5-8027-D26E4040EB8E}"/>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analytischer Ansatz zur Verwertung (sozio-)technischer Potenziale</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'01_Zitationsanalyse_kodiert'!$B$2:$Z$2</c:f>
              <c:strCache>
                <c:ptCount val="25"/>
                <c:pt idx="0">
                  <c:v>Apel et al. 2012</c:v>
                </c:pt>
                <c:pt idx="1">
                  <c:v>Aryandoust et al. 2017</c:v>
                </c:pt>
                <c:pt idx="2">
                  <c:v>Blum und Braun 2013</c:v>
                </c:pt>
                <c:pt idx="3">
                  <c:v>Focken et al. 2011</c:v>
                </c:pt>
                <c:pt idx="4">
                  <c:v>Gils 2015 (Gils 2014; Gils 2016)</c:v>
                </c:pt>
                <c:pt idx="5">
                  <c:v>Gobmaier et al. 2012</c:v>
                </c:pt>
                <c:pt idx="6">
                  <c:v>Grote et al. 2013</c:v>
                </c:pt>
                <c:pt idx="7">
                  <c:v>Gruber 2017</c:v>
                </c:pt>
                <c:pt idx="8">
                  <c:v>Haasz (2017)</c:v>
                </c:pt>
                <c:pt idx="9">
                  <c:v>Henning und Sauer 2015
(Elsner et al. 2015)</c:v>
                </c:pt>
                <c:pt idx="10">
                  <c:v>Klobasa 2007 / Klobasa 2009</c:v>
                </c:pt>
                <c:pt idx="11">
                  <c:v>Klobasa et al. 2013
(Buber et al. 2013; Gruber et al. 2014)</c:v>
                </c:pt>
                <c:pt idx="12">
                  <c:v>Krzikalla et al. 2013</c:v>
                </c:pt>
                <c:pt idx="13">
                  <c:v>Ladwig 2018</c:v>
                </c:pt>
                <c:pt idx="14">
                  <c:v>Langrock et al. 2015</c:v>
                </c:pt>
                <c:pt idx="15">
                  <c:v>Liebe und Wissner 2015</c:v>
                </c:pt>
                <c:pt idx="16">
                  <c:v>Molly et al. 2010 (Kohler et al. 2010)</c:v>
                </c:pt>
                <c:pt idx="17">
                  <c:v>Paulus und Borggrefe 2011</c:v>
                </c:pt>
                <c:pt idx="18">
                  <c:v>Pellinger und Schmid 2016
</c:v>
                </c:pt>
                <c:pt idx="19">
                  <c:v>r2b 2014</c:v>
                </c:pt>
                <c:pt idx="20">
                  <c:v>Roon und Grobmaier 2010</c:v>
                </c:pt>
                <c:pt idx="21">
                  <c:v>Scholz et al. 2014</c:v>
                </c:pt>
                <c:pt idx="22">
                  <c:v>Stadler 2006</c:v>
                </c:pt>
                <c:pt idx="23">
                  <c:v>Steurer 2017
(Steurer et al. 2015)</c:v>
                </c:pt>
                <c:pt idx="24">
                  <c:v>Styczynski und Sauer 2015
(Elsner et al. 2015)</c:v>
                </c:pt>
              </c:strCache>
            </c:strRef>
          </c:cat>
          <c:val>
            <c:numRef>
              <c:f>'01_Zitationsanalyse_kodiert'!$B$28:$Z$28</c:f>
              <c:numCache>
                <c:formatCode>General</c:formatCode>
                <c:ptCount val="25"/>
                <c:pt idx="0">
                  <c:v>12</c:v>
                </c:pt>
                <c:pt idx="1">
                  <c:v>0</c:v>
                </c:pt>
                <c:pt idx="2">
                  <c:v>0</c:v>
                </c:pt>
                <c:pt idx="3">
                  <c:v>1</c:v>
                </c:pt>
                <c:pt idx="4">
                  <c:v>5</c:v>
                </c:pt>
                <c:pt idx="5">
                  <c:v>1</c:v>
                </c:pt>
                <c:pt idx="6">
                  <c:v>1</c:v>
                </c:pt>
                <c:pt idx="7">
                  <c:v>0</c:v>
                </c:pt>
                <c:pt idx="8">
                  <c:v>0</c:v>
                </c:pt>
                <c:pt idx="9">
                  <c:v>1</c:v>
                </c:pt>
                <c:pt idx="10">
                  <c:v>22</c:v>
                </c:pt>
                <c:pt idx="11">
                  <c:v>8</c:v>
                </c:pt>
                <c:pt idx="12">
                  <c:v>2</c:v>
                </c:pt>
                <c:pt idx="13">
                  <c:v>0</c:v>
                </c:pt>
                <c:pt idx="14">
                  <c:v>3</c:v>
                </c:pt>
                <c:pt idx="15">
                  <c:v>0</c:v>
                </c:pt>
                <c:pt idx="16">
                  <c:v>14</c:v>
                </c:pt>
                <c:pt idx="17">
                  <c:v>8</c:v>
                </c:pt>
                <c:pt idx="18">
                  <c:v>2</c:v>
                </c:pt>
                <c:pt idx="19">
                  <c:v>1</c:v>
                </c:pt>
                <c:pt idx="20">
                  <c:v>9</c:v>
                </c:pt>
                <c:pt idx="21">
                  <c:v>1</c:v>
                </c:pt>
                <c:pt idx="22">
                  <c:v>14</c:v>
                </c:pt>
                <c:pt idx="23">
                  <c:v>1</c:v>
                </c:pt>
                <c:pt idx="24">
                  <c:v>1</c:v>
                </c:pt>
              </c:numCache>
            </c:numRef>
          </c:val>
          <c:extLst>
            <c:ext xmlns:c16="http://schemas.microsoft.com/office/drawing/2014/chart" uri="{C3380CC4-5D6E-409C-BE32-E72D297353CC}">
              <c16:uniqueId val="{00000000-545E-4520-94EC-D8672C3AE566}"/>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 der Zitation</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'02_Ind_Prozesse_AUSW_NR'!$B$1:$Z$1</c:f>
              <c:strCache>
                <c:ptCount val="25"/>
                <c:pt idx="0">
                  <c:v>Primäraluminiumelektrolyse</c:v>
                </c:pt>
                <c:pt idx="1">
                  <c:v>Papierherstellung</c:v>
                </c:pt>
                <c:pt idx="2">
                  <c:v>Holzstoff- und Zellstoffherstellung</c:v>
                </c:pt>
                <c:pt idx="3">
                  <c:v>Papiermaschinen</c:v>
                </c:pt>
                <c:pt idx="4">
                  <c:v>Altpapierrecycling (Pulper)</c:v>
                </c:pt>
                <c:pt idx="5">
                  <c:v>Papierveredelung (Streichmaschinen und Kalander)</c:v>
                </c:pt>
                <c:pt idx="6">
                  <c:v>Chlor-Alkali-Elektrolyse</c:v>
                </c:pt>
                <c:pt idx="7">
                  <c:v>Elektrostahlherstellung (Lichtbogenofen)</c:v>
                </c:pt>
                <c:pt idx="8">
                  <c:v>Zementherstellung</c:v>
                </c:pt>
                <c:pt idx="9">
                  <c:v>Zementmühlen</c:v>
                </c:pt>
                <c:pt idx="10">
                  <c:v>Luftzerlegung</c:v>
                </c:pt>
                <c:pt idx="11">
                  <c:v>Kupfer- und Zinkherstellung (Elektrolyse)</c:v>
                </c:pt>
                <c:pt idx="12">
                  <c:v>Primärkupferherstellung (elektrolytische Kupferraffination)</c:v>
                </c:pt>
                <c:pt idx="13">
                  <c:v>Primärzinkherstellung (Nasschemische Elektrolyse)</c:v>
                </c:pt>
                <c:pt idx="14">
                  <c:v>Metallbearbeitung (Wärmebehandlung)</c:v>
                </c:pt>
                <c:pt idx="15">
                  <c:v>Gießereien (Induktionsofen)</c:v>
                </c:pt>
                <c:pt idx="16">
                  <c:v>Calciumcarbid-Herstellung (Lichtbogenofen)</c:v>
                </c:pt>
                <c:pt idx="17">
                  <c:v>Ernährungsindustrie gesamt</c:v>
                </c:pt>
                <c:pt idx="18">
                  <c:v>Chemieindustrie gesamt</c:v>
                </c:pt>
                <c:pt idx="19">
                  <c:v>Kfz-Industrie gesamt</c:v>
                </c:pt>
                <c:pt idx="20">
                  <c:v>Maschinenbau gesamt</c:v>
                </c:pt>
                <c:pt idx="21">
                  <c:v>Glasindustrie gesamt</c:v>
                </c:pt>
                <c:pt idx="22">
                  <c:v>Behälterglasindustrie</c:v>
                </c:pt>
                <c:pt idx="23">
                  <c:v>Silizium-Metall (Lichtbogenofen)</c:v>
                </c:pt>
                <c:pt idx="24">
                  <c:v>Graphitelektroden (Graphitierungsofen)</c:v>
                </c:pt>
              </c:strCache>
            </c:strRef>
          </c:cat>
          <c:val>
            <c:numRef>
              <c:f>'02_Ind_Prozesse_AUSW_NR'!$B$27:$Z$27</c:f>
              <c:numCache>
                <c:formatCode>General</c:formatCode>
                <c:ptCount val="25"/>
                <c:pt idx="0">
                  <c:v>17.5</c:v>
                </c:pt>
                <c:pt idx="1">
                  <c:v>7.5</c:v>
                </c:pt>
                <c:pt idx="2">
                  <c:v>13</c:v>
                </c:pt>
                <c:pt idx="3">
                  <c:v>7</c:v>
                </c:pt>
                <c:pt idx="4">
                  <c:v>6</c:v>
                </c:pt>
                <c:pt idx="5">
                  <c:v>3</c:v>
                </c:pt>
                <c:pt idx="6">
                  <c:v>18.5</c:v>
                </c:pt>
                <c:pt idx="7">
                  <c:v>18.5</c:v>
                </c:pt>
                <c:pt idx="8">
                  <c:v>16.5</c:v>
                </c:pt>
                <c:pt idx="9">
                  <c:v>1</c:v>
                </c:pt>
                <c:pt idx="10">
                  <c:v>8.5</c:v>
                </c:pt>
                <c:pt idx="11">
                  <c:v>3</c:v>
                </c:pt>
                <c:pt idx="12">
                  <c:v>4</c:v>
                </c:pt>
                <c:pt idx="13">
                  <c:v>4</c:v>
                </c:pt>
                <c:pt idx="14">
                  <c:v>2.5</c:v>
                </c:pt>
                <c:pt idx="15">
                  <c:v>2.5</c:v>
                </c:pt>
                <c:pt idx="16">
                  <c:v>3</c:v>
                </c:pt>
                <c:pt idx="17">
                  <c:v>2</c:v>
                </c:pt>
                <c:pt idx="18">
                  <c:v>2</c:v>
                </c:pt>
                <c:pt idx="19">
                  <c:v>2</c:v>
                </c:pt>
                <c:pt idx="20">
                  <c:v>2</c:v>
                </c:pt>
                <c:pt idx="21">
                  <c:v>2</c:v>
                </c:pt>
                <c:pt idx="22">
                  <c:v>2</c:v>
                </c:pt>
                <c:pt idx="23">
                  <c:v>1</c:v>
                </c:pt>
                <c:pt idx="24">
                  <c:v>7.5</c:v>
                </c:pt>
              </c:numCache>
            </c:numRef>
          </c:val>
          <c:extLst>
            <c:ext xmlns:c16="http://schemas.microsoft.com/office/drawing/2014/chart" uri="{C3380CC4-5D6E-409C-BE32-E72D297353CC}">
              <c16:uniqueId val="{00000000-6E4F-437D-8851-2FFF3736BB30}"/>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Prozess</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'02_Ind_QST_AUSW_NR'!$B$1:$M$1</c:f>
              <c:strCache>
                <c:ptCount val="12"/>
                <c:pt idx="0">
                  <c:v>Druckluftanwendungen</c:v>
                </c:pt>
                <c:pt idx="1">
                  <c:v>Prozessdampf mittels KWK-Eigenerzeugung</c:v>
                </c:pt>
                <c:pt idx="2">
                  <c:v>Prozesskälte</c:v>
                </c:pt>
                <c:pt idx="3">
                  <c:v>Kühlung (Lebensmittelindustrie)</c:v>
                </c:pt>
                <c:pt idx="4">
                  <c:v>Belüftung</c:v>
                </c:pt>
                <c:pt idx="5">
                  <c:v>Beleuchtung</c:v>
                </c:pt>
                <c:pt idx="6">
                  <c:v>Pumpenanwendungen</c:v>
                </c:pt>
                <c:pt idx="7">
                  <c:v>Elektrodenheizkessel</c:v>
                </c:pt>
                <c:pt idx="8">
                  <c:v>Zerkleinerer</c:v>
                </c:pt>
                <c:pt idx="9">
                  <c:v>Fördertechnik</c:v>
                </c:pt>
                <c:pt idx="10">
                  <c:v>Klimakälte</c:v>
                </c:pt>
                <c:pt idx="11">
                  <c:v>Elektrische Wärmeerzeugung (Raum- und Prozesswärme)</c:v>
                </c:pt>
              </c:strCache>
            </c:strRef>
          </c:cat>
          <c:val>
            <c:numRef>
              <c:f>'02_Ind_QST_AUSW_NR'!$B$27:$M$27</c:f>
              <c:numCache>
                <c:formatCode>General</c:formatCode>
                <c:ptCount val="12"/>
                <c:pt idx="0">
                  <c:v>7.5</c:v>
                </c:pt>
                <c:pt idx="1">
                  <c:v>2</c:v>
                </c:pt>
                <c:pt idx="2">
                  <c:v>6</c:v>
                </c:pt>
                <c:pt idx="3">
                  <c:v>2</c:v>
                </c:pt>
                <c:pt idx="4">
                  <c:v>8</c:v>
                </c:pt>
                <c:pt idx="5">
                  <c:v>3</c:v>
                </c:pt>
                <c:pt idx="6">
                  <c:v>4</c:v>
                </c:pt>
                <c:pt idx="7">
                  <c:v>1</c:v>
                </c:pt>
                <c:pt idx="8">
                  <c:v>2</c:v>
                </c:pt>
                <c:pt idx="9">
                  <c:v>0.5</c:v>
                </c:pt>
                <c:pt idx="10">
                  <c:v>3.5</c:v>
                </c:pt>
                <c:pt idx="11">
                  <c:v>1</c:v>
                </c:pt>
              </c:numCache>
            </c:numRef>
          </c:val>
          <c:extLst>
            <c:ext xmlns:c16="http://schemas.microsoft.com/office/drawing/2014/chart" uri="{C3380CC4-5D6E-409C-BE32-E72D297353CC}">
              <c16:uniqueId val="{00000000-F9F5-44D2-B673-1326D31F29F5}"/>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Querschnittstechnologie</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'02_GHD_QST-Branchen_AUSW_NR'!$B$1:$AB$1</c:f>
              <c:strCache>
                <c:ptCount val="27"/>
                <c:pt idx="0">
                  <c:v>Büros und Textilbetriebe gesamt</c:v>
                </c:pt>
                <c:pt idx="1">
                  <c:v>Handel gesamt</c:v>
                </c:pt>
                <c:pt idx="2">
                  <c:v>Gastgewerbe gesamt</c:v>
                </c:pt>
                <c:pt idx="3">
                  <c:v>Landwirtschaft gesamt</c:v>
                </c:pt>
                <c:pt idx="4">
                  <c:v>Gartenbau gesamt</c:v>
                </c:pt>
                <c:pt idx="5">
                  <c:v>Bäder gesamt</c:v>
                </c:pt>
                <c:pt idx="6">
                  <c:v>Wäschereien gesamt</c:v>
                </c:pt>
                <c:pt idx="7">
                  <c:v>produzierendes Gewerbe gesamt</c:v>
                </c:pt>
                <c:pt idx="8">
                  <c:v>Baugewerbe gesamt</c:v>
                </c:pt>
                <c:pt idx="9">
                  <c:v>Prozesskälte</c:v>
                </c:pt>
                <c:pt idx="10">
                  <c:v>Kühlhäuser</c:v>
                </c:pt>
                <c:pt idx="11">
                  <c:v>Kühlung im Lebensmitteleinzelhandel</c:v>
                </c:pt>
                <c:pt idx="12">
                  <c:v>Kühlung im Gastronomiebereich (Hotels, Restaurants)</c:v>
                </c:pt>
                <c:pt idx="13">
                  <c:v>Klimakälte</c:v>
                </c:pt>
                <c:pt idx="14">
                  <c:v>Warmwasserbereitstellung</c:v>
                </c:pt>
                <c:pt idx="15">
                  <c:v>Raumwärme (elektrische Raumheizung)</c:v>
                </c:pt>
                <c:pt idx="16">
                  <c:v>Nachtspeicherheizungen</c:v>
                </c:pt>
                <c:pt idx="17">
                  <c:v>Wärmepumpen</c:v>
                </c:pt>
                <c:pt idx="18">
                  <c:v>Hybrid-Wärmeerzeugungssysteme</c:v>
                </c:pt>
                <c:pt idx="19">
                  <c:v>Pumpenanwendungen</c:v>
                </c:pt>
                <c:pt idx="20">
                  <c:v>Pumpenanwendungen in der Wasserversorgung</c:v>
                </c:pt>
                <c:pt idx="21">
                  <c:v>Beleuchtung im Gartenbau</c:v>
                </c:pt>
                <c:pt idx="22">
                  <c:v>Belüftung</c:v>
                </c:pt>
                <c:pt idx="23">
                  <c:v>Abwasserbehandlung</c:v>
                </c:pt>
                <c:pt idx="24">
                  <c:v>Notstromaggregate, Back-Up-Server und Mobilfunkstationen</c:v>
                </c:pt>
                <c:pt idx="25">
                  <c:v>Prozesswärme</c:v>
                </c:pt>
                <c:pt idx="26">
                  <c:v>Druckluft</c:v>
                </c:pt>
              </c:strCache>
            </c:strRef>
          </c:cat>
          <c:val>
            <c:numRef>
              <c:f>'02_GHD_QST-Branchen_AUSW_NR'!$B$27:$AB$27</c:f>
              <c:numCache>
                <c:formatCode>General</c:formatCode>
                <c:ptCount val="27"/>
                <c:pt idx="0">
                  <c:v>1</c:v>
                </c:pt>
                <c:pt idx="1">
                  <c:v>1</c:v>
                </c:pt>
                <c:pt idx="2">
                  <c:v>1</c:v>
                </c:pt>
                <c:pt idx="3">
                  <c:v>1</c:v>
                </c:pt>
                <c:pt idx="4">
                  <c:v>1</c:v>
                </c:pt>
                <c:pt idx="5">
                  <c:v>1</c:v>
                </c:pt>
                <c:pt idx="6">
                  <c:v>1</c:v>
                </c:pt>
                <c:pt idx="7">
                  <c:v>1</c:v>
                </c:pt>
                <c:pt idx="8">
                  <c:v>1</c:v>
                </c:pt>
                <c:pt idx="9">
                  <c:v>7</c:v>
                </c:pt>
                <c:pt idx="10">
                  <c:v>6</c:v>
                </c:pt>
                <c:pt idx="11">
                  <c:v>4</c:v>
                </c:pt>
                <c:pt idx="12">
                  <c:v>2</c:v>
                </c:pt>
                <c:pt idx="13">
                  <c:v>8</c:v>
                </c:pt>
                <c:pt idx="14">
                  <c:v>5</c:v>
                </c:pt>
                <c:pt idx="15">
                  <c:v>3</c:v>
                </c:pt>
                <c:pt idx="16">
                  <c:v>5</c:v>
                </c:pt>
                <c:pt idx="17">
                  <c:v>1</c:v>
                </c:pt>
                <c:pt idx="18">
                  <c:v>1</c:v>
                </c:pt>
                <c:pt idx="19">
                  <c:v>1</c:v>
                </c:pt>
                <c:pt idx="20">
                  <c:v>3</c:v>
                </c:pt>
                <c:pt idx="21">
                  <c:v>2</c:v>
                </c:pt>
                <c:pt idx="22">
                  <c:v>8</c:v>
                </c:pt>
                <c:pt idx="23">
                  <c:v>2</c:v>
                </c:pt>
                <c:pt idx="24">
                  <c:v>1</c:v>
                </c:pt>
                <c:pt idx="25">
                  <c:v>1</c:v>
                </c:pt>
                <c:pt idx="26">
                  <c:v>1</c:v>
                </c:pt>
              </c:numCache>
            </c:numRef>
          </c:val>
          <c:extLst>
            <c:ext xmlns:c16="http://schemas.microsoft.com/office/drawing/2014/chart" uri="{C3380CC4-5D6E-409C-BE32-E72D297353CC}">
              <c16:uniqueId val="{00000000-08E3-4154-85C7-1E9F2D771BB7}"/>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Branche / Anwendung</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'02_HaHa_AUSW_NR'!$B$1:$T$1</c:f>
              <c:strCache>
                <c:ptCount val="19"/>
                <c:pt idx="0">
                  <c:v>Kühlschränke</c:v>
                </c:pt>
                <c:pt idx="1">
                  <c:v>Geschirrspüler</c:v>
                </c:pt>
                <c:pt idx="2">
                  <c:v>Wäschetrockner</c:v>
                </c:pt>
                <c:pt idx="3">
                  <c:v>Waschmaschinen</c:v>
                </c:pt>
                <c:pt idx="4">
                  <c:v>Raumklimatisierung (Klimaanlagen)</c:v>
                </c:pt>
                <c:pt idx="5">
                  <c:v>Wärmepumpen</c:v>
                </c:pt>
                <c:pt idx="6">
                  <c:v>Hybrid-Wärmepumpen</c:v>
                </c:pt>
                <c:pt idx="7">
                  <c:v>Nachtspeicherheizungen</c:v>
                </c:pt>
                <c:pt idx="8">
                  <c:v>Kühl- und Gefrierkombinationen</c:v>
                </c:pt>
                <c:pt idx="9">
                  <c:v>elektrische Warmwassererzeugung</c:v>
                </c:pt>
                <c:pt idx="10">
                  <c:v>Gefrierschränke und -truhen</c:v>
                </c:pt>
                <c:pt idx="11">
                  <c:v>Elektrische Öfen</c:v>
                </c:pt>
                <c:pt idx="12">
                  <c:v>elektrische Direktheizungen</c:v>
                </c:pt>
                <c:pt idx="13">
                  <c:v>Heizungsumwälzpumpen</c:v>
                </c:pt>
                <c:pt idx="14">
                  <c:v>Elektromobilität</c:v>
                </c:pt>
                <c:pt idx="15">
                  <c:v>Smart Meter / intelligente Geräte</c:v>
                </c:pt>
                <c:pt idx="16">
                  <c:v>Photovoltaik</c:v>
                </c:pt>
                <c:pt idx="17">
                  <c:v>Mini-/Mikro-BHKWs</c:v>
                </c:pt>
                <c:pt idx="18">
                  <c:v>Lastflexibilisierung mit Batteriespeichern</c:v>
                </c:pt>
              </c:strCache>
            </c:strRef>
          </c:cat>
          <c:val>
            <c:numRef>
              <c:f>'02_HaHa_AUSW_NR'!$B$27:$T$27</c:f>
              <c:numCache>
                <c:formatCode>General</c:formatCode>
                <c:ptCount val="19"/>
                <c:pt idx="0">
                  <c:v>12</c:v>
                </c:pt>
                <c:pt idx="1">
                  <c:v>10</c:v>
                </c:pt>
                <c:pt idx="2">
                  <c:v>11</c:v>
                </c:pt>
                <c:pt idx="3">
                  <c:v>10</c:v>
                </c:pt>
                <c:pt idx="4">
                  <c:v>8</c:v>
                </c:pt>
                <c:pt idx="5">
                  <c:v>13</c:v>
                </c:pt>
                <c:pt idx="6">
                  <c:v>2</c:v>
                </c:pt>
                <c:pt idx="7">
                  <c:v>14</c:v>
                </c:pt>
                <c:pt idx="8">
                  <c:v>10</c:v>
                </c:pt>
                <c:pt idx="9">
                  <c:v>13</c:v>
                </c:pt>
                <c:pt idx="10">
                  <c:v>13</c:v>
                </c:pt>
                <c:pt idx="11">
                  <c:v>1</c:v>
                </c:pt>
                <c:pt idx="12">
                  <c:v>1</c:v>
                </c:pt>
                <c:pt idx="13">
                  <c:v>8</c:v>
                </c:pt>
                <c:pt idx="14">
                  <c:v>3</c:v>
                </c:pt>
                <c:pt idx="15">
                  <c:v>0.5</c:v>
                </c:pt>
                <c:pt idx="16">
                  <c:v>1.5</c:v>
                </c:pt>
                <c:pt idx="17">
                  <c:v>0.5</c:v>
                </c:pt>
                <c:pt idx="18">
                  <c:v>2</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Anwendung</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17</xdr:col>
      <xdr:colOff>0</xdr:colOff>
      <xdr:row>0</xdr:row>
      <xdr:rowOff>0</xdr:rowOff>
    </xdr:from>
    <xdr:to>
      <xdr:col>23</xdr:col>
      <xdr:colOff>787950</xdr:colOff>
      <xdr:row>14</xdr:row>
      <xdr:rowOff>90900</xdr:rowOff>
    </xdr:to>
    <xdr:graphicFrame macro="">
      <xdr:nvGraphicFramePr>
        <xdr:cNvPr id="2" name="Diagramm 1">
          <a:extLst>
            <a:ext uri="{FF2B5EF4-FFF2-40B4-BE49-F238E27FC236}">
              <a16:creationId xmlns:a16="http://schemas.microsoft.com/office/drawing/2014/main" id="{A18835B0-3103-4DD8-9BA1-E42CD2E40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0</xdr:colOff>
      <xdr:row>0</xdr:row>
      <xdr:rowOff>0</xdr:rowOff>
    </xdr:from>
    <xdr:to>
      <xdr:col>18</xdr:col>
      <xdr:colOff>730800</xdr:colOff>
      <xdr:row>10</xdr:row>
      <xdr:rowOff>9075</xdr:rowOff>
    </xdr:to>
    <xdr:graphicFrame macro="">
      <xdr:nvGraphicFramePr>
        <xdr:cNvPr id="2" name="Diagramm 1">
          <a:extLst>
            <a:ext uri="{FF2B5EF4-FFF2-40B4-BE49-F238E27FC236}">
              <a16:creationId xmlns:a16="http://schemas.microsoft.com/office/drawing/2014/main" id="{2C652EEA-50F1-4937-A50D-D6A5282A7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0</xdr:row>
      <xdr:rowOff>0</xdr:rowOff>
    </xdr:from>
    <xdr:to>
      <xdr:col>15</xdr:col>
      <xdr:colOff>787950</xdr:colOff>
      <xdr:row>10</xdr:row>
      <xdr:rowOff>161475</xdr:rowOff>
    </xdr:to>
    <xdr:graphicFrame macro="">
      <xdr:nvGraphicFramePr>
        <xdr:cNvPr id="2" name="Diagramm 1">
          <a:extLst>
            <a:ext uri="{FF2B5EF4-FFF2-40B4-BE49-F238E27FC236}">
              <a16:creationId xmlns:a16="http://schemas.microsoft.com/office/drawing/2014/main" id="{C78376EC-2558-4499-96D9-FDB06A9E0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0</xdr:colOff>
      <xdr:row>0</xdr:row>
      <xdr:rowOff>0</xdr:rowOff>
    </xdr:from>
    <xdr:to>
      <xdr:col>14</xdr:col>
      <xdr:colOff>730800</xdr:colOff>
      <xdr:row>11</xdr:row>
      <xdr:rowOff>94800</xdr:rowOff>
    </xdr:to>
    <xdr:graphicFrame macro="">
      <xdr:nvGraphicFramePr>
        <xdr:cNvPr id="3" name="Diagramm 2">
          <a:extLst>
            <a:ext uri="{FF2B5EF4-FFF2-40B4-BE49-F238E27FC236}">
              <a16:creationId xmlns:a16="http://schemas.microsoft.com/office/drawing/2014/main" id="{FB32A740-CCC1-48BF-A63D-1CD530733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13</xdr:col>
      <xdr:colOff>730800</xdr:colOff>
      <xdr:row>13</xdr:row>
      <xdr:rowOff>290925</xdr:rowOff>
    </xdr:to>
    <xdr:graphicFrame macro="">
      <xdr:nvGraphicFramePr>
        <xdr:cNvPr id="3" name="Diagramm 2">
          <a:extLst>
            <a:ext uri="{FF2B5EF4-FFF2-40B4-BE49-F238E27FC236}">
              <a16:creationId xmlns:a16="http://schemas.microsoft.com/office/drawing/2014/main" id="{987CBD4F-0F0B-414C-898B-8AE95AB04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19</xdr:col>
      <xdr:colOff>0</xdr:colOff>
      <xdr:row>0</xdr:row>
      <xdr:rowOff>0</xdr:rowOff>
    </xdr:from>
    <xdr:to>
      <xdr:col>25</xdr:col>
      <xdr:colOff>730800</xdr:colOff>
      <xdr:row>11</xdr:row>
      <xdr:rowOff>94800</xdr:rowOff>
    </xdr:to>
    <xdr:graphicFrame macro="">
      <xdr:nvGraphicFramePr>
        <xdr:cNvPr id="6" name="Diagramm 5">
          <a:extLst>
            <a:ext uri="{FF2B5EF4-FFF2-40B4-BE49-F238E27FC236}">
              <a16:creationId xmlns:a16="http://schemas.microsoft.com/office/drawing/2014/main" id="{273BF3F6-7606-422B-BBBA-84737D18A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0</xdr:colOff>
      <xdr:row>0</xdr:row>
      <xdr:rowOff>0</xdr:rowOff>
    </xdr:from>
    <xdr:to>
      <xdr:col>25</xdr:col>
      <xdr:colOff>787950</xdr:colOff>
      <xdr:row>13</xdr:row>
      <xdr:rowOff>5175</xdr:rowOff>
    </xdr:to>
    <xdr:graphicFrame macro="">
      <xdr:nvGraphicFramePr>
        <xdr:cNvPr id="2" name="Diagramm 1">
          <a:extLst>
            <a:ext uri="{FF2B5EF4-FFF2-40B4-BE49-F238E27FC236}">
              <a16:creationId xmlns:a16="http://schemas.microsoft.com/office/drawing/2014/main" id="{703A506C-D3AA-4866-85C3-CA71A4F7C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0</xdr:colOff>
      <xdr:row>0</xdr:row>
      <xdr:rowOff>0</xdr:rowOff>
    </xdr:from>
    <xdr:to>
      <xdr:col>25</xdr:col>
      <xdr:colOff>787950</xdr:colOff>
      <xdr:row>9</xdr:row>
      <xdr:rowOff>62325</xdr:rowOff>
    </xdr:to>
    <xdr:graphicFrame macro="">
      <xdr:nvGraphicFramePr>
        <xdr:cNvPr id="2" name="Diagramm 1">
          <a:extLst>
            <a:ext uri="{FF2B5EF4-FFF2-40B4-BE49-F238E27FC236}">
              <a16:creationId xmlns:a16="http://schemas.microsoft.com/office/drawing/2014/main" id="{8327CC21-D891-42F7-A686-4D6AFA220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13</xdr:col>
      <xdr:colOff>730800</xdr:colOff>
      <xdr:row>10</xdr:row>
      <xdr:rowOff>24225</xdr:rowOff>
    </xdr:to>
    <xdr:graphicFrame macro="">
      <xdr:nvGraphicFramePr>
        <xdr:cNvPr id="2" name="Diagramm 1">
          <a:extLst>
            <a:ext uri="{FF2B5EF4-FFF2-40B4-BE49-F238E27FC236}">
              <a16:creationId xmlns:a16="http://schemas.microsoft.com/office/drawing/2014/main" id="{710C1A7B-E03A-4C6C-930E-B4BB04847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28</xdr:col>
      <xdr:colOff>0</xdr:colOff>
      <xdr:row>0</xdr:row>
      <xdr:rowOff>0</xdr:rowOff>
    </xdr:from>
    <xdr:to>
      <xdr:col>34</xdr:col>
      <xdr:colOff>730800</xdr:colOff>
      <xdr:row>10</xdr:row>
      <xdr:rowOff>24225</xdr:rowOff>
    </xdr:to>
    <xdr:graphicFrame macro="">
      <xdr:nvGraphicFramePr>
        <xdr:cNvPr id="3" name="Diagramm 2">
          <a:extLst>
            <a:ext uri="{FF2B5EF4-FFF2-40B4-BE49-F238E27FC236}">
              <a16:creationId xmlns:a16="http://schemas.microsoft.com/office/drawing/2014/main" id="{00CDA109-E4A5-4520-9D32-4499B6B0E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27</xdr:col>
      <xdr:colOff>0</xdr:colOff>
      <xdr:row>0</xdr:row>
      <xdr:rowOff>0</xdr:rowOff>
    </xdr:from>
    <xdr:to>
      <xdr:col>33</xdr:col>
      <xdr:colOff>730800</xdr:colOff>
      <xdr:row>12</xdr:row>
      <xdr:rowOff>5175</xdr:rowOff>
    </xdr:to>
    <xdr:graphicFrame macro="">
      <xdr:nvGraphicFramePr>
        <xdr:cNvPr id="2" name="Diagramm 1">
          <a:extLst>
            <a:ext uri="{FF2B5EF4-FFF2-40B4-BE49-F238E27FC236}">
              <a16:creationId xmlns:a16="http://schemas.microsoft.com/office/drawing/2014/main" id="{36207A88-EB03-4572-B579-1DA7A42D1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20</xdr:col>
      <xdr:colOff>730800</xdr:colOff>
      <xdr:row>14</xdr:row>
      <xdr:rowOff>109950</xdr:rowOff>
    </xdr:to>
    <xdr:graphicFrame macro="">
      <xdr:nvGraphicFramePr>
        <xdr:cNvPr id="2" name="Diagramm 1">
          <a:extLst>
            <a:ext uri="{FF2B5EF4-FFF2-40B4-BE49-F238E27FC236}">
              <a16:creationId xmlns:a16="http://schemas.microsoft.com/office/drawing/2014/main" id="{4F1BD8B9-CE99-442F-984E-D1FC279E8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29</xdr:col>
      <xdr:colOff>0</xdr:colOff>
      <xdr:row>0</xdr:row>
      <xdr:rowOff>0</xdr:rowOff>
    </xdr:from>
    <xdr:to>
      <xdr:col>35</xdr:col>
      <xdr:colOff>730800</xdr:colOff>
      <xdr:row>14</xdr:row>
      <xdr:rowOff>109950</xdr:rowOff>
    </xdr:to>
    <xdr:graphicFrame macro="">
      <xdr:nvGraphicFramePr>
        <xdr:cNvPr id="3" name="Diagramm 2">
          <a:extLst>
            <a:ext uri="{FF2B5EF4-FFF2-40B4-BE49-F238E27FC236}">
              <a16:creationId xmlns:a16="http://schemas.microsoft.com/office/drawing/2014/main" id="{22BA2A26-A481-461C-81CB-A6D114FCC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21</xdr:col>
      <xdr:colOff>0</xdr:colOff>
      <xdr:row>0</xdr:row>
      <xdr:rowOff>0</xdr:rowOff>
    </xdr:from>
    <xdr:to>
      <xdr:col>27</xdr:col>
      <xdr:colOff>730800</xdr:colOff>
      <xdr:row>14</xdr:row>
      <xdr:rowOff>109950</xdr:rowOff>
    </xdr:to>
    <xdr:graphicFrame macro="">
      <xdr:nvGraphicFramePr>
        <xdr:cNvPr id="3" name="Diagramm 2">
          <a:extLst>
            <a:ext uri="{FF2B5EF4-FFF2-40B4-BE49-F238E27FC236}">
              <a16:creationId xmlns:a16="http://schemas.microsoft.com/office/drawing/2014/main" id="{8A00FD84-FB0E-4222-9B7A-6DF2E1040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ohannes Kochems" id="{24770FA3-2E71-45FC-8D9B-44727DC045D6}" userId="5db53a5ae892ca42" providerId="Windows Live"/>
  <person displayName="Johannes Kochems" id="{C50136EC-1E62-4592-B17A-7DA72D4F4ECD}" userId="Johannes Kochems"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Ueberblick" displayName="Ueberblick" ref="A2:CJ35" totalsRowCount="1" headerRowDxfId="1249" dataDxfId="1248" totalsRowDxfId="1246" tableBorderDxfId="1247" totalsRowBorderDxfId="1245">
  <autoFilter ref="A2:CJ34" xr:uid="{00000000-0009-0000-0100-000004000000}"/>
  <sortState ref="A3:CJ27">
    <sortCondition ref="A2:A27"/>
  </sortState>
  <tableColumns count="88">
    <tableColumn id="1" xr3:uid="{00000000-0010-0000-0000-000001000000}" name="Kurzbeleg" dataDxfId="1244" totalsRowDxfId="87"/>
    <tableColumn id="83" xr3:uid="{632F5275-4B2A-4262-871F-BE0C2DC5B9A6}" name="Kürzel" dataDxfId="1243" totalsRowDxfId="86"/>
    <tableColumn id="2" xr3:uid="{00000000-0010-0000-0000-000002000000}" name="Titel der Studie" dataDxfId="1242" totalsRowDxfId="85"/>
    <tableColumn id="3" xr3:uid="{00000000-0010-0000-0000-000003000000}" name="durchführende Institution" dataDxfId="1241" totalsRowDxfId="84"/>
    <tableColumn id="21" xr3:uid="{00000000-0010-0000-0000-000015000000}" name="Auftraggeber" dataDxfId="1240" totalsRowDxfId="83"/>
    <tableColumn id="4" xr3:uid="{00000000-0010-0000-0000-000004000000}" name="Art der Schrift" dataDxfId="1239" totalsRowDxfId="82"/>
    <tableColumn id="5" xr3:uid="{00000000-0010-0000-0000-000005000000}" name="Freitextbeschreibung der Methodik" dataDxfId="1238" totalsRowDxfId="81"/>
    <tableColumn id="76" xr3:uid="{2CA42FD3-A7B8-4911-957F-F65B6F8CF4A2}" name="Bottom-Up-Abschätzung" dataDxfId="1237" totalsRowDxfId="80"/>
    <tableColumn id="75" xr3:uid="{748392C3-1F39-4ED7-BABC-9B46699C91C8}" name="Top-Down-Abschätzung" dataDxfId="1236" totalsRowDxfId="79"/>
    <tableColumn id="6" xr3:uid="{00000000-0010-0000-0000-000006000000}" name="Bestimmung Kosten-Potenzial-Kurven" dataDxfId="1235" totalsRowDxfId="78"/>
    <tableColumn id="52" xr3:uid="{00000000-0010-0000-0000-000034000000}" name="Analyse mehrerer Szenarien / Entwicklungen" dataDxfId="1234" totalsRowDxfId="77"/>
    <tableColumn id="51" xr3:uid="{00000000-0010-0000-0000-000033000000}" name="Untersuchung von Fehlermaßen" dataDxfId="1233" totalsRowDxfId="76"/>
    <tableColumn id="46" xr3:uid="{00000000-0010-0000-0000-00002E000000}" name="Fokus Lastmanagement" dataDxfId="1232" totalsRowDxfId="75"/>
    <tableColumn id="44" xr3:uid="{00000000-0010-0000-0000-00002C000000}" name="Quellen Methodik" dataDxfId="1231" totalsRowDxfId="74"/>
    <tableColumn id="7" xr3:uid="{00000000-0010-0000-0000-000007000000}" name="Überblick über zentrale Annahmen" dataDxfId="1230" totalsRowDxfId="73">
      <calculatedColumnFormula>- Zeitverfügbarkeit einiger Prozesse
- Lastmanagementfaktoren (Anteil flexibilisierbarer Leistung)
- Hochrechnungen bei Haushalten über durchschnittliche Geräteausstattung</calculatedColumnFormula>
    </tableColumn>
    <tableColumn id="45" xr3:uid="{00000000-0010-0000-0000-00002D000000}" name="Quellen zentrale Annahmen" dataDxfId="1229" totalsRowDxfId="72"/>
    <tableColumn id="48" xr3:uid="{00000000-0010-0000-0000-000030000000}" name="überwiegend verwendete Datenbasis" dataDxfId="1228" totalsRowDxfId="71"/>
    <tableColumn id="10" xr3:uid="{00000000-0010-0000-0000-00000A000000}" name="Literaturanalyse" dataDxfId="1227" totalsRowDxfId="70"/>
    <tableColumn id="11" xr3:uid="{00000000-0010-0000-0000-00000B000000}" name="Auswertung von Statistiken" dataDxfId="1226" totalsRowDxfId="69"/>
    <tableColumn id="12" xr3:uid="{00000000-0010-0000-0000-00000C000000}" name="Expertenabschätzungen" dataDxfId="1225" totalsRowDxfId="68"/>
    <tableColumn id="13" xr3:uid="{00000000-0010-0000-0000-00000D000000}" name="(Online-)Umfragen" dataDxfId="1224" totalsRowDxfId="67"/>
    <tableColumn id="14" xr3:uid="{00000000-0010-0000-0000-00000E000000}" name="Unternehmensbefragungen / Interviews" dataDxfId="1223" totalsRowDxfId="66"/>
    <tableColumn id="49" xr3:uid="{00000000-0010-0000-0000-000031000000}" name="eigene Annahmen" dataDxfId="1222" totalsRowDxfId="65"/>
    <tableColumn id="15" xr3:uid="{00000000-0010-0000-0000-00000F000000}" name="eigene Erhebungen" dataDxfId="1221" totalsRowDxfId="64"/>
    <tableColumn id="47" xr3:uid="{00000000-0010-0000-0000-00002F000000}" name="Bezugsjahr(e) der Datenbasis" dataDxfId="1220" totalsRowDxfId="63"/>
    <tableColumn id="16" xr3:uid="{00000000-0010-0000-0000-000010000000}" name="Quellen Daten" dataDxfId="1219" totalsRowDxfId="62"/>
    <tableColumn id="17" xr3:uid="{00000000-0010-0000-0000-000011000000}" name="analytischer Ansatz zur Verwertung technischer Potenziale" dataDxfId="1218" totalsRowDxfId="61"/>
    <tableColumn id="18" xr3:uid="{00000000-0010-0000-0000-000012000000}" name="Branchen, Produktionsprozesse Industrie" dataDxfId="1217" totalsRowDxfId="60"/>
    <tableColumn id="50" xr3:uid="{00000000-0010-0000-0000-000032000000}" name="Querschnittstechnologien Industrie" dataDxfId="1216" totalsRowDxfId="59"/>
    <tableColumn id="19" xr3:uid="{00000000-0010-0000-0000-000013000000}" name="Querschnittstechnologien im GHD-Sektor" dataDxfId="1215" totalsRowDxfId="58"/>
    <tableColumn id="20" xr3:uid="{00000000-0010-0000-0000-000014000000}" name="Branchen, Produktionsprozesse Haushalte" dataDxfId="1214" totalsRowDxfId="57"/>
    <tableColumn id="43" xr3:uid="{FC53D474-7B46-4E3E-9171-DAF4242A80FA}" name="Verkehr, Erzeugung und sonstige" dataDxfId="1213" totalsRowDxfId="56"/>
    <tableColumn id="22" xr3:uid="{00000000-0010-0000-0000-000016000000}" name="Quellen Betrachtungsumfang" dataDxfId="1212" totalsRowDxfId="55"/>
    <tableColumn id="82" xr3:uid="{DC8AA85A-8581-492B-9E17-88AA1CEC3051}" name="Haushalte" dataDxfId="1211" totalsRowDxfId="54">
      <calculatedColumnFormula>IF(Ueberblick[[#This Row],[Branchen, Produktionsprozesse Haushalte]]&lt;&gt;"",1,0)</calculatedColumnFormula>
    </tableColumn>
    <tableColumn id="81" xr3:uid="{46EB5746-8A34-4E93-A89E-5E5F042C5F02}" name="GHD" dataDxfId="1210" totalsRowDxfId="53">
      <calculatedColumnFormula>IF(Ueberblick[[#This Row],[Querschnittstechnologien im GHD-Sektor]]&lt;&gt;"",1,0)</calculatedColumnFormula>
    </tableColumn>
    <tableColumn id="80" xr3:uid="{A50ACBF7-0464-4A88-B67D-4BE826976962}" name="Industrie" dataDxfId="1209" totalsRowDxfId="52">
      <calculatedColumnFormula>IF(OR(Ueberblick[[#This Row],[Branchen, Produktionsprozesse Industrie]]&lt;&gt;"",Ueberblick[[#This Row],[Querschnittstechnologien Industrie]]&lt;&gt;""),1,0)</calculatedColumnFormula>
    </tableColumn>
    <tableColumn id="23" xr3:uid="{00000000-0010-0000-0000-000017000000}" name="Überblick Flexibilitätsparameter" dataDxfId="1208" totalsRowDxfId="51"/>
    <tableColumn id="24" xr3:uid="{00000000-0010-0000-0000-000018000000}" name="Potenzialtrennung pos/neg vorgenommen" dataDxfId="1207" totalsRowDxfId="50"/>
    <tableColumn id="78" xr3:uid="{E6CC6DD3-D676-4817-8DF3-F52570A30183}" name="Potenzial pos" dataDxfId="1206" totalsRowDxfId="49"/>
    <tableColumn id="77" xr3:uid="{27A38D6A-6E2E-4277-A774-ACE9DF072236}" name="Potenzial neg" dataDxfId="1205" totalsRowDxfId="48"/>
    <tableColumn id="25" xr3:uid="{00000000-0010-0000-0000-000019000000}" name="Schaltdauer erfasst" dataDxfId="1204" totalsRowDxfId="47"/>
    <tableColumn id="26" xr3:uid="{00000000-0010-0000-0000-00001A000000}" name="Verschiebedauer erfasst" dataDxfId="1203" totalsRowDxfId="46"/>
    <tableColumn id="27" xr3:uid="{00000000-0010-0000-0000-00001B000000}" name="Angaben zur Schalthäufigkeit vorhanden" dataDxfId="1202" totalsRowDxfId="45"/>
    <tableColumn id="28" xr3:uid="{00000000-0010-0000-0000-00001C000000}" name="Angeben zu Investitionsausgaben" dataDxfId="1201" totalsRowDxfId="44"/>
    <tableColumn id="29" xr3:uid="{00000000-0010-0000-0000-00001D000000}" name="Angaben zu fixen Kosten" dataDxfId="1200" totalsRowDxfId="43"/>
    <tableColumn id="30" xr3:uid="{00000000-0010-0000-0000-00001E000000}" name="Angaben zu variablen Kosten" dataDxfId="1199" totalsRowDxfId="42"/>
    <tableColumn id="31" xr3:uid="{00000000-0010-0000-0000-00001F000000}" name="Quellen Flexibilitätsparameter" dataDxfId="1198" totalsRowDxfId="41"/>
    <tableColumn id="32" xr3:uid="{00000000-0010-0000-0000-000020000000}" name="Überblick der Potenzialbegriffe" dataDxfId="1197" totalsRowDxfId="40"/>
    <tableColumn id="67" xr3:uid="{00000000-0010-0000-0000-000043000000}" name="Angaben zum theoretischen Potenzial" dataDxfId="1196" totalsRowDxfId="39"/>
    <tableColumn id="33" xr3:uid="{00000000-0010-0000-0000-000021000000}" name="Angaben zum technischen Potenzial" dataDxfId="1195" totalsRowDxfId="38"/>
    <tableColumn id="70" xr3:uid="{00000000-0010-0000-0000-000046000000}" name="Angaben zum soziotechnischen Potenzial" dataDxfId="1194" totalsRowDxfId="37"/>
    <tableColumn id="68" xr3:uid="{00000000-0010-0000-0000-000044000000}" name="Angaben zum ökonomischen Potenzial" dataDxfId="1193" totalsRowDxfId="36"/>
    <tableColumn id="69" xr3:uid="{00000000-0010-0000-0000-000045000000}" name="Angaben zum sozialen Potenzial" dataDxfId="1192" totalsRowDxfId="35"/>
    <tableColumn id="71" xr3:uid="{00000000-0010-0000-0000-000047000000}" name="Angaben zum realisierbaren Potenzial" dataDxfId="1191" totalsRowDxfId="34"/>
    <tableColumn id="34" xr3:uid="{00000000-0010-0000-0000-000022000000}" name="Zeithorizont" dataDxfId="1190" totalsRowDxfId="33"/>
    <tableColumn id="35" xr3:uid="{00000000-0010-0000-0000-000023000000}" name="Jahr Status quo / Basis" dataDxfId="1189" totalsRowDxfId="32">
      <calculatedColumnFormula>LEFT(Gesamtueberblick!$BC3,4)</calculatedColumnFormula>
    </tableColumn>
    <tableColumn id="36" xr3:uid="{00000000-0010-0000-0000-000024000000}" name="2020 erfasst?" dataDxfId="1188" totalsRowDxfId="31"/>
    <tableColumn id="37" xr3:uid="{00000000-0010-0000-0000-000025000000}" name="2025 erfasst?" dataDxfId="1187" totalsRowDxfId="30"/>
    <tableColumn id="38" xr3:uid="{00000000-0010-0000-0000-000026000000}" name="2030 erfasst?" dataDxfId="1186" totalsRowDxfId="29"/>
    <tableColumn id="39" xr3:uid="{00000000-0010-0000-0000-000027000000}" name="2050 erfasst?" dataDxfId="1185" totalsRowDxfId="28"/>
    <tableColumn id="40" xr3:uid="{00000000-0010-0000-0000-000028000000}" name="Potenzial Industrie ges. pos." dataDxfId="1184" totalsRowDxfId="27"/>
    <tableColumn id="55" xr3:uid="{00000000-0010-0000-0000-000037000000}" name="Potenzial Industrie ges. neg." dataDxfId="1183" totalsRowDxfId="26"/>
    <tableColumn id="9" xr3:uid="{00000000-0010-0000-0000-000009000000}" name="Potenzial Industrie Prozesse pos." dataDxfId="1182" totalsRowDxfId="25"/>
    <tableColumn id="8" xr3:uid="{00000000-0010-0000-0000-000008000000}" name="Potenzial Industrie Prozesse neg." dataDxfId="1181" totalsRowDxfId="24"/>
    <tableColumn id="63" xr3:uid="{00000000-0010-0000-0000-00003F000000}" name="Potenzial Industrie QST pos." dataDxfId="1180" totalsRowDxfId="23"/>
    <tableColumn id="62" xr3:uid="{00000000-0010-0000-0000-00003E000000}" name="Potenzial Industrie QST neg." dataDxfId="1179" totalsRowDxfId="22"/>
    <tableColumn id="54" xr3:uid="{00000000-0010-0000-0000-000036000000}" name="Potenzial GHD ges. pos." dataDxfId="1178" totalsRowDxfId="21"/>
    <tableColumn id="58" xr3:uid="{00000000-0010-0000-0000-00003A000000}" name="Potenzial GHD ges. neg." dataDxfId="1177" totalsRowDxfId="20"/>
    <tableColumn id="56" xr3:uid="{00000000-0010-0000-0000-000038000000}" name="Potenzial GHD ges. pos. ohne Klimatisierung / Wärme" dataDxfId="1176" totalsRowDxfId="19"/>
    <tableColumn id="59" xr3:uid="{00000000-0010-0000-0000-00003B000000}" name="Potenzial GHD ges. neg. ohne Klimatisierung / Wärme" dataDxfId="1175" totalsRowDxfId="18"/>
    <tableColumn id="53" xr3:uid="{00000000-0010-0000-0000-000035000000}" name="Potenzial Haushalte ges. pos." dataDxfId="1174" totalsRowDxfId="17"/>
    <tableColumn id="60" xr3:uid="{00000000-0010-0000-0000-00003C000000}" name="Potenzial Haushalte ges. neg." dataDxfId="1173" totalsRowDxfId="16"/>
    <tableColumn id="57" xr3:uid="{00000000-0010-0000-0000-000039000000}" name="Potenzial Haushalte ges. pos. ohne Wärme" dataDxfId="1172" totalsRowDxfId="15"/>
    <tableColumn id="61" xr3:uid="{00000000-0010-0000-0000-00003D000000}" name="Potenzial Haushalte ges. neg. ohne Wärme" dataDxfId="1171" totalsRowDxfId="14"/>
    <tableColumn id="79" xr3:uid="{31F976D9-406C-4694-BCF6-AA5BA38954B6}" name="Benutzungsstunden / Auslastungsgrade angegeben?" dataDxfId="1170" totalsRowDxfId="13"/>
    <tableColumn id="90" xr3:uid="{19489313-516D-412D-9F36-6FCC7070D4C8}" name="Saisonalität berücksichtigt?" dataDxfId="1169" totalsRowDxfId="12"/>
    <tableColumn id="88" xr3:uid="{F0B48DC4-196A-4E69-8718-DC09EC019AA2}" name="Tageszeitliche Abhängigkeit berücksichtigt?" dataDxfId="1168" totalsRowDxfId="11"/>
    <tableColumn id="87" xr3:uid="{791CC651-9903-42A6-83C7-7A702846D27A}" name="Temperaturabhängigkeit berücksichtigt?" dataDxfId="1167" totalsRowDxfId="10"/>
    <tableColumn id="86" xr3:uid="{AED92EA0-1C20-4F2A-B9DA-829515E72C81}" name="Lastgänge / Lastblöcke berücksichtigt?" dataDxfId="1166" totalsRowDxfId="9"/>
    <tableColumn id="85" xr3:uid="{894E805A-F833-49AA-9314-4AF0556EE073}" name="Zeitverfügbarkeitszeitreihen generiert?" dataDxfId="1165" totalsRowDxfId="8"/>
    <tableColumn id="41" xr3:uid="{00000000-0010-0000-0000-000029000000}" name="Quellen Zeitverfügbarkeit" dataDxfId="1164" totalsRowDxfId="7"/>
    <tableColumn id="42" xr3:uid="{00000000-0010-0000-0000-00002A000000}" name="Kommentar und Kritik" dataDxfId="1163" totalsRowDxfId="6"/>
    <tableColumn id="66" xr3:uid="{00000000-0010-0000-0000-000042000000}" name="Erfassung BA Schmidt de Ccahuana" dataDxfId="1162" totalsRowDxfId="5"/>
    <tableColumn id="65" xr3:uid="{00000000-0010-0000-0000-000041000000}" name="Erfassung BA Renner" dataDxfId="1161" totalsRowDxfId="4"/>
    <tableColumn id="64" xr3:uid="{00000000-0010-0000-0000-000040000000}" name="Erfassung BA Vogt" dataDxfId="1160" totalsRowDxfId="3"/>
    <tableColumn id="72" xr3:uid="{4954F5A7-DDCA-4E78-AF7F-7CA5F408B168}" name="Erfassung BA Stange" dataDxfId="1159" totalsRowDxfId="2"/>
    <tableColumn id="73" xr3:uid="{47BF244D-B99D-4F4C-A65A-6EADB5DEECFC}" name="Erfassung BA Odeh" dataDxfId="1158" totalsRowDxfId="1"/>
    <tableColumn id="74" xr3:uid="{95C0E32B-95CF-4D28-8CCE-294968D87A78}" name="Erfassung BA Benz" dataDxfId="1157" totalsRowDxfId="0"/>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94EA705-EF75-4ABC-A2C4-F67F34333650}" name="Tabelle4143" displayName="Tabelle4143" ref="A1:B17" totalsRowShown="0" headerRowDxfId="1018" dataDxfId="1017">
  <autoFilter ref="A1:B17" xr:uid="{7DF54DC3-53A2-4050-BE8A-6CC5D8058F05}"/>
  <tableColumns count="2">
    <tableColumn id="1" xr3:uid="{664217BB-30EB-404C-9351-D3C74887D67E}" name="Annahmen ursprünglich" dataDxfId="1016"/>
    <tableColumn id="2" xr3:uid="{A5B1B6ED-3738-4DF9-BCB7-6DBA74291731}" name="Hilfsspalte Kategorie" dataDxfId="1015"/>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A7880672-3778-42F2-BB3B-A15D04FD50E6}" name="Tabelle41" displayName="Tabelle41" ref="A1:B72" totalsRowShown="0" headerRowDxfId="1014" dataDxfId="1013">
  <autoFilter ref="A1:B72" xr:uid="{7DF54DC3-53A2-4050-BE8A-6CC5D8058F05}"/>
  <tableColumns count="2">
    <tableColumn id="1" xr3:uid="{0BB7C963-596A-429D-8B4C-506EE2330FD2}" name="Annahmen - ursprünglich" dataDxfId="1012"/>
    <tableColumn id="2" xr3:uid="{A96D2AAC-C428-4E9E-AE81-82FF8257C57C}" name="Hilfsspalte Kategorie" dataDxfId="1011"/>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D3B4676-3189-434A-AFCE-BA19D1F577C0}" name="Ueberblick428" displayName="Ueberblick428" ref="A2:R28" totalsRowCount="1" headerRowDxfId="1010" dataDxfId="1009" tableBorderDxfId="1008">
  <autoFilter ref="A2:R27" xr:uid="{E48EAA67-8810-45E2-ADB4-BD9F158F350C}"/>
  <sortState ref="A3:R27">
    <sortCondition ref="A2:A27"/>
  </sortState>
  <tableColumns count="18">
    <tableColumn id="1" xr3:uid="{0065E3CE-E3BC-4176-AFCE-8125FEF5C067}" name="Kurzbeleg" totalsRowLabel="Häufigkeit" dataDxfId="1007" totalsRowDxfId="1006"/>
    <tableColumn id="18" xr3:uid="{2F6B0C97-2340-4FE4-A5FC-0CA54CEB18CE}" name="StV / Leistungen" totalsRowFunction="sum" dataDxfId="1005" totalsRowDxfId="1004"/>
    <tableColumn id="17" xr3:uid="{24BB41DC-21EC-46F2-B0DD-3EBBDF218895}" name="Durchdringungsraten" totalsRowFunction="sum" dataDxfId="1003" totalsRowDxfId="1002"/>
    <tableColumn id="15" xr3:uid="{06BDA605-9AA8-444F-8214-9EC55E5127AC}" name="Profile / Zeitverfügbarkeit" totalsRowFunction="sum" dataDxfId="1001" totalsRowDxfId="1000"/>
    <tableColumn id="14" xr3:uid="{84C6FBFB-CE73-4249-BB5E-762AF37048E3}" name="flex. Leistung" totalsRowFunction="sum" dataDxfId="999" totalsRowDxfId="998"/>
    <tableColumn id="13" xr3:uid="{B49EA757-EAE3-4B16-B83A-E659218A4E46}" name="Zeitdauern" totalsRowFunction="sum" dataDxfId="997" totalsRowDxfId="996"/>
    <tableColumn id="12" xr3:uid="{F73D7CD5-DEF7-4E4A-93FA-E43C0CD5CD07}" name="Abrufhäufigkeit" totalsRowFunction="sum" dataDxfId="995" totalsRowDxfId="994"/>
    <tableColumn id="11" xr3:uid="{0CBA64DC-8ACF-4C11-BC71-2B05B7D76706}" name="spez. Leistung / Verbräuche" totalsRowFunction="sum" dataDxfId="993" totalsRowDxfId="992"/>
    <tableColumn id="10" xr3:uid="{E2D825DB-AE7C-4D42-8843-548E702FA48C}" name="(soziale) Akzeptanz" totalsRowFunction="sum" dataDxfId="991" totalsRowDxfId="990"/>
    <tableColumn id="9" xr3:uid="{0813D05E-9C37-40E5-BBD7-7149C4CDF01C}" name="Prozesseignung" totalsRowFunction="sum" dataDxfId="989" totalsRowDxfId="988"/>
    <tableColumn id="8" xr3:uid="{686DB26A-D51C-4655-96A5-1DEB6B0D6216}" name="Kosten(entwicklung)" totalsRowFunction="sum" dataDxfId="987" totalsRowDxfId="986"/>
    <tableColumn id="7" xr3:uid="{B8D80668-8069-48AE-9B17-108B5A8DD6D9}" name="Potenzialentwicklung" totalsRowFunction="sum" dataDxfId="985" totalsRowDxfId="984"/>
    <tableColumn id="6" xr3:uid="{FB24C3E3-F967-43E6-89AB-4D4428F4EDCF}" name="Simulationsdaten" totalsRowFunction="sum" dataDxfId="983" totalsRowDxfId="982"/>
    <tableColumn id="5" xr3:uid="{1F41B5E1-7F37-4D3A-97FF-AE494E34AAD8}" name="Erheblichkeitsschwelle" totalsRowFunction="sum" dataDxfId="981" totalsRowDxfId="980"/>
    <tableColumn id="4" xr3:uid="{17A4F7BD-039C-4E28-8818-4213B7623DD9}" name="Annahmen Elektormobilität" totalsRowFunction="sum" dataDxfId="979" totalsRowDxfId="978"/>
    <tableColumn id="3" xr3:uid="{E17FFE2A-57FF-4E25-8537-1DB00C5D1175}" name="Symmetrieannahme" totalsRowFunction="sum" dataDxfId="977" totalsRowDxfId="976"/>
    <tableColumn id="2" xr3:uid="{B821486A-45A3-4F71-8B30-57C4E74121B8}" name="Bereitstellungsalternative" totalsRowFunction="sum" dataDxfId="975" totalsRowDxfId="974"/>
    <tableColumn id="16" xr3:uid="{528F8889-0EA5-4D2A-8D8E-96F1717AC8F3}" name="Quellen zentrale Annahmen" dataDxfId="973" totalsRowDxfId="972"/>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BFA1C9EC-15D6-4134-9F67-1644469072FD}" name="Ueberblick42845" displayName="Ueberblick42845" ref="A2:R28" totalsRowCount="1" headerRowDxfId="971" dataDxfId="970" tableBorderDxfId="969">
  <autoFilter ref="A2:R27" xr:uid="{E48EAA67-8810-45E2-ADB4-BD9F158F350C}"/>
  <sortState ref="A3:R27">
    <sortCondition ref="A2:A27"/>
  </sortState>
  <tableColumns count="18">
    <tableColumn id="1" xr3:uid="{88DDEBCC-C969-414E-A11E-C2E25FB2A5A7}" name="Kurzbeleg" totalsRowLabel="Häufigkeit" dataDxfId="968" totalsRowDxfId="967"/>
    <tableColumn id="18" xr3:uid="{049BE2F3-965F-40F7-83A0-65305B62F0EE}" name="StV / Leistungen" totalsRowFunction="custom" dataDxfId="966" totalsRowDxfId="965">
      <calculatedColumnFormula>VLOOKUP(Ueberblick428[[#This Row],[StV / Leistungen]],Dropdown!$A$2:$D$4,4,FALSE)</calculatedColumnFormula>
      <totalsRowFormula>Ueberblick428[[#Totals],[StV / Leistungen]]</totalsRowFormula>
    </tableColumn>
    <tableColumn id="17" xr3:uid="{A66072F7-8290-4C1C-8F72-617221B88581}" name="Durchdringungsraten" totalsRowFunction="custom" dataDxfId="964" totalsRowDxfId="963">
      <calculatedColumnFormula>VLOOKUP(Ueberblick428[[#This Row],[Durchdringungsraten]],Dropdown!$A$2:$D$4,4,FALSE)</calculatedColumnFormula>
      <totalsRowFormula>Ueberblick428[[#Totals],[Durchdringungsraten]]</totalsRowFormula>
    </tableColumn>
    <tableColumn id="15" xr3:uid="{A8A17F73-BF36-48CC-B7F1-38CE16E929AD}" name="Profile / Zeitverfügbarkeit" totalsRowFunction="custom" dataDxfId="962" totalsRowDxfId="961">
      <calculatedColumnFormula>VLOOKUP(Ueberblick428[[#This Row],[Profile / Zeitverfügbarkeit]],Dropdown!$A$2:$D$4,4,FALSE)</calculatedColumnFormula>
      <totalsRowFormula>Ueberblick428[[#Totals],[Profile / Zeitverfügbarkeit]]</totalsRowFormula>
    </tableColumn>
    <tableColumn id="14" xr3:uid="{43EB8D1E-7638-4608-BCE7-5C1DC43956E5}" name="flex. Leistung" totalsRowFunction="custom" dataDxfId="960" totalsRowDxfId="959">
      <calculatedColumnFormula>VLOOKUP(Ueberblick428[[#This Row],[flex. Leistung]],Dropdown!$A$2:$D$4,4,FALSE)</calculatedColumnFormula>
      <totalsRowFormula>Ueberblick428[[#Totals],[flex. Leistung]]</totalsRowFormula>
    </tableColumn>
    <tableColumn id="13" xr3:uid="{F3D96B75-E6BD-4FCE-B497-92F4F7247587}" name="Zeitdauern" totalsRowFunction="custom" dataDxfId="958" totalsRowDxfId="957">
      <calculatedColumnFormula>VLOOKUP(Ueberblick428[[#This Row],[Zeitdauern]],Dropdown!$A$2:$D$4,4,FALSE)</calculatedColumnFormula>
      <totalsRowFormula>Ueberblick428[[#Totals],[Zeitdauern]]</totalsRowFormula>
    </tableColumn>
    <tableColumn id="12" xr3:uid="{2317B754-6C97-414D-A626-D9A643C96160}" name="Abrufhäufigkeit" totalsRowFunction="custom" dataDxfId="956" totalsRowDxfId="955">
      <calculatedColumnFormula>VLOOKUP(Ueberblick428[[#This Row],[Abrufhäufigkeit]],Dropdown!$A$2:$D$4,4,FALSE)</calculatedColumnFormula>
      <totalsRowFormula>Ueberblick428[[#Totals],[Abrufhäufigkeit]]</totalsRowFormula>
    </tableColumn>
    <tableColumn id="11" xr3:uid="{4B2BD0F8-C19E-47D7-A7C9-B3C72EB293DA}" name="spez. Leistung / Verbräuche" totalsRowFunction="custom" dataDxfId="954" totalsRowDxfId="953">
      <calculatedColumnFormula>VLOOKUP(Ueberblick428[[#This Row],[spez. Leistung / Verbräuche]],Dropdown!$A$2:$D$4,4,FALSE)</calculatedColumnFormula>
      <totalsRowFormula>Ueberblick428[[#Totals],[spez. Leistung / Verbräuche]]</totalsRowFormula>
    </tableColumn>
    <tableColumn id="10" xr3:uid="{9D5AD23D-E3CF-4D80-8226-279B2267424C}" name="(soziale) Akzeptanz" totalsRowFunction="custom" dataDxfId="952" totalsRowDxfId="951">
      <calculatedColumnFormula>VLOOKUP(Ueberblick428[[#This Row],[(soziale) Akzeptanz]],Dropdown!$A$2:$D$4,4,FALSE)</calculatedColumnFormula>
      <totalsRowFormula>Ueberblick428[[#Totals],[(soziale) Akzeptanz]]</totalsRowFormula>
    </tableColumn>
    <tableColumn id="9" xr3:uid="{EEF4142E-11AC-415E-9BA9-2D6DCDB7CFDC}" name="Prozesseignung" totalsRowFunction="custom" dataDxfId="950" totalsRowDxfId="949">
      <calculatedColumnFormula>VLOOKUP(Ueberblick428[[#This Row],[Prozesseignung]],Dropdown!$A$2:$D$4,4,FALSE)</calculatedColumnFormula>
      <totalsRowFormula>Ueberblick428[[#Totals],[Prozesseignung]]</totalsRowFormula>
    </tableColumn>
    <tableColumn id="8" xr3:uid="{AFF455A3-890F-4536-A317-4D01717744E2}" name="Kosten(entwicklung)" totalsRowFunction="custom" dataDxfId="948" totalsRowDxfId="947">
      <calculatedColumnFormula>VLOOKUP(Ueberblick428[[#This Row],[Kosten(entwicklung)]],Dropdown!$A$2:$D$4,4,FALSE)</calculatedColumnFormula>
      <totalsRowFormula>Ueberblick428[[#Totals],[Kosten(entwicklung)]]</totalsRowFormula>
    </tableColumn>
    <tableColumn id="7" xr3:uid="{C728C884-EBB3-49FB-B937-00E814036343}" name="Potenzialentwicklung" totalsRowFunction="custom" dataDxfId="946" totalsRowDxfId="945">
      <calculatedColumnFormula>VLOOKUP(Ueberblick428[[#This Row],[Potenzialentwicklung]],Dropdown!$A$2:$D$4,4,FALSE)</calculatedColumnFormula>
      <totalsRowFormula>Ueberblick428[[#Totals],[Potenzialentwicklung]]</totalsRowFormula>
    </tableColumn>
    <tableColumn id="6" xr3:uid="{310B58F8-6A62-4A0A-8047-235A9328BA43}" name="Simulationsdaten" totalsRowFunction="custom" dataDxfId="944" totalsRowDxfId="943">
      <calculatedColumnFormula>VLOOKUP(Ueberblick428[[#This Row],[Simulationsdaten]],Dropdown!$A$2:$D$4,4,FALSE)</calculatedColumnFormula>
      <totalsRowFormula>Ueberblick428[[#Totals],[Simulationsdaten]]</totalsRowFormula>
    </tableColumn>
    <tableColumn id="5" xr3:uid="{90E07363-251A-4250-863A-B70CADA20CC9}" name="Erheblichkeitsschwelle" totalsRowFunction="custom" dataDxfId="942" totalsRowDxfId="941">
      <calculatedColumnFormula>VLOOKUP(Ueberblick428[[#This Row],[Erheblichkeitsschwelle]],Dropdown!$A$2:$D$4,4,FALSE)</calculatedColumnFormula>
      <totalsRowFormula>Ueberblick428[[#Totals],[Erheblichkeitsschwelle]]</totalsRowFormula>
    </tableColumn>
    <tableColumn id="4" xr3:uid="{9FEC6F8E-A1A8-4876-882B-66BC54FABF63}" name="Annahmen Elektormobilität" totalsRowFunction="custom" dataDxfId="940" totalsRowDxfId="939">
      <calculatedColumnFormula>VLOOKUP(Ueberblick428[[#This Row],[Annahmen Elektormobilität]],Dropdown!$A$2:$D$4,4,FALSE)</calculatedColumnFormula>
      <totalsRowFormula>Ueberblick428[[#Totals],[Annahmen Elektormobilität]]</totalsRowFormula>
    </tableColumn>
    <tableColumn id="3" xr3:uid="{5272150A-6972-49AB-821E-E562B0175EA1}" name="Symmetrieannahme" totalsRowFunction="custom" dataDxfId="938" totalsRowDxfId="937">
      <calculatedColumnFormula>VLOOKUP(Ueberblick428[[#This Row],[Symmetrieannahme]],Dropdown!$A$2:$D$4,4,FALSE)</calculatedColumnFormula>
      <totalsRowFormula>Ueberblick428[[#Totals],[Symmetrieannahme]]</totalsRowFormula>
    </tableColumn>
    <tableColumn id="2" xr3:uid="{E10F6493-0B89-4CEA-A0B7-198C164BB4FB}" name="Bereitstellungsalternative" totalsRowFunction="custom" dataDxfId="936" totalsRowDxfId="935">
      <calculatedColumnFormula>VLOOKUP(Ueberblick428[[#This Row],[Bereitstellungsalternative]],Dropdown!$A$2:$D$4,4,FALSE)</calculatedColumnFormula>
      <totalsRowFormula>Ueberblick428[[#Totals],[Bereitstellungsalternative]]</totalsRowFormula>
    </tableColumn>
    <tableColumn id="16" xr3:uid="{B1426037-A2CA-47CE-BEFE-8E2F6A05B235}" name="Quellen zentrale Annahmen" dataDxfId="934" totalsRowDxfId="933"/>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4D609C7B-1DE8-4763-8DC0-F0F63631BFAC}" name="Ueberblick4284546" displayName="Ueberblick4284546" ref="A2:R28" totalsRowCount="1" headerRowDxfId="932" dataDxfId="931" tableBorderDxfId="930">
  <autoFilter ref="A2:R27" xr:uid="{E48EAA67-8810-45E2-ADB4-BD9F158F350C}"/>
  <sortState ref="A3:R27">
    <sortCondition ref="A2:A27"/>
  </sortState>
  <tableColumns count="18">
    <tableColumn id="1" xr3:uid="{33EA8EF4-B239-4747-BA67-771EF3D19AA5}" name="Kurzbeleg" totalsRowLabel="Häufigkeit" dataDxfId="929" totalsRowDxfId="928"/>
    <tableColumn id="18" xr3:uid="{C24AAE5F-85F3-4E65-90CF-0AB2696F7397}" name="StV / Leistungen" totalsRowFunction="custom" dataDxfId="927" totalsRowDxfId="926">
      <calculatedColumnFormula>VLOOKUP(Ueberblick428[[#This Row],[StV / Leistungen]],Dropdown!$A$2:$D$4,4,FALSE)</calculatedColumnFormula>
      <totalsRowFormula>Ueberblick428[[#Totals],[StV / Leistungen]]</totalsRowFormula>
    </tableColumn>
    <tableColumn id="17" xr3:uid="{ECA760B1-38A4-419F-B9C1-DC5A1DD5DD18}" name="Durchdringungsraten" totalsRowFunction="custom" dataDxfId="925" totalsRowDxfId="924">
      <calculatedColumnFormula>VLOOKUP(Ueberblick428[[#This Row],[Durchdringungsraten]],Dropdown!$A$2:$D$4,4,FALSE)</calculatedColumnFormula>
      <totalsRowFormula>Ueberblick428[[#Totals],[Durchdringungsraten]]</totalsRowFormula>
    </tableColumn>
    <tableColumn id="15" xr3:uid="{794B5C8F-8518-40C1-8397-2DF3B44C82AE}" name="Profile / Zeitverfügbarkeit" totalsRowFunction="custom" dataDxfId="923" totalsRowDxfId="922">
      <calculatedColumnFormula>VLOOKUP(Ueberblick428[[#This Row],[Profile / Zeitverfügbarkeit]],Dropdown!$A$2:$D$4,4,FALSE)</calculatedColumnFormula>
      <totalsRowFormula>Ueberblick428[[#Totals],[Profile / Zeitverfügbarkeit]]</totalsRowFormula>
    </tableColumn>
    <tableColumn id="14" xr3:uid="{70D3BFB3-AD88-4E0A-958C-1F7F4DE35B12}" name="flex. Leistung" totalsRowFunction="custom" dataDxfId="921" totalsRowDxfId="920">
      <calculatedColumnFormula>VLOOKUP(Ueberblick428[[#This Row],[flex. Leistung]],Dropdown!$A$2:$D$4,4,FALSE)</calculatedColumnFormula>
      <totalsRowFormula>Ueberblick428[[#Totals],[flex. Leistung]]</totalsRowFormula>
    </tableColumn>
    <tableColumn id="13" xr3:uid="{011F27F8-677B-4A1C-BA7F-CB1F9BDE6FE6}" name="Zeitdauern" totalsRowFunction="custom" dataDxfId="919" totalsRowDxfId="918">
      <calculatedColumnFormula>VLOOKUP(Ueberblick428[[#This Row],[Zeitdauern]],Dropdown!$A$2:$D$4,4,FALSE)</calculatedColumnFormula>
      <totalsRowFormula>Ueberblick428[[#Totals],[Zeitdauern]]</totalsRowFormula>
    </tableColumn>
    <tableColumn id="12" xr3:uid="{70727E34-CCCB-4F76-ADFF-FFBEC1ADC2CE}" name="Abrufhäufigkeit" totalsRowFunction="custom" dataDxfId="917" totalsRowDxfId="916">
      <calculatedColumnFormula>VLOOKUP(Ueberblick428[[#This Row],[Abrufhäufigkeit]],Dropdown!$A$2:$D$4,4,FALSE)</calculatedColumnFormula>
      <totalsRowFormula>Ueberblick428[[#Totals],[Abrufhäufigkeit]]</totalsRowFormula>
    </tableColumn>
    <tableColumn id="11" xr3:uid="{55EC8046-13BF-4CD9-A30A-9FB44B1BEC70}" name="spez. Leistung / Verbräuche" totalsRowFunction="custom" dataDxfId="915" totalsRowDxfId="914">
      <calculatedColumnFormula>VLOOKUP(Ueberblick428[[#This Row],[spez. Leistung / Verbräuche]],Dropdown!$A$2:$D$4,4,FALSE)</calculatedColumnFormula>
      <totalsRowFormula>Ueberblick428[[#Totals],[spez. Leistung / Verbräuche]]</totalsRowFormula>
    </tableColumn>
    <tableColumn id="10" xr3:uid="{15979E5D-48C1-4D6A-AEA9-6DF1FC531017}" name="(soziale) Akzeptanz" totalsRowFunction="custom" dataDxfId="913" totalsRowDxfId="912">
      <calculatedColumnFormula>VLOOKUP(Ueberblick428[[#This Row],[(soziale) Akzeptanz]],Dropdown!$A$2:$D$4,4,FALSE)</calculatedColumnFormula>
      <totalsRowFormula>Ueberblick428[[#Totals],[(soziale) Akzeptanz]]</totalsRowFormula>
    </tableColumn>
    <tableColumn id="9" xr3:uid="{89DB844F-FB9A-4E30-BA42-F751EE9D049E}" name="Prozesseignung" totalsRowFunction="custom" dataDxfId="911" totalsRowDxfId="910">
      <calculatedColumnFormula>VLOOKUP(Ueberblick428[[#This Row],[Prozesseignung]],Dropdown!$A$2:$D$4,4,FALSE)</calculatedColumnFormula>
      <totalsRowFormula>Ueberblick428[[#Totals],[Prozesseignung]]</totalsRowFormula>
    </tableColumn>
    <tableColumn id="8" xr3:uid="{CD7E0DC2-ACCF-47B3-A3B7-1E2E7B9B95B7}" name="Kosten(entwicklung)" totalsRowFunction="custom" dataDxfId="909" totalsRowDxfId="908">
      <calculatedColumnFormula>VLOOKUP(Ueberblick428[[#This Row],[Kosten(entwicklung)]],Dropdown!$A$2:$D$4,4,FALSE)</calculatedColumnFormula>
      <totalsRowFormula>Ueberblick428[[#Totals],[Kosten(entwicklung)]]</totalsRowFormula>
    </tableColumn>
    <tableColumn id="7" xr3:uid="{A888D51B-93C5-483E-B3B3-D5C578E9C229}" name="Potenzialentwicklung" totalsRowFunction="custom" dataDxfId="907" totalsRowDxfId="906">
      <calculatedColumnFormula>VLOOKUP(Ueberblick428[[#This Row],[Potenzialentwicklung]],Dropdown!$A$2:$D$4,4,FALSE)</calculatedColumnFormula>
      <totalsRowFormula>Ueberblick428[[#Totals],[Potenzialentwicklung]]</totalsRowFormula>
    </tableColumn>
    <tableColumn id="6" xr3:uid="{F3B2AE3F-EE88-4050-8940-794060844B6B}" name="Simulationsdaten" totalsRowFunction="custom" dataDxfId="905" totalsRowDxfId="904">
      <calculatedColumnFormula>VLOOKUP(Ueberblick428[[#This Row],[Simulationsdaten]],Dropdown!$A$2:$D$4,4,FALSE)</calculatedColumnFormula>
      <totalsRowFormula>Ueberblick428[[#Totals],[Simulationsdaten]]</totalsRowFormula>
    </tableColumn>
    <tableColumn id="5" xr3:uid="{72E6A911-994C-45AE-A8C0-8BBB7135DF02}" name="Erheblichkeitsschwelle" totalsRowFunction="custom" dataDxfId="903" totalsRowDxfId="902">
      <calculatedColumnFormula>VLOOKUP(Ueberblick428[[#This Row],[Erheblichkeitsschwelle]],Dropdown!$A$2:$D$4,4,FALSE)</calculatedColumnFormula>
      <totalsRowFormula>Ueberblick428[[#Totals],[Erheblichkeitsschwelle]]</totalsRowFormula>
    </tableColumn>
    <tableColumn id="4" xr3:uid="{925F37C8-3628-465D-A608-0F68DB6B4A3C}" name="Annahmen Elektormobilität" totalsRowFunction="custom" dataDxfId="901" totalsRowDxfId="900">
      <calculatedColumnFormula>VLOOKUP(Ueberblick428[[#This Row],[Annahmen Elektormobilität]],Dropdown!$A$2:$D$4,4,FALSE)</calculatedColumnFormula>
      <totalsRowFormula>Ueberblick428[[#Totals],[Annahmen Elektormobilität]]</totalsRowFormula>
    </tableColumn>
    <tableColumn id="3" xr3:uid="{3C940EB9-4ED5-48BE-8C0A-A7AD4D7AAD83}" name="Symmetrieannahme" totalsRowFunction="custom" dataDxfId="899" totalsRowDxfId="898">
      <calculatedColumnFormula>VLOOKUP(Ueberblick428[[#This Row],[Symmetrieannahme]],Dropdown!$A$2:$D$4,4,FALSE)</calculatedColumnFormula>
      <totalsRowFormula>Ueberblick428[[#Totals],[Symmetrieannahme]]</totalsRowFormula>
    </tableColumn>
    <tableColumn id="2" xr3:uid="{ACFC851A-744B-4B3A-B452-FFBBF56A0721}" name="Bereitstellungsalternative" totalsRowFunction="custom" dataDxfId="897" totalsRowDxfId="896">
      <calculatedColumnFormula>VLOOKUP(Ueberblick428[[#This Row],[Bereitstellungsalternative]],Dropdown!$A$2:$D$4,4,FALSE)</calculatedColumnFormula>
      <totalsRowFormula>Ueberblick428[[#Totals],[Bereitstellungsalternative]]</totalsRowFormula>
    </tableColumn>
    <tableColumn id="16" xr3:uid="{F190E153-A4A2-42D9-9876-CB03B4035F36}" name="Quellen zentrale Annahmen" dataDxfId="895" totalsRowDxfId="894"/>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CD30A44-FB59-44FD-AE26-54D7DC1EB745}" name="Tabelle414736" displayName="Tabelle414736" ref="A1:B17" totalsRowShown="0" headerRowDxfId="893" dataDxfId="892">
  <autoFilter ref="A1:B17" xr:uid="{7DF54DC3-53A2-4050-BE8A-6CC5D8058F05}"/>
  <tableColumns count="2">
    <tableColumn id="1" xr3:uid="{E4BAD795-B8F3-4693-99F2-15D4AD8B3C6C}" name="Datenbasis ursprünglich" dataDxfId="891"/>
    <tableColumn id="2" xr3:uid="{2E6B535F-09AF-4A52-A827-784E7FAA18A8}" name="Hilfsspalte Kategorie" dataDxfId="890"/>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316C4FCB-75C5-4D2B-B6D5-3C5A2AD92C5B}" name="Tabelle4147" displayName="Tabelle4147" ref="A1:B46" totalsRowShown="0" headerRowDxfId="889" dataDxfId="888">
  <autoFilter ref="A1:B46" xr:uid="{7DF54DC3-53A2-4050-BE8A-6CC5D8058F05}"/>
  <tableColumns count="2">
    <tableColumn id="1" xr3:uid="{DDFEEF39-CA04-416C-AC29-F58AB1562CBC}" name="Datenbasis ursprünglich" dataDxfId="887"/>
    <tableColumn id="2" xr3:uid="{E3B24739-423B-4C54-9B1E-F30046DE6209}" name="Hilfsspalte Kategorie" dataDxfId="886"/>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41F999C0-CD33-400C-A367-5485F45F1BB1}" name="Ueberblick42848" displayName="Ueberblick42848" ref="A2:R28" totalsRowCount="1" headerRowDxfId="885" dataDxfId="884" tableBorderDxfId="883">
  <autoFilter ref="A2:R27" xr:uid="{E48EAA67-8810-45E2-ADB4-BD9F158F350C}"/>
  <sortState ref="A3:R27">
    <sortCondition ref="A2:A27"/>
  </sortState>
  <tableColumns count="18">
    <tableColumn id="1" xr3:uid="{9C8310E5-4B1D-4F22-90CF-C2CADCC43F38}" name="Kurzbeleg" totalsRowLabel="Häufigkeit" dataDxfId="882" totalsRowDxfId="881"/>
    <tableColumn id="18" xr3:uid="{933EB2D2-D588-44B4-A6F5-4F9A8DDF6D21}" name="öffentliche Statistiken" totalsRowFunction="sum" dataDxfId="880" totalsRowDxfId="879"/>
    <tableColumn id="4" xr3:uid="{1AF7507F-7D24-434C-9D0C-FA627DC8B8FF}" name="Energiverbrauchsstatistik" totalsRowFunction="sum" dataDxfId="878" totalsRowDxfId="877"/>
    <tableColumn id="17" xr3:uid="{82BF6E7B-56F0-42D1-96BB-E755FF8B8514}" name="Smart Metering- und _x000a_Lastamanagementfeldstudien" totalsRowFunction="sum" dataDxfId="876" totalsRowDxfId="875"/>
    <tableColumn id="3" xr3:uid="{90D2769A-9E32-4500-BF57-BF6E3B9B9DC3}" name="methodisch fokussierte Paper" totalsRowFunction="sum" dataDxfId="874" totalsRowDxfId="873"/>
    <tableColumn id="15" xr3:uid="{24B6788B-64AD-4AED-83A2-EB98D81AF72D}" name="Lastmanagementpotenzialstudien" totalsRowFunction="sum" dataDxfId="872" totalsRowDxfId="871"/>
    <tableColumn id="14" xr3:uid="{1E0C2D03-C063-4E7F-B003-ED0A210CE55D}" name="Lastprofilgeneratoren" totalsRowFunction="sum" dataDxfId="870" totalsRowDxfId="869"/>
    <tableColumn id="2" xr3:uid="{9E5B6D57-730A-45F2-ACA6-65A23FFF9FBF}" name="VNB-Daten (z. B. _x000a_Einspeisemanagement)" totalsRowFunction="sum" dataDxfId="868" totalsRowDxfId="867"/>
    <tableColumn id="13" xr3:uid="{C1097463-F922-42C0-AB88-07CF95DE022E}" name="sozialwissenschaftliche Studien" totalsRowFunction="sum" dataDxfId="866" totalsRowDxfId="865"/>
    <tableColumn id="12" xr3:uid="{10E58B54-CDA3-43F7-A46D-9523DF7859F6}" name="Branchen- und Verbandsstatistiken" totalsRowFunction="sum" dataDxfId="864" totalsRowDxfId="863"/>
    <tableColumn id="11" xr3:uid="{462A1D48-E880-4F8B-A26F-59B62B20FAC4}" name="reale Lastgangdaten" totalsRowFunction="sum" dataDxfId="862" totalsRowDxfId="861"/>
    <tableColumn id="10" xr3:uid="{E7B7B5C0-0852-4954-B49A-5E5594A412EB}" name="eigene Datenbasis / Datenbank" totalsRowFunction="sum" dataDxfId="860" totalsRowDxfId="859"/>
    <tableColumn id="9" xr3:uid="{905D38C8-033F-421B-BFAB-35676AC4E21B}" name="Energiesystemanalysen" totalsRowFunction="sum" dataDxfId="858" totalsRowDxfId="857"/>
    <tableColumn id="8" xr3:uid="{29B9E608-2804-4365-981D-3306267D14A9}" name="Herstellerangaben" totalsRowFunction="sum" dataDxfId="856" totalsRowDxfId="855"/>
    <tableColumn id="7" xr3:uid="{B43E13AD-EFBE-43CE-A960-B2AE8581DE9A}" name="technische Publikationen _x000a_zu Prozessen" totalsRowFunction="sum" dataDxfId="854" totalsRowDxfId="853"/>
    <tableColumn id="6" xr3:uid="{EE180D0E-565F-4F3E-9F0C-0B1123E13464}" name="Datenportale: Verbrauchs-, _x000a_Wetter-, Preisdaten" totalsRowFunction="sum" dataDxfId="852" totalsRowDxfId="851"/>
    <tableColumn id="5" xr3:uid="{5A10419D-4F8E-46A5-A42C-643101C34559}" name="Literatur zu Elekrotmobilität" totalsRowFunction="sum" dataDxfId="850" totalsRowDxfId="849"/>
    <tableColumn id="16" xr3:uid="{3002C7D7-17A9-454C-8E0E-702E112FA71E}" name="Quellen Daten" dataDxfId="848" totalsRowDxfId="847"/>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F167E431-BB41-4965-8241-6F57AD2335E2}" name="Ueberblick4284849" displayName="Ueberblick4284849" ref="A2:R28" totalsRowCount="1" headerRowDxfId="846" dataDxfId="845" tableBorderDxfId="844">
  <autoFilter ref="A2:R27" xr:uid="{E48EAA67-8810-45E2-ADB4-BD9F158F350C}"/>
  <sortState ref="A3:R27">
    <sortCondition ref="A2:A27"/>
  </sortState>
  <tableColumns count="18">
    <tableColumn id="1" xr3:uid="{1D3BE409-D9DF-4452-AB22-3BE329B6FC99}" name="Kurzbeleg" totalsRowLabel="Häufigkeit" dataDxfId="843" totalsRowDxfId="842"/>
    <tableColumn id="18" xr3:uid="{1A507211-643C-4F03-8CC1-F8C9CC5CB8D8}" name="Statistiken der Statistikämter / öffentlicher Stellen" totalsRowFunction="custom" dataDxfId="841" totalsRowDxfId="840">
      <calculatedColumnFormula>VLOOKUP(Ueberblick42848[[#This Row],[öffentliche Statistiken]],Dropdown!$A$2:$D$4,4,FALSE)</calculatedColumnFormula>
      <totalsRowFormula>Ueberblick42848[[#Totals],[öffentliche Statistiken]]</totalsRowFormula>
    </tableColumn>
    <tableColumn id="4" xr3:uid="{E8198806-6CD1-4672-9983-78828E5FFC4D}" name="Energiverbrauchsstatistik" totalsRowFunction="custom" dataDxfId="839" totalsRowDxfId="838">
      <calculatedColumnFormula>VLOOKUP(Ueberblick42848[[#This Row],[Energiverbrauchsstatistik]],Dropdown!$A$2:$D$4,4,FALSE)</calculatedColumnFormula>
      <totalsRowFormula>Ueberblick42848[[#Totals],[Energiverbrauchsstatistik]]</totalsRowFormula>
    </tableColumn>
    <tableColumn id="17" xr3:uid="{A45E4F65-D65D-48A5-AD85-485B1A76E46E}" name="Smart Metering- und Lastamanagementfeldstudien" totalsRowFunction="custom" dataDxfId="837" totalsRowDxfId="836">
      <calculatedColumnFormula>VLOOKUP(Ueberblick42848[[#This Row],[Smart Metering- und 
Lastamanagementfeldstudien]],Dropdown!$A$2:$D$4,4,FALSE)</calculatedColumnFormula>
      <totalsRowFormula>Ueberblick42848[[#Totals],[Smart Metering- und 
Lastamanagementfeldstudien]]</totalsRowFormula>
    </tableColumn>
    <tableColumn id="3" xr3:uid="{1341C737-B324-4CA0-BB63-983350D17126}" name="methodisch fokussierte Paper" totalsRowFunction="custom" dataDxfId="835" totalsRowDxfId="834">
      <calculatedColumnFormula>VLOOKUP(Ueberblick42848[[#This Row],[methodisch fokussierte Paper]],Dropdown!$A$2:$D$4,4,FALSE)</calculatedColumnFormula>
      <totalsRowFormula>Ueberblick42848[[#Totals],[methodisch fokussierte Paper]]</totalsRowFormula>
    </tableColumn>
    <tableColumn id="15" xr3:uid="{3068D001-A450-415F-B897-FBFFCA510AD0}" name="Lastmanagementpotenzialstudien" totalsRowFunction="custom" dataDxfId="833" totalsRowDxfId="832">
      <calculatedColumnFormula>VLOOKUP(Ueberblick42848[[#This Row],[Lastmanagementpotenzialstudien]],Dropdown!$A$2:$D$4,4,FALSE)</calculatedColumnFormula>
      <totalsRowFormula>Ueberblick42848[[#Totals],[Lastmanagementpotenzialstudien]]</totalsRowFormula>
    </tableColumn>
    <tableColumn id="14" xr3:uid="{CD0245E4-2C15-4A75-A2B4-9BE60FECCFA8}" name="Lastprofilgeneratoren" totalsRowFunction="custom" dataDxfId="831" totalsRowDxfId="830">
      <calculatedColumnFormula>VLOOKUP(Ueberblick42848[[#This Row],[Lastprofilgeneratoren]],Dropdown!$A$2:$D$4,4,FALSE)</calculatedColumnFormula>
      <totalsRowFormula>Ueberblick42848[[#Totals],[Lastprofilgeneratoren]]</totalsRowFormula>
    </tableColumn>
    <tableColumn id="2" xr3:uid="{D6B7C901-DDD0-46CB-90F4-CCFEBE63F00E}" name="VNB-Daten (z. B. Einspeisemanagement)" totalsRowFunction="custom" dataDxfId="829" totalsRowDxfId="828">
      <calculatedColumnFormula>VLOOKUP(Ueberblick42848[[#This Row],[VNB-Daten (z. B. 
Einspeisemanagement)]],Dropdown!$A$2:$D$4,4,FALSE)</calculatedColumnFormula>
      <totalsRowFormula>Ueberblick42848[[#Totals],[VNB-Daten (z. B. 
Einspeisemanagement)]]</totalsRowFormula>
    </tableColumn>
    <tableColumn id="13" xr3:uid="{4B1F81CF-E722-4EEE-A789-6BB81107216F}" name="sozialwissenschaftliche Studien" totalsRowFunction="custom" dataDxfId="827" totalsRowDxfId="826">
      <calculatedColumnFormula>VLOOKUP(Ueberblick42848[[#This Row],[sozialwissenschaftliche Studien]],Dropdown!$A$2:$D$4,4,FALSE)</calculatedColumnFormula>
      <totalsRowFormula>Ueberblick42848[[#Totals],[sozialwissenschaftliche Studien]]</totalsRowFormula>
    </tableColumn>
    <tableColumn id="12" xr3:uid="{7333884B-D435-48C2-B84F-16A7DAB11E56}" name="Branchen- und Verbandsstatistiken" totalsRowFunction="custom" dataDxfId="825" totalsRowDxfId="824">
      <calculatedColumnFormula>VLOOKUP(Ueberblick42848[[#This Row],[Branchen- und Verbandsstatistiken]],Dropdown!$A$2:$D$4,4,FALSE)</calculatedColumnFormula>
      <totalsRowFormula>Ueberblick42848[[#Totals],[Branchen- und Verbandsstatistiken]]</totalsRowFormula>
    </tableColumn>
    <tableColumn id="11" xr3:uid="{E548CE8D-9E92-4F8B-80BD-223AC31F28AF}" name="reale Lastgangdaten" totalsRowFunction="custom" dataDxfId="823" totalsRowDxfId="822">
      <calculatedColumnFormula>VLOOKUP(Ueberblick42848[[#This Row],[reale Lastgangdaten]],Dropdown!$A$2:$D$4,4,FALSE)</calculatedColumnFormula>
      <totalsRowFormula>Ueberblick42848[[#Totals],[reale Lastgangdaten]]</totalsRowFormula>
    </tableColumn>
    <tableColumn id="10" xr3:uid="{784E1F17-FDC4-42EB-BB37-257AE12CA480}" name="eigene Datenbasis / Datenbank" totalsRowFunction="custom" dataDxfId="821" totalsRowDxfId="820">
      <calculatedColumnFormula>VLOOKUP(Ueberblick42848[[#This Row],[eigene Datenbasis / Datenbank]],Dropdown!$A$2:$D$4,4,FALSE)</calculatedColumnFormula>
      <totalsRowFormula>Ueberblick42848[[#Totals],[eigene Datenbasis / Datenbank]]</totalsRowFormula>
    </tableColumn>
    <tableColumn id="9" xr3:uid="{6AE55553-3731-4CF9-91C2-34696EB61FFA}" name="Energiesystemanalysen" totalsRowFunction="custom" dataDxfId="819" totalsRowDxfId="818">
      <calculatedColumnFormula>VLOOKUP(Ueberblick42848[[#This Row],[Energiesystemanalysen]],Dropdown!$A$2:$D$4,4,FALSE)</calculatedColumnFormula>
      <totalsRowFormula>Ueberblick42848[[#Totals],[Energiesystemanalysen]]</totalsRowFormula>
    </tableColumn>
    <tableColumn id="8" xr3:uid="{0768CC50-0102-42AC-92D5-DF32E550EF42}" name="Herstellerangaben" totalsRowFunction="custom" dataDxfId="817" totalsRowDxfId="816">
      <calculatedColumnFormula>VLOOKUP(Ueberblick42848[[#This Row],[Herstellerangaben]],Dropdown!$A$2:$D$4,4,FALSE)</calculatedColumnFormula>
      <totalsRowFormula>Ueberblick42848[[#Totals],[Herstellerangaben]]</totalsRowFormula>
    </tableColumn>
    <tableColumn id="7" xr3:uid="{0D9F4700-ED55-4CD0-A187-B00CDD238F35}" name="technische Publikationen zu Prozessen" totalsRowFunction="custom" dataDxfId="815" totalsRowDxfId="814">
      <calculatedColumnFormula>VLOOKUP(Ueberblick42848[[#This Row],[technische Publikationen 
zu Prozessen]],Dropdown!$A$2:$D$4,4,FALSE)</calculatedColumnFormula>
      <totalsRowFormula>Ueberblick42848[[#Totals],[technische Publikationen 
zu Prozessen]]</totalsRowFormula>
    </tableColumn>
    <tableColumn id="6" xr3:uid="{2459F6B4-1A27-4E95-A616-3922FE30405C}" name="Datenportale: Verbrauchs-, Wetter-, Preisdaten" totalsRowFunction="custom" dataDxfId="813" totalsRowDxfId="812">
      <calculatedColumnFormula>VLOOKUP(Ueberblick42848[[#This Row],[Datenportale: Verbrauchs-, 
Wetter-, Preisdaten]],Dropdown!$A$2:$D$4,4,FALSE)</calculatedColumnFormula>
      <totalsRowFormula>Ueberblick42848[[#Totals],[Datenportale: Verbrauchs-, 
Wetter-, Preisdaten]]</totalsRowFormula>
    </tableColumn>
    <tableColumn id="5" xr3:uid="{DE6B5501-7C9F-4E9F-89F8-C791376194BC}" name="Literatur zu Elekrotmobilität" totalsRowFunction="custom" dataDxfId="811" totalsRowDxfId="810">
      <calculatedColumnFormula>VLOOKUP(Ueberblick42848[[#This Row],[Literatur zu Elekrotmobilität]],Dropdown!$A$2:$D$4,4,FALSE)</calculatedColumnFormula>
      <totalsRowFormula>Ueberblick42848[[#Totals],[Literatur zu Elekrotmobilität]]</totalsRowFormula>
    </tableColumn>
    <tableColumn id="16" xr3:uid="{064D0DE3-99D8-497B-8F8C-48EE368CD896}" name="Quellen Daten" dataDxfId="809" totalsRowDxfId="808"/>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8E214E14-00DC-4291-9955-0C4E9DA10A1F}" name="Ueberblick428484950" displayName="Ueberblick428484950" ref="A2:R28" totalsRowCount="1" headerRowDxfId="807" dataDxfId="806" tableBorderDxfId="805">
  <autoFilter ref="A2:R27" xr:uid="{E48EAA67-8810-45E2-ADB4-BD9F158F350C}"/>
  <sortState ref="A3:R27">
    <sortCondition ref="A2:A27"/>
  </sortState>
  <tableColumns count="18">
    <tableColumn id="1" xr3:uid="{C72BC449-A003-4E0D-B031-E49B296AC583}" name="Kurzbeleg" totalsRowLabel="Häufigkeit" dataDxfId="804" totalsRowDxfId="803"/>
    <tableColumn id="18" xr3:uid="{8BE24167-43A0-4E2D-8F8D-FD304C2E585F}" name="Statistiken der Statistikämter / öffentlicher Stellen" totalsRowFunction="custom" dataDxfId="802" totalsRowDxfId="801">
      <calculatedColumnFormula>VLOOKUP(Ueberblick42848[[#This Row],[öffentliche Statistiken]],Dropdown!$A$2:$D$4,4,FALSE)</calculatedColumnFormula>
      <totalsRowFormula>Ueberblick42848[[#Totals],[öffentliche Statistiken]]</totalsRowFormula>
    </tableColumn>
    <tableColumn id="4" xr3:uid="{2E935F94-9ED4-4281-84E3-61C134075670}" name="Energiverbrauchsstatistik" totalsRowFunction="custom" dataDxfId="800" totalsRowDxfId="799">
      <calculatedColumnFormula>VLOOKUP(Ueberblick42848[[#This Row],[Energiverbrauchsstatistik]],Dropdown!$A$2:$D$4,4,FALSE)</calculatedColumnFormula>
      <totalsRowFormula>Ueberblick42848[[#Totals],[Energiverbrauchsstatistik]]</totalsRowFormula>
    </tableColumn>
    <tableColumn id="17" xr3:uid="{25747442-B5D3-44E4-9841-D773BE433444}" name="Smart Metering- und Lastamanagementfeldstudien" totalsRowFunction="custom" dataDxfId="798" totalsRowDxfId="797">
      <calculatedColumnFormula>VLOOKUP(Ueberblick42848[[#This Row],[Smart Metering- und 
Lastamanagementfeldstudien]],Dropdown!$A$2:$D$4,4,FALSE)</calculatedColumnFormula>
      <totalsRowFormula>Ueberblick42848[[#Totals],[Smart Metering- und 
Lastamanagementfeldstudien]]</totalsRowFormula>
    </tableColumn>
    <tableColumn id="3" xr3:uid="{F79D4F29-6B5E-426E-9299-D99C7C6EA1FF}" name="methodisch fokussierte Paper" totalsRowFunction="custom" dataDxfId="796" totalsRowDxfId="795">
      <calculatedColumnFormula>VLOOKUP(Ueberblick42848[[#This Row],[methodisch fokussierte Paper]],Dropdown!$A$2:$D$4,4,FALSE)</calculatedColumnFormula>
      <totalsRowFormula>Ueberblick42848[[#Totals],[methodisch fokussierte Paper]]</totalsRowFormula>
    </tableColumn>
    <tableColumn id="15" xr3:uid="{2642D950-B7EB-41AA-A85A-5E1906690679}" name="Lastmanagementpotenzialstudien" totalsRowFunction="custom" dataDxfId="794" totalsRowDxfId="793">
      <calculatedColumnFormula>VLOOKUP(Ueberblick42848[[#This Row],[Lastmanagementpotenzialstudien]],Dropdown!$A$2:$D$4,4,FALSE)</calculatedColumnFormula>
      <totalsRowFormula>Ueberblick42848[[#Totals],[Lastmanagementpotenzialstudien]]</totalsRowFormula>
    </tableColumn>
    <tableColumn id="14" xr3:uid="{94E55A06-E219-4441-B062-EC87BD25FF09}" name="Lastprofilgeneratoren" totalsRowFunction="custom" dataDxfId="792" totalsRowDxfId="791">
      <calculatedColumnFormula>VLOOKUP(Ueberblick42848[[#This Row],[Lastprofilgeneratoren]],Dropdown!$A$2:$D$4,4,FALSE)</calculatedColumnFormula>
      <totalsRowFormula>Ueberblick42848[[#Totals],[Lastprofilgeneratoren]]</totalsRowFormula>
    </tableColumn>
    <tableColumn id="2" xr3:uid="{2A867E5D-E9FD-48AD-A868-DFE43C520F9C}" name="VNB-Daten (z. B. Einspeisemanagement)" totalsRowFunction="custom" dataDxfId="790" totalsRowDxfId="789">
      <calculatedColumnFormula>VLOOKUP(Ueberblick42848[[#This Row],[VNB-Daten (z. B. 
Einspeisemanagement)]],Dropdown!$A$2:$D$4,4,FALSE)</calculatedColumnFormula>
      <totalsRowFormula>Ueberblick42848[[#Totals],[VNB-Daten (z. B. 
Einspeisemanagement)]]</totalsRowFormula>
    </tableColumn>
    <tableColumn id="13" xr3:uid="{7DD92D5E-ACFF-4BB9-8B86-D2A48E29B7B4}" name="sozialwissenschaftliche Studien" totalsRowFunction="custom" dataDxfId="788" totalsRowDxfId="787">
      <calculatedColumnFormula>VLOOKUP(Ueberblick42848[[#This Row],[sozialwissenschaftliche Studien]],Dropdown!$A$2:$D$4,4,FALSE)</calculatedColumnFormula>
      <totalsRowFormula>Ueberblick42848[[#Totals],[sozialwissenschaftliche Studien]]</totalsRowFormula>
    </tableColumn>
    <tableColumn id="12" xr3:uid="{4566C0BC-C793-4CE2-9BEC-33733BA81748}" name="Branchen- und Verbandsstatistiken" totalsRowFunction="custom" dataDxfId="786" totalsRowDxfId="785">
      <calculatedColumnFormula>VLOOKUP(Ueberblick42848[[#This Row],[Branchen- und Verbandsstatistiken]],Dropdown!$A$2:$D$4,4,FALSE)</calculatedColumnFormula>
      <totalsRowFormula>Ueberblick42848[[#Totals],[Branchen- und Verbandsstatistiken]]</totalsRowFormula>
    </tableColumn>
    <tableColumn id="11" xr3:uid="{19C58119-E471-4546-B199-677C2185A936}" name="reale Lastgangdaten" totalsRowFunction="custom" dataDxfId="784" totalsRowDxfId="783">
      <calculatedColumnFormula>VLOOKUP(Ueberblick42848[[#This Row],[reale Lastgangdaten]],Dropdown!$A$2:$D$4,4,FALSE)</calculatedColumnFormula>
      <totalsRowFormula>Ueberblick42848[[#Totals],[reale Lastgangdaten]]</totalsRowFormula>
    </tableColumn>
    <tableColumn id="10" xr3:uid="{EB31128B-2101-4E48-9C7A-024BB0C54403}" name="eigene Datenbasis / Datenbank" totalsRowFunction="custom" dataDxfId="782" totalsRowDxfId="781">
      <calculatedColumnFormula>VLOOKUP(Ueberblick42848[[#This Row],[eigene Datenbasis / Datenbank]],Dropdown!$A$2:$D$4,4,FALSE)</calculatedColumnFormula>
      <totalsRowFormula>Ueberblick42848[[#Totals],[eigene Datenbasis / Datenbank]]</totalsRowFormula>
    </tableColumn>
    <tableColumn id="9" xr3:uid="{391C970A-5E23-4432-95C7-6BF03B85C9A0}" name="Energiesystemanalysen" totalsRowFunction="custom" dataDxfId="780" totalsRowDxfId="779">
      <calculatedColumnFormula>VLOOKUP(Ueberblick42848[[#This Row],[Energiesystemanalysen]],Dropdown!$A$2:$D$4,4,FALSE)</calculatedColumnFormula>
      <totalsRowFormula>Ueberblick42848[[#Totals],[Energiesystemanalysen]]</totalsRowFormula>
    </tableColumn>
    <tableColumn id="8" xr3:uid="{43E518AB-C22B-4D3B-A8CD-5F920C0F7B19}" name="Herstellerangaben" totalsRowFunction="custom" dataDxfId="778" totalsRowDxfId="777">
      <calculatedColumnFormula>VLOOKUP(Ueberblick42848[[#This Row],[Herstellerangaben]],Dropdown!$A$2:$D$4,4,FALSE)</calculatedColumnFormula>
      <totalsRowFormula>Ueberblick42848[[#Totals],[Herstellerangaben]]</totalsRowFormula>
    </tableColumn>
    <tableColumn id="7" xr3:uid="{D784CE9B-2881-4DC2-B8B6-955FEC79E31A}" name="technische Publikationen zu Prozessen" totalsRowFunction="custom" dataDxfId="776" totalsRowDxfId="775">
      <calculatedColumnFormula>VLOOKUP(Ueberblick42848[[#This Row],[technische Publikationen 
zu Prozessen]],Dropdown!$A$2:$D$4,4,FALSE)</calculatedColumnFormula>
      <totalsRowFormula>Ueberblick42848[[#Totals],[technische Publikationen 
zu Prozessen]]</totalsRowFormula>
    </tableColumn>
    <tableColumn id="6" xr3:uid="{3C97FA8F-6E86-41D6-A1DA-3E0E6380D995}" name="Datenportale: Verbrauchs-, Wetter-, Preisdaten" totalsRowFunction="custom" dataDxfId="774" totalsRowDxfId="773">
      <calculatedColumnFormula>VLOOKUP(Ueberblick42848[[#This Row],[Datenportale: Verbrauchs-, 
Wetter-, Preisdaten]],Dropdown!$A$2:$D$4,4,FALSE)</calculatedColumnFormula>
      <totalsRowFormula>Ueberblick42848[[#Totals],[Datenportale: Verbrauchs-, 
Wetter-, Preisdaten]]</totalsRowFormula>
    </tableColumn>
    <tableColumn id="5" xr3:uid="{BECFFDED-8EEA-435D-A086-B7E301666E12}" name="Literatur zu Elekrotmobilität" totalsRowFunction="custom" dataDxfId="772" totalsRowDxfId="771">
      <calculatedColumnFormula>VLOOKUP(Ueberblick42848[[#This Row],[Literatur zu Elekrotmobilität]],Dropdown!$A$2:$D$4,4,FALSE)</calculatedColumnFormula>
      <totalsRowFormula>Ueberblick42848[[#Totals],[Literatur zu Elekrotmobilität]]</totalsRowFormula>
    </tableColumn>
    <tableColumn id="16" xr3:uid="{1CEE4EA3-DCB4-4574-B306-E3F2C62C5A92}" name="Quellen Daten" dataDxfId="770" totalsRowDxfId="769"/>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64A071-5803-4293-BB35-07676C191E04}" name="Tabelle1" displayName="Tabelle1" ref="A1:F30" totalsRowShown="0" headerRowDxfId="1156" dataDxfId="1154" headerRowBorderDxfId="1155" tableBorderDxfId="1153">
  <autoFilter ref="A1:F30" xr:uid="{B0CCFB7F-7C05-42CE-B1F3-4030B85CB263}"/>
  <tableColumns count="6">
    <tableColumn id="1" xr3:uid="{18AFCF2E-B4FA-4BD4-9D0B-912C3DCAECC8}" name="Kurzbeleg" dataDxfId="1152"/>
    <tableColumn id="2" xr3:uid="{096E67B4-7CB5-47EF-B3EF-7A68F33F9466}" name="Titel der Studie" dataDxfId="1151"/>
    <tableColumn id="3" xr3:uid="{D8DC91E6-85EB-408C-9B9A-29D7915E4C6E}" name="durchführende Institution" dataDxfId="1150"/>
    <tableColumn id="4" xr3:uid="{B2A958A3-638D-4E2B-B8C2-9392E7D2A026}" name="Auftraggeber" dataDxfId="1149"/>
    <tableColumn id="5" xr3:uid="{923528D2-F611-44E9-B4D6-9E1B65EC6355}" name="Art der Schrift" dataDxfId="1148"/>
    <tableColumn id="6" xr3:uid="{6735A55C-F82F-4915-9DAD-6E670C142B0E}" name="Fokus auf Lastmanagement" dataDxfId="1147"/>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838DBDDF-3FC9-4125-8FEC-132B71D0F059}" name="Tabelle51" displayName="Tabelle51" ref="A2:F28" totalsRowShown="0" headerRowDxfId="768" dataDxfId="766" headerRowBorderDxfId="767" tableBorderDxfId="765" totalsRowBorderDxfId="764">
  <autoFilter ref="A2:F28" xr:uid="{5FEBB4B3-3215-4733-9B99-DF562E70B30A}"/>
  <tableColumns count="6">
    <tableColumn id="1" xr3:uid="{73F037F7-FC88-4381-B623-F3C30084EAE4}" name="Kurzbeleg" dataDxfId="763"/>
    <tableColumn id="2" xr3:uid="{E282E9A7-6088-4A6E-B374-A09777A389D6}" name="Modellierung (Simulation)" dataDxfId="762">
      <calculatedColumnFormula>IF(Tabelle51[[#Headers],[Modellierung (Simulation)]]=Ueberblick[[#This Row],[analytischer Ansatz zur Verwertung technischer Potenziale]],1,0)</calculatedColumnFormula>
    </tableColumn>
    <tableColumn id="3" xr3:uid="{498618F4-E389-4E84-B789-C68E70D3FA03}" name="Modellierung (Optimierung)" dataDxfId="761">
      <calculatedColumnFormula>IF(Tabelle51[[#Headers],[Modellierung (Optimierung)]]=Ueberblick[[#This Row],[analytischer Ansatz zur Verwertung technischer Potenziale]],1,0)</calculatedColumnFormula>
    </tableColumn>
    <tableColumn id="4" xr3:uid="{4C37BE76-543A-4BCE-BC53-C37A221AEACE}" name="Wirtschaftlichkeitsabschätzung" dataDxfId="760">
      <calculatedColumnFormula>IF(Tabelle51[[#Headers],[Wirtschaftlichkeitsabschätzung]]=Ueberblick[[#This Row],[analytischer Ansatz zur Verwertung technischer Potenziale]],1,0)</calculatedColumnFormula>
    </tableColumn>
    <tableColumn id="5" xr3:uid="{C20FF8D9-E994-4FFB-9CCE-9A6B6F260127}" name="keine Verwertung" dataDxfId="759">
      <calculatedColumnFormula>IF(Tabelle51[[#Headers],[keine Verwertung]]=Ueberblick[[#This Row],[analytischer Ansatz zur Verwertung technischer Potenziale]],1,0)</calculatedColumnFormula>
    </tableColumn>
    <tableColumn id="6" xr3:uid="{7CD82416-C9B5-47FF-8149-A1F8E2424F95}" name="kombinierter Ansatz" dataDxfId="758">
      <calculatedColumnFormula>IF(Tabelle51[[#Headers],[kombinierter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C10D94F1-312A-4D6D-8D14-630B978F6225}" name="Tabelle5153" displayName="Tabelle5153" ref="A2:F28" totalsRowShown="0" headerRowDxfId="757" dataDxfId="755" headerRowBorderDxfId="756" tableBorderDxfId="754" totalsRowBorderDxfId="753">
  <autoFilter ref="A2:F28" xr:uid="{5FEBB4B3-3215-4733-9B99-DF562E70B30A}"/>
  <tableColumns count="6">
    <tableColumn id="1" xr3:uid="{C4209D56-E808-4346-B05B-B5A2B9916980}" name="Kurzbeleg" dataDxfId="752"/>
    <tableColumn id="2" xr3:uid="{0850887D-82C1-4150-BF26-29F7640CC2B0}" name="Modellierung (Simulation)" dataDxfId="751">
      <calculatedColumnFormula>IF(Tabelle5153[[#Headers],[Modellierung (Simulation)]]=Ueberblick[[#This Row],[analytischer Ansatz zur Verwertung technischer Potenziale]],1,0)</calculatedColumnFormula>
    </tableColumn>
    <tableColumn id="3" xr3:uid="{9E08E9FD-7C5B-4CF9-B7D7-E3907F9CB1E4}" name="Modellierung (Optimierung)" dataDxfId="750">
      <calculatedColumnFormula>IF(Tabelle5153[[#Headers],[Modellierung (Optimierung)]]=Ueberblick[[#This Row],[analytischer Ansatz zur Verwertung technischer Potenziale]],1,0)</calculatedColumnFormula>
    </tableColumn>
    <tableColumn id="4" xr3:uid="{210D5649-06F3-482C-A4D9-9A93CF0844FA}" name="Wirtschaftlichkeitsabschätzung" dataDxfId="749">
      <calculatedColumnFormula>IF(Tabelle5153[[#Headers],[Wirtschaftlichkeitsabschätzung]]=Ueberblick[[#This Row],[analytischer Ansatz zur Verwertung technischer Potenziale]],1,0)</calculatedColumnFormula>
    </tableColumn>
    <tableColumn id="5" xr3:uid="{409D0BD9-D4E6-4325-952D-8BC15EEF47E2}" name="keine Verwertung" dataDxfId="748">
      <calculatedColumnFormula>IF(Tabelle5153[[#Headers],[keine Verwertung]]=Ueberblick[[#This Row],[analytischer Ansatz zur Verwertung technischer Potenziale]],1,0)</calculatedColumnFormula>
    </tableColumn>
    <tableColumn id="6" xr3:uid="{4849D869-E898-4DB1-B938-8D4454B94FDB}" name="kombinierter Ansatz" dataDxfId="747">
      <calculatedColumnFormula>IF(Tabelle5153[[#Headers],[kombinierter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6799FDDE-973C-4928-B502-94998647D80C}" name="Tabelle515354" displayName="Tabelle515354" ref="A2:F28" totalsRowShown="0" headerRowDxfId="746" dataDxfId="744" headerRowBorderDxfId="745" tableBorderDxfId="743" totalsRowBorderDxfId="742">
  <autoFilter ref="A2:F28" xr:uid="{5FEBB4B3-3215-4733-9B99-DF562E70B30A}"/>
  <tableColumns count="6">
    <tableColumn id="1" xr3:uid="{DE7F65C4-9F03-40C5-A0F5-8842893F143D}" name="Kurzbeleg" dataDxfId="741"/>
    <tableColumn id="2" xr3:uid="{F4077B52-0C2E-44ED-A0FA-215CA5630AB5}" name="Modellierung (Simulation)" dataDxfId="740">
      <calculatedColumnFormula>IF(Tabelle515354[[#Headers],[Modellierung (Simulation)]]=Ueberblick[[#This Row],[analytischer Ansatz zur Verwertung technischer Potenziale]],1,0)</calculatedColumnFormula>
    </tableColumn>
    <tableColumn id="3" xr3:uid="{3E6E682E-30C4-4F0B-AF6B-EE5F6DCF7C0B}" name="Modellierung (Optimierung)" dataDxfId="739">
      <calculatedColumnFormula>IF(Tabelle515354[[#Headers],[Modellierung (Optimierung)]]=Ueberblick[[#This Row],[analytischer Ansatz zur Verwertung technischer Potenziale]],1,0)</calculatedColumnFormula>
    </tableColumn>
    <tableColumn id="4" xr3:uid="{2133F01E-BBB8-4E88-91E4-2382989A904D}" name="Wirtschaftlichkeitsabschätzung" dataDxfId="738">
      <calculatedColumnFormula>IF(Tabelle515354[[#Headers],[Wirtschaftlichkeitsabschätzung]]=Ueberblick[[#This Row],[analytischer Ansatz zur Verwertung technischer Potenziale]],1,0)</calculatedColumnFormula>
    </tableColumn>
    <tableColumn id="5" xr3:uid="{9AB27CC0-9E81-44B5-A2B5-0B72A6AF7941}" name="keine Verwertung" dataDxfId="737">
      <calculatedColumnFormula>IF(Tabelle515354[[#Headers],[keine Verwertung]]=Ueberblick[[#This Row],[analytischer Ansatz zur Verwertung technischer Potenziale]],1,0)</calculatedColumnFormula>
    </tableColumn>
    <tableColumn id="6" xr3:uid="{39EC0819-BBD6-491C-B99A-6679EF8888F9}" name="kombinierter Ansatz" dataDxfId="736">
      <calculatedColumnFormula>IF(Tabelle515354[[#Headers],[kombinierter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1867AEC6-C0AF-4152-B30C-960CF29D6F6A}" name="Tabelle5155" displayName="Tabelle5155" ref="A2:AA28" totalsRowShown="0" headerRowDxfId="735" dataDxfId="733" headerRowBorderDxfId="734" tableBorderDxfId="732" totalsRowBorderDxfId="731">
  <autoFilter ref="A2:AA28" xr:uid="{5FEBB4B3-3215-4733-9B99-DF562E70B30A}"/>
  <tableColumns count="27">
    <tableColumn id="1" xr3:uid="{D8D85EF3-526D-4D75-A1CD-0E4BAA3FDABC}" name="Kurzbeleg (Lesart: Zeile zitiert Spalte bzw. Spalte zitiert in Zeile)" dataDxfId="730"/>
    <tableColumn id="2" xr3:uid="{F7B67D6E-F7E7-4A6B-AD39-F3B62E6B3F15}" name="Apel et al. 2012" dataDxfId="729">
      <calculatedColumnFormula>IF(Tabelle5155[[#Headers],[Apel et al. 2012]]=Ueberblick[[#This Row],[analytischer Ansatz zur Verwertung technischer Potenziale]],1,0)</calculatedColumnFormula>
    </tableColumn>
    <tableColumn id="3" xr3:uid="{BC8C9D11-5CDE-49CA-A9F9-892516226936}" name="Aryandoust et al. 2017" dataDxfId="728">
      <calculatedColumnFormula>IF(Tabelle5155[[#Headers],[Aryandoust et al. 2017]]=Ueberblick[[#This Row],[analytischer Ansatz zur Verwertung technischer Potenziale]],1,0)</calculatedColumnFormula>
    </tableColumn>
    <tableColumn id="4" xr3:uid="{9A290058-5E72-4FC4-96A4-FC8D481764E8}" name="Blum und Braun 2013" dataDxfId="727">
      <calculatedColumnFormula>IF(Tabelle5155[[#Headers],[Blum und Braun 2013]]=Ueberblick[[#This Row],[analytischer Ansatz zur Verwertung technischer Potenziale]],1,0)</calculatedColumnFormula>
    </tableColumn>
    <tableColumn id="5" xr3:uid="{3B1890C0-3E8B-4BFF-B52B-ABDBEBB16DE5}" name="Focken et al. 2011" dataDxfId="726">
      <calculatedColumnFormula>IF(Tabelle5155[[#Headers],[Focken et al. 2011]]=Ueberblick[[#This Row],[analytischer Ansatz zur Verwertung technischer Potenziale]],1,0)</calculatedColumnFormula>
    </tableColumn>
    <tableColumn id="6" xr3:uid="{380EF7F0-8179-4BBC-9C40-CAA522B99CB0}" name="Gils 2015 (Gils 2014; Gils 2016)" dataDxfId="725">
      <calculatedColumnFormula>IF(Tabelle5155[[#Headers],[Gils 2015 (Gils 2014; Gils 2016)]]=Ueberblick[[#This Row],[analytischer Ansatz zur Verwertung technischer Potenziale]],1,0)</calculatedColumnFormula>
    </tableColumn>
    <tableColumn id="7" xr3:uid="{00D20496-C8D4-48B1-95D3-9C29722AE0E9}" name="Gobmaier et al. 2012" dataDxfId="724"/>
    <tableColumn id="8" xr3:uid="{B21D8DBA-34D1-4C22-9AE2-DAE6778CD066}" name="Grote et al. 2013" dataDxfId="723"/>
    <tableColumn id="9" xr3:uid="{F31A9588-1FBB-4186-B32D-07634440D196}" name="Gruber 2017" dataDxfId="722"/>
    <tableColumn id="10" xr3:uid="{411D9D05-D9DD-4D82-8486-0349E75A939F}" name="Haasz (2017)" dataDxfId="721"/>
    <tableColumn id="11" xr3:uid="{793B3291-6495-4A5C-BF9F-8FB9A7ABA4A9}" name="Henning und Sauer 2015_x000a_(Elsner et al. 2015)" dataDxfId="720"/>
    <tableColumn id="12" xr3:uid="{AD6D2ADF-F4AA-4C73-9E4A-FDFAB51D3174}" name="Klobasa 2007 / Klobasa 2009" dataDxfId="719"/>
    <tableColumn id="13" xr3:uid="{30F0941A-EAAD-4A3D-9589-C63615A79D0E}" name="Klobasa et al. 2013_x000a_(Buber et al. 2013; Gruber et al. 2014)" dataDxfId="718"/>
    <tableColumn id="14" xr3:uid="{676F7C85-F4AA-4963-A13A-E95BD47843BD}" name="Krzikalla et al. 2013" dataDxfId="717"/>
    <tableColumn id="15" xr3:uid="{8ACF9F20-7DAF-4D20-A4EC-CF6DE11F4CDA}" name="Ladwig 2018" dataDxfId="716"/>
    <tableColumn id="16" xr3:uid="{3DB8B162-3FE4-4A90-87FA-57160990F655}" name="Langrock et al. 2015" dataDxfId="715"/>
    <tableColumn id="17" xr3:uid="{7DF585D4-AAEC-4443-BF8D-47DEAD115833}" name="Liebe und Wissner 2015" dataDxfId="714"/>
    <tableColumn id="18" xr3:uid="{FD7645FE-800D-41C9-8B2C-B20CDE4AAD77}" name="Molly et al. 2010 (Kohler et al. 2010)" dataDxfId="713"/>
    <tableColumn id="19" xr3:uid="{625EF37B-EA6F-440C-8C48-FA4C6608DC56}" name="Paulus und Borggrefe 2011" dataDxfId="712"/>
    <tableColumn id="20" xr3:uid="{464398E9-307A-424B-BC77-B063B069AE61}" name="Pellinger und Schmid 2016_x000a_" dataDxfId="711"/>
    <tableColumn id="21" xr3:uid="{98EB62A2-878C-4774-A9B6-7390E00F8DB8}" name="r2b 2014" dataDxfId="710"/>
    <tableColumn id="22" xr3:uid="{9F3A23F6-84A2-49FA-B741-6CEE135B942B}" name="Roon und Grobmaier 2010" dataDxfId="709"/>
    <tableColumn id="23" xr3:uid="{86141CDD-CE48-4DFD-A844-7BB23CAC64BE}" name="Scholz et al. 2014" dataDxfId="708"/>
    <tableColumn id="24" xr3:uid="{9A0874CE-B113-4E71-BBF7-82E12D22F45C}" name="Stadler 2006" dataDxfId="707"/>
    <tableColumn id="25" xr3:uid="{62AD8525-A9D3-4D98-8F6E-6F41AEA5A22C}" name="Steurer 2017_x000a_(Steurer et al. 2015)" dataDxfId="706"/>
    <tableColumn id="26" xr3:uid="{B75467F7-84A3-4F75-8912-19D0573D365F}" name="Styczynski und Sauer 2015_x000a_(Elsner et al. 2015)" dataDxfId="705"/>
    <tableColumn id="27" xr3:uid="{A3E82832-69FA-4E59-8662-294156864611}" name="Fundstellen" dataDxfId="704"/>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1EC6752-2D0B-4EE9-A9DD-01D1EDD65254}" name="Tabelle68" displayName="Tabelle68" ref="A1:B13" totalsRowShown="0" headerRowDxfId="703" dataDxfId="702">
  <autoFilter ref="A1:B13" xr:uid="{A03E08DD-7709-4984-BF16-151464BB880D}"/>
  <sortState ref="A2:B13">
    <sortCondition ref="B1:B13"/>
  </sortState>
  <tableColumns count="2">
    <tableColumn id="1" xr3:uid="{868C530B-3D67-4803-A4E7-B351301DE32B}" name="Hilfsspalte Kategorie" dataDxfId="701"/>
    <tableColumn id="2" xr3:uid="{1EF364BA-B991-492E-BEA2-73252059E8E6}" name="Industrie - QST zusammengefasst" dataDxfId="700"/>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BD6B0B3-F5CC-4294-B3F9-7DB360544BEA}" name="Tabelle689" displayName="Tabelle689" ref="A1:D28" totalsRowShown="0" headerRowDxfId="699" dataDxfId="698">
  <autoFilter ref="A1:D28" xr:uid="{A03E08DD-7709-4984-BF16-151464BB880D}"/>
  <sortState ref="A2:D28">
    <sortCondition ref="B1:B28"/>
  </sortState>
  <tableColumns count="4">
    <tableColumn id="1" xr3:uid="{FE6083EA-8CA9-4A80-A33C-380FEF53DC36}" name="Hilfsspalte Kategorie" dataDxfId="697"/>
    <tableColumn id="2" xr3:uid="{281E38E7-C624-4D2E-9E52-2E331D2D487F}" name="GHD - QST / Branchen zusammengefasst" dataDxfId="696"/>
    <tableColumn id="3" xr3:uid="{0DE1ED72-F3F6-4CE9-9A8E-0B9AD4A5844F}" name="WZ-Klassifikation" dataDxfId="695"/>
    <tableColumn id="4" xr3:uid="{B8882F8E-3B90-463F-ACB4-17888590CC35}" name="WZ-Bezeichnung" dataDxfId="694"/>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4F35B84-A01D-4EFF-AE69-A8752B85574A}" name="Tabelle68912" displayName="Tabelle68912" ref="A1:D20" totalsRowShown="0" headerRowDxfId="693" dataDxfId="692">
  <autoFilter ref="A1:D20" xr:uid="{A03E08DD-7709-4984-BF16-151464BB880D}"/>
  <sortState ref="A2:D20">
    <sortCondition ref="B1:B20"/>
  </sortState>
  <tableColumns count="4">
    <tableColumn id="1" xr3:uid="{90FACE7E-D698-438B-87BE-2288B53E49D8}" name="Hilfsspalte Kategorie" dataDxfId="691"/>
    <tableColumn id="2" xr3:uid="{C889D00E-14CA-4666-A774-BEB1FF5E01C8}" name="HaHa - Geräte / Anwendungen zusammengefasst" dataDxfId="690"/>
    <tableColumn id="3" xr3:uid="{59E5BFC6-7A7C-46F5-B691-AC955A6CEC0C}" name="WZ-Klassifikation" dataDxfId="689"/>
    <tableColumn id="4" xr3:uid="{BD0935B8-3532-4FA0-B27A-70D043F64DC8}" name="WZ-Bezeichnung" dataDxfId="688"/>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F61F89-50E9-40BF-A43D-D3633F63529F}" name="Tabelle6" displayName="Tabelle6" ref="A1:D26" totalsRowShown="0" headerRowDxfId="687" dataDxfId="686">
  <autoFilter ref="A1:D26" xr:uid="{A03E08DD-7709-4984-BF16-151464BB880D}"/>
  <tableColumns count="4">
    <tableColumn id="1" xr3:uid="{79072006-5505-4D3B-B704-6A25AC168E53}" name="Hilfsspalte Kategorie" dataDxfId="685"/>
    <tableColumn id="2" xr3:uid="{4E9EB8B9-E9B1-4126-9409-83702D7A064D}" name="Industrie - Prozesse zusammengefasst" dataDxfId="684"/>
    <tableColumn id="3" xr3:uid="{5DC6CBD8-8975-456F-AE4E-34A9564C8163}" name="WZ-Klassifikation" dataDxfId="683"/>
    <tableColumn id="4" xr3:uid="{38860EE9-9DB9-41B9-AB39-509B7C637128}" name="WZ-Bezeichnung" dataDxfId="682"/>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2F093D9-F6F2-4381-B247-95513907DA74}" name="Tabelle9" displayName="Tabelle9" ref="A1:D88" totalsRowShown="0" headerRowDxfId="681" dataDxfId="680">
  <autoFilter ref="A1:D88" xr:uid="{5BF24CFB-1988-47FB-BD43-DC73E697E76C}"/>
  <sortState ref="A20:D87">
    <sortCondition ref="B1:B87"/>
  </sortState>
  <tableColumns count="4">
    <tableColumn id="1" xr3:uid="{6D7E9EC4-B9B3-49C1-86BF-6919F73E54E8}" name="Industrie - Prozesse ursprünglich" dataDxfId="679"/>
    <tableColumn id="2" xr3:uid="{B313EA94-78C1-4C8C-9496-9605C596C8DA}" name="Hilfsspalte Kategorie" dataDxfId="678"/>
    <tableColumn id="3" xr3:uid="{2A6288B0-7345-494B-8440-79CE01729FF3}" name="WZ-Klassifikation" dataDxfId="677"/>
    <tableColumn id="4" xr3:uid="{971E644A-8B41-4E87-92E9-F9993A234D89}" name="WZ-Bezeichnung" dataDxfId="676"/>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ACACC01-0396-4320-9F87-BCEC751901D4}" name="Tabelle1420" displayName="Tabelle1420" ref="A1:Z27" totalsRowShown="0" headerRowDxfId="675" dataDxfId="673" headerRowBorderDxfId="674" tableBorderDxfId="672" totalsRowBorderDxfId="671">
  <autoFilter ref="A1:Z27" xr:uid="{35E18D40-7314-4C3A-B78A-67D81B56EAD4}"/>
  <tableColumns count="26">
    <tableColumn id="1" xr3:uid="{4DFC38AB-8BEC-486F-B91B-4C44740E6209}" name="Kurzbeleg" dataDxfId="670"/>
    <tableColumn id="2" xr3:uid="{1ED7F4D7-DB1C-47B6-ADBE-5A0010DA755C}" name="Primäraluminiumelektrolyse" dataDxfId="669"/>
    <tableColumn id="3" xr3:uid="{535953BF-174B-4949-938E-0794B8BEF528}" name="Papierherstellung _x000a_(Prozess gesamt)" dataDxfId="668"/>
    <tableColumn id="4" xr3:uid="{7123BA30-0BC9-4859-9E4A-641B37B6D2DF}" name="Holzstoff- und Zellstoffherstellung _x000a_(Holzschleifer / Refiner)" dataDxfId="667"/>
    <tableColumn id="5" xr3:uid="{552EBFEA-ED62-4B2A-84AE-C546A900B3C5}" name="Papiermaschinen" dataDxfId="666"/>
    <tableColumn id="6" xr3:uid="{B4BF778F-DFD8-4CFA-9030-B2529EEB48F1}" name="Altpapierrecycling (Pulper)" dataDxfId="665"/>
    <tableColumn id="29" xr3:uid="{E1717EA6-B3E6-437C-AF04-6997D61E2387}" name="Papierveredelung _x000a_(Streichmaschinen und Kalander)" dataDxfId="664"/>
    <tableColumn id="7" xr3:uid="{D434FBAE-D015-453A-8225-C95F4620196C}" name="Chlor-Alkali-Elektrolyse" dataDxfId="663"/>
    <tableColumn id="8" xr3:uid="{5CA47E4D-7997-41C7-9878-5456C5FFAE20}" name="Elektrostahlherstellung _x000a_(Lichtbogenofen)" dataDxfId="662"/>
    <tableColumn id="9" xr3:uid="{535F0778-0A37-4065-AC7A-45401C3F4390}" name="Zementherstellung _x000a_(Prozess gesamt)" dataDxfId="661"/>
    <tableColumn id="10" xr3:uid="{7ED047C6-9033-40D2-A837-9BB6090A19A0}" name="Zementmühlen" dataDxfId="660"/>
    <tableColumn id="12" xr3:uid="{DE3BC066-54CA-42C7-BDC1-C785418C8FE7}" name="Luftzerlegung" dataDxfId="659"/>
    <tableColumn id="13" xr3:uid="{95A16E7B-A34A-455F-BA01-F2022F5350F6}" name="Kupfer- und Zinkherstellung _x000a_(Elektrolyse)" dataDxfId="658"/>
    <tableColumn id="14" xr3:uid="{1675FC09-6D9B-4BA5-9D6E-38E3B630C070}" name="Primärkupferherstellung _x000a_(elektrolytische Kupferraffination)" dataDxfId="657"/>
    <tableColumn id="15" xr3:uid="{C2BD8A95-93EC-497C-9787-824F4C2463FF}" name="Primärzinkherstellung _x000a_(Nasschemische Elektrolyse)" dataDxfId="656"/>
    <tableColumn id="16" xr3:uid="{1EE64974-739E-4458-8858-9F966B92DA9B}" name="Metallbearbeitung _x000a_(Wärmebehandlung)" dataDxfId="655"/>
    <tableColumn id="17" xr3:uid="{178548AE-4521-4968-962C-6F14307CAAFE}" name="Gießereien (Induktionsofen)" dataDxfId="654"/>
    <tableColumn id="19" xr3:uid="{14B2A3B1-D6D9-4058-8EC3-86E7F1B3C268}" name="Calciumcarbid-Herstellung _x000a_(Lichtbogenofen)" dataDxfId="653"/>
    <tableColumn id="20" xr3:uid="{AB87B2B3-09B9-40EB-A6A7-60F6D3C76D0E}" name="Ernährungsindustrie gesamt" dataDxfId="652"/>
    <tableColumn id="21" xr3:uid="{7513E9FF-DD72-4B5D-B7B9-E614F27694B1}" name="Chemieindustrie gesamt" dataDxfId="651"/>
    <tableColumn id="22" xr3:uid="{F270C622-BF7C-429C-86C0-2DDB125FA323}" name="Kfz-Industrie gesamt" dataDxfId="650"/>
    <tableColumn id="23" xr3:uid="{ECDFD12C-7696-44AD-909A-5A24C3E5108C}" name="Maschinenbau gesamt" dataDxfId="649"/>
    <tableColumn id="24" xr3:uid="{E10947C6-EAB2-4BA6-B1D4-ECA4AEEDB97F}" name="Glasindustrie gesamt" dataDxfId="648"/>
    <tableColumn id="25" xr3:uid="{B50A6CAF-5CCE-4DE5-BB39-027057E51E49}" name="Behälterglasindustrie" dataDxfId="647"/>
    <tableColumn id="27" xr3:uid="{A5959157-EE85-4411-BDC1-07E5AFEC52BB}" name="Silizium-Metall _x000a_(Lichtbogenofen)" dataDxfId="646"/>
    <tableColumn id="28" xr3:uid="{1796B00B-B236-4564-B8E4-FBD92C29FABE}" name="Graphitelektroden _x000a_(Graphitierungsofen)" dataDxfId="645"/>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4672651-94C4-4FD3-9E7B-3E00B283CF28}" name="Tabelle142027" displayName="Tabelle142027" ref="A1:B26" totalsRowShown="0" headerRowDxfId="1146" dataDxfId="1144" headerRowBorderDxfId="1145" tableBorderDxfId="1143" totalsRowBorderDxfId="1142">
  <autoFilter ref="A1:B26" xr:uid="{35E18D40-7314-4C3A-B78A-67D81B56EAD4}"/>
  <tableColumns count="2">
    <tableColumn id="1" xr3:uid="{C2731A2D-4442-4720-9F72-00E462D70353}" name="Kurzbeleg" dataDxfId="1141"/>
    <tableColumn id="2" xr3:uid="{BA4AA0F8-E549-4AC2-8860-83C4ADE0ECE7}" name="Nummer" dataDxfId="1140"/>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12C6195-4583-42DB-B475-C431FEEEC974}" name="Tabelle14" displayName="Tabelle14" ref="A1:Z27" totalsRowShown="0" headerRowDxfId="644" dataDxfId="642" headerRowBorderDxfId="643" tableBorderDxfId="641" totalsRowBorderDxfId="640">
  <autoFilter ref="A1:Z27" xr:uid="{35E18D40-7314-4C3A-B78A-67D81B56EAD4}"/>
  <tableColumns count="26">
    <tableColumn id="1" xr3:uid="{EA2A614A-EDF4-49A8-8CCE-0EBB58A18D5C}" name="Kurzbeleg" dataDxfId="639"/>
    <tableColumn id="2" xr3:uid="{7874FAE5-2638-4476-AD82-3F9A5825FA3B}" name="Primäraluminiumelektrolyse" dataDxfId="638">
      <calculatedColumnFormula>VLOOKUP(Tabelle1420[[#This Row],[Primäraluminiumelektrolyse]],Dropdown!$A$2:$D$4,4,FALSE)</calculatedColumnFormula>
    </tableColumn>
    <tableColumn id="3" xr3:uid="{4573F8FB-43FD-4ED4-B42F-AD4B2D4B0558}" name="Papierherstellung" dataDxfId="637"/>
    <tableColumn id="4" xr3:uid="{9EEF02CB-6057-46AF-A0F2-7D10CA6D638C}" name="Holzstoff- und Zellstoffherstellung" dataDxfId="636"/>
    <tableColumn id="5" xr3:uid="{B675B0D6-768D-423F-AD50-63CCA2FDD36D}" name="Papiermaschinen" dataDxfId="635"/>
    <tableColumn id="6" xr3:uid="{7FF90FDE-299C-4342-A5CD-61AE34F94DFE}" name="Altpapierrecycling (Pulper)" dataDxfId="634"/>
    <tableColumn id="29" xr3:uid="{9E5F457D-F53E-4E90-A03B-D34852AB0BDF}" name="Papierveredelung (Streichmaschinen und Kalander)" dataDxfId="633"/>
    <tableColumn id="7" xr3:uid="{3008FABF-1D2E-482E-AE37-E8F7372BD2F6}" name="Chlor-Alkali-Elektrolyse" dataDxfId="632"/>
    <tableColumn id="8" xr3:uid="{3391DB6B-60B7-40B4-A53A-66FA29FE40E3}" name="Elektrostahlherstellung (Lichtbogenofen)" dataDxfId="631"/>
    <tableColumn id="9" xr3:uid="{BB9AC3BB-F64F-4B8D-A5F4-32223679D85B}" name="Zementherstellung" dataDxfId="630"/>
    <tableColumn id="10" xr3:uid="{12E5AD2B-1990-49B2-BBF6-ACB21A3CF543}" name="Zementmühlen" dataDxfId="629"/>
    <tableColumn id="12" xr3:uid="{4BF64E6E-635F-4AC9-8877-F1074C70728A}" name="Luftzerlegung" dataDxfId="628"/>
    <tableColumn id="13" xr3:uid="{8947C39C-A4D8-47BF-889D-586BC4571871}" name="Kupfer- und Zinkherstellung (Elektrolyse)" dataDxfId="627"/>
    <tableColumn id="14" xr3:uid="{4D57FA4C-B372-45F3-8F74-3560AFCB1D15}" name="Primärkupferherstellung (elektrolytische Kupferraffination)" dataDxfId="626"/>
    <tableColumn id="15" xr3:uid="{0ABDCC41-C58E-407C-B67F-07AC43D23A2C}" name="Primärzinkherstellung (Nasschemische Elektrolyse)" dataDxfId="625"/>
    <tableColumn id="16" xr3:uid="{E9AADEDF-42FA-422F-B1D6-5C68CB2CABE0}" name="Metallbearbeitung (Wärmebehandlung)" dataDxfId="624"/>
    <tableColumn id="17" xr3:uid="{FFBA5DC4-624F-476D-BCCC-ABFB4F8527D4}" name="Gießereien (Induktionsofen)" dataDxfId="623"/>
    <tableColumn id="19" xr3:uid="{F7558C3A-E062-48C2-B667-E8DD5DD37AEC}" name="Calciumcarbid-Herstellung (Lichtbogenofen)" dataDxfId="622"/>
    <tableColumn id="20" xr3:uid="{B1EFB6C5-C555-4146-8DF0-768E025A6ABD}" name="Ernährungsindustrie gesamt" dataDxfId="621"/>
    <tableColumn id="21" xr3:uid="{DEBF1EF3-C1AA-464B-AEF4-D2EAE859BA51}" name="Chemieindustrie gesamt" dataDxfId="620"/>
    <tableColumn id="22" xr3:uid="{861ED872-339F-45B0-99A5-6557CD694977}" name="Kfz-Industrie gesamt" dataDxfId="619"/>
    <tableColumn id="23" xr3:uid="{24AB2EFE-69DB-4C0B-B6DD-C0D98255BFF1}" name="Maschinenbau gesamt" dataDxfId="618"/>
    <tableColumn id="24" xr3:uid="{3A8EC6DE-EF7E-428B-938C-61ACC7E0F519}" name="Glasindustrie gesamt" dataDxfId="617"/>
    <tableColumn id="25" xr3:uid="{A274F555-7F6D-4FF4-BC61-9A59B7B3E132}" name="Behälterglasindustrie" dataDxfId="616"/>
    <tableColumn id="27" xr3:uid="{3898CAF3-5650-4128-A6F2-55FB11BA2DC5}" name="Silizium-Metall (Lichtbogenofen)" dataDxfId="615"/>
    <tableColumn id="28" xr3:uid="{E9601048-568B-401B-97B6-69B5CD78BC63}" name="Graphitelektroden (Graphitierungsofen)" dataDxfId="614"/>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F7A5C23-140E-411B-8BFF-E4D42E3C0468}" name="Tabelle1417" displayName="Tabelle1417" ref="A1:Z27" totalsRowShown="0" headerRowDxfId="613" dataDxfId="611" headerRowBorderDxfId="612" tableBorderDxfId="610" totalsRowBorderDxfId="609">
  <autoFilter ref="A1:Z27" xr:uid="{35E18D40-7314-4C3A-B78A-67D81B56EAD4}"/>
  <tableColumns count="26">
    <tableColumn id="1" xr3:uid="{AA56DEE5-F528-4734-BE22-F6847A6E0387}" name="Kurzbeleg" dataDxfId="608"/>
    <tableColumn id="2" xr3:uid="{EA876D88-6DE7-4709-A5A3-57B07488884B}" name="Primäraluminiumelektrolyse" dataDxfId="607">
      <calculatedColumnFormula>VLOOKUP(Tabelle1420[[#This Row],[Primäraluminiumelektrolyse]],Dropdown!$A$2:$D$4,4,FALSE)</calculatedColumnFormula>
    </tableColumn>
    <tableColumn id="3" xr3:uid="{37935675-4955-4558-9EBD-E5729A9EC806}" name="Papierherstellung" dataDxfId="606"/>
    <tableColumn id="4" xr3:uid="{6ADC8DF7-3129-4828-93C5-53EA07D12622}" name="Holzstoff- und Zellstoffherstellung" dataDxfId="605"/>
    <tableColumn id="5" xr3:uid="{74DD4F29-5B82-4887-8ADB-8A7B961C61AA}" name="Papiermaschinen" dataDxfId="604"/>
    <tableColumn id="6" xr3:uid="{176C75D1-E3F3-413C-8C92-7D92E83E0E00}" name="Altpapierrecycling (Pulper)" dataDxfId="603"/>
    <tableColumn id="29" xr3:uid="{B58290FB-6E97-410F-9C73-C15B46623056}" name="Papierveredelung (Streichmaschinen und Kalander)" dataDxfId="602"/>
    <tableColumn id="7" xr3:uid="{88792B58-3C44-4977-A63F-B8E914242600}" name="Chlor-Alkali-Elektrolyse" dataDxfId="601"/>
    <tableColumn id="8" xr3:uid="{25945F37-7E95-46B9-A33D-71CF182DB3B9}" name="Elektrostahlherstellung (Lichtbogenofen)" dataDxfId="600"/>
    <tableColumn id="9" xr3:uid="{8DC025E1-2EE6-438E-8914-C2758ED9CF01}" name="Zementherstellung" dataDxfId="599"/>
    <tableColumn id="10" xr3:uid="{63911519-F562-4EC3-9561-D45A5315493C}" name="Zementmühlen" dataDxfId="598"/>
    <tableColumn id="12" xr3:uid="{A9DEF79F-EFC4-43AD-9F80-2762FB557181}" name="Luftzerlegung" dataDxfId="597"/>
    <tableColumn id="13" xr3:uid="{6B71B505-138D-4F2A-981C-DDDD1CC5DBDC}" name="Kupfer- und Zinkherstellung (Elektrolyse)" dataDxfId="596"/>
    <tableColumn id="14" xr3:uid="{2977CBC9-FF13-4665-8339-B8AE638FB70B}" name="Primärkupferherstellung (elektrolytische Kupferraffination)" dataDxfId="595"/>
    <tableColumn id="15" xr3:uid="{38389B4C-00E5-45B6-AE4B-C465ED68E9F3}" name="Primärzinkherstellung (Nasschemische Elektrolyse)" dataDxfId="594"/>
    <tableColumn id="16" xr3:uid="{AE021AE0-308E-4698-9738-19FE999B1E59}" name="Metallbearbeitung (Wärmebehandlung)" dataDxfId="593"/>
    <tableColumn id="17" xr3:uid="{C350B963-39EF-4E13-876A-FE13F652D50D}" name="Gießereien (Induktionsofen)" dataDxfId="592"/>
    <tableColumn id="19" xr3:uid="{74EF5347-ED0B-424F-A31D-4204E64EF785}" name="Calciumcarbid-Herstellung (Lichtbogenofen)" dataDxfId="591"/>
    <tableColumn id="20" xr3:uid="{2803D999-122B-4DD4-9F77-59C83DA84262}" name="Ernährungsindustrie gesamt" dataDxfId="590"/>
    <tableColumn id="21" xr3:uid="{FEE6865E-C4E5-4AB8-9458-D7B381E72BF2}" name="Chemieindustrie gesamt" dataDxfId="589"/>
    <tableColumn id="22" xr3:uid="{A04B72CF-0948-4840-9B51-74A8DB3C65FA}" name="Kfz-Industrie gesamt" dataDxfId="588"/>
    <tableColumn id="23" xr3:uid="{30ACE1CD-56CB-42B3-B65A-DBD9805E1EA1}" name="Maschinenbau gesamt" dataDxfId="587"/>
    <tableColumn id="24" xr3:uid="{3271483B-FC9B-4322-A022-5E3F99BFD910}" name="Glasindustrie gesamt" dataDxfId="586"/>
    <tableColumn id="25" xr3:uid="{0296877D-1978-4D70-894C-6464C642A941}" name="Behälterglasindustrie" dataDxfId="585"/>
    <tableColumn id="27" xr3:uid="{DB6FFF58-A7FE-48D0-BB08-48A271333961}" name="Silizium-Metall (Lichtbogenofen)" dataDxfId="584"/>
    <tableColumn id="28" xr3:uid="{60923ABA-F0EC-408E-856A-350D36216621}" name="Graphitelektroden (Graphitierungsofen)" dataDxfId="583"/>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85E763F4-3DAA-479C-B33A-35714200E944}" name="Tabelle142058" displayName="Tabelle142058" ref="A1:N27" totalsRowShown="0" headerRowDxfId="582" dataDxfId="580" headerRowBorderDxfId="581" tableBorderDxfId="579" totalsRowBorderDxfId="578">
  <autoFilter ref="A1:N27" xr:uid="{35E18D40-7314-4C3A-B78A-67D81B56EAD4}"/>
  <tableColumns count="14">
    <tableColumn id="1" xr3:uid="{674E15CA-8192-401B-BB7F-1DB6DE68FC4F}" name="Kurzbeleg" dataDxfId="577"/>
    <tableColumn id="2" xr3:uid="{4CB00FED-967E-401D-80FC-182E012C7406}" name="Papierindustrie: _x000a_Holzstoffherstellung" dataDxfId="576"/>
    <tableColumn id="3" xr3:uid="{0EE770BD-9153-436D-9D9A-7EA54B91859A}" name="Papierindustrie: _x000a_Zellstoffherstellung" dataDxfId="575"/>
    <tableColumn id="4" xr3:uid="{1F277E4F-1036-4D4E-A97B-D9D3906866FE}" name="Papierindustrie: _x000a_Altpapier" dataDxfId="574"/>
    <tableColumn id="5" xr3:uid="{107B1E96-F798-4869-804D-E24BE9111D87}" name="Papierindustrie: _x000a_Papiermaschinen" dataDxfId="573"/>
    <tableColumn id="6" xr3:uid="{A330FDA3-BF06-486C-9557-345C418EE253}" name="Papierindustrie: _x000a_Streichmaschinen und Kalander" dataDxfId="572"/>
    <tableColumn id="29" xr3:uid="{247A0463-0DF5-44AC-AB31-6F1192A937C2}" name="Chlor-Alkali-Elektrolyse: _x000a_Membranverfahren" dataDxfId="571"/>
    <tableColumn id="7" xr3:uid="{A75EDA1B-14B6-4F03-B197-E444FC60E713}" name="Chlor-Alkali-Elektrolyse: _x000a_Amalgamverfahren" dataDxfId="570"/>
    <tableColumn id="8" xr3:uid="{BD6F3F79-1CC7-4DE9-8519-29849F2854F4}" name="Chlor-Alkali-Elektrolyse:_x000a_ Diaphragmaverfahren" dataDxfId="569"/>
    <tableColumn id="9" xr3:uid="{798ECDBD-670C-4267-A75D-3DE7A00F6D93}" name="Chlor-Alkali-Elektrolyse: _x000a_HCl-Verfahren (Deacon-Verfahren)" dataDxfId="568"/>
    <tableColumn id="10" xr3:uid="{D865859A-E695-417F-8E72-3D458524080C}" name="Zementindustrie: _x000a_Drehrohröfen" dataDxfId="567"/>
    <tableColumn id="12" xr3:uid="{D839528E-FEA0-4551-9C3A-790FA886DC21}" name="Zementindustrie: _x000a_Rohmehlmühlen" dataDxfId="566"/>
    <tableColumn id="13" xr3:uid="{FAF5CC8E-484D-4A0B-AA40-DFBAF752B373}" name="Zementindustrie: _x000a_Zementmühlen" dataDxfId="565"/>
    <tableColumn id="11" xr3:uid="{608A38E8-EE2C-4C59-9E01-ACDB1895CEDC}" name="Prozessdetaillierung?" dataDxfId="564"/>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664236C-71E0-4188-9411-FE14581DF69A}" name="Tabelle1521" displayName="Tabelle1521" ref="A1:M27" headerRowDxfId="563" dataDxfId="561" headerRowBorderDxfId="562" tableBorderDxfId="560">
  <autoFilter ref="A1:M27" xr:uid="{A0B3C08B-9716-44D9-B61C-FD66E382073C}"/>
  <tableColumns count="13">
    <tableColumn id="1" xr3:uid="{A76CA4D0-CAB7-46C7-8229-CBF96E721E24}" name="Kurzbeleg" totalsRowFunction="sum" dataDxfId="559" totalsRowDxfId="558"/>
    <tableColumn id="2" xr3:uid="{693E83B0-D9AB-4888-98EA-9B6908FCA563}" name="Druckluftanwendungen" dataDxfId="557" totalsRowDxfId="556"/>
    <tableColumn id="3" xr3:uid="{89A16228-E0AD-419E-9B74-7B8B7D24CE84}" name="Prozessdampf mittels _x000a_KWK-Eigenerzeugung" dataDxfId="555" totalsRowDxfId="554"/>
    <tableColumn id="4" xr3:uid="{711EEE4E-D014-45A3-A7C3-B2627873D101}" name="Prozesskälte" dataDxfId="553" totalsRowDxfId="552"/>
    <tableColumn id="5" xr3:uid="{CB29E5A1-3B7A-4EDA-ACEA-8AAF1BAC8BC1}" name="Kühlung _x000a_(Lebensmittelindustrie)" dataDxfId="551" totalsRowDxfId="550"/>
    <tableColumn id="6" xr3:uid="{6F4A3F2D-4E3E-413F-B932-42B14BFE3E52}" name="Belüftung" dataDxfId="549" totalsRowDxfId="548"/>
    <tableColumn id="7" xr3:uid="{ACB1897D-8418-46AF-BA1F-213BEBB0BD31}" name="Beleuchtung" dataDxfId="547" totalsRowDxfId="546"/>
    <tableColumn id="8" xr3:uid="{0BA0BD35-5EB9-482F-A79F-AC2E6E30CEF6}" name="Pumpenanwendungen" dataDxfId="545" totalsRowDxfId="544"/>
    <tableColumn id="9" xr3:uid="{B6BDE5D4-33C4-4BBA-96A4-4A62DD8ABA42}" name="Elektrodenheizkessel" dataDxfId="543" totalsRowDxfId="542"/>
    <tableColumn id="10" xr3:uid="{B522590D-3081-4A49-A70E-3DFAD1A5B410}" name="Zerkleinerer" dataDxfId="541" totalsRowDxfId="540"/>
    <tableColumn id="11" xr3:uid="{20C6BB25-C766-4BEA-8324-2A0616306208}" name="Fördertechnik" dataDxfId="539" totalsRowDxfId="538"/>
    <tableColumn id="12" xr3:uid="{3C79CE86-22FF-4B98-8628-439AA117B3F9}" name="Klimakälte" dataDxfId="537" totalsRowDxfId="536"/>
    <tableColumn id="13" xr3:uid="{39829662-D903-42D9-89C4-D5559DFD4107}" name="Elektrische _x000a_Wärmeerzeugung" totalsRowFunction="sum" dataDxfId="535" totalsRowDxfId="534"/>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1A7F15C-A29B-4625-8900-000000D9372E}" name="Tabelle15" displayName="Tabelle15" ref="A1:M27" totalsRowShown="0" headerRowDxfId="533" dataDxfId="531" headerRowBorderDxfId="532" tableBorderDxfId="530">
  <autoFilter ref="A1:M27" xr:uid="{A0B3C08B-9716-44D9-B61C-FD66E382073C}"/>
  <tableColumns count="13">
    <tableColumn id="1" xr3:uid="{5851855A-9536-4F87-AA22-E07DE423906A}" name="Kurzbeleg" dataDxfId="529"/>
    <tableColumn id="2" xr3:uid="{0BEC2AD4-2246-473D-A31D-6B60B192435B}" name="Druckluftanwendungen" dataDxfId="528">
      <calculatedColumnFormula>VLOOKUP(Tabelle1521[[#This Row],[Druckluftanwendungen]],Dropdown!$A$2:$D$4,4,FALSE)</calculatedColumnFormula>
    </tableColumn>
    <tableColumn id="3" xr3:uid="{F76FB3D2-46B3-4879-B50A-7AC5C271F749}" name="Prozessdampf mittels KWK-Eigenerzeugung" dataDxfId="527"/>
    <tableColumn id="4" xr3:uid="{83752EF1-D6FC-414D-BD53-24B5D0E430F4}" name="Prozesskälte" dataDxfId="526"/>
    <tableColumn id="5" xr3:uid="{EE3DE9E4-37E3-458C-AC45-8895BBD7C567}" name="Kühlung (Lebensmittelindustrie)" dataDxfId="525"/>
    <tableColumn id="6" xr3:uid="{CA69E8CA-3E0F-4F16-8358-EF318824E3EB}" name="Belüftung" dataDxfId="524"/>
    <tableColumn id="7" xr3:uid="{8BD3F4BE-29CF-4965-9FD8-219C57D8DC59}" name="Beleuchtung" dataDxfId="523"/>
    <tableColumn id="8" xr3:uid="{6A6E109F-D1FF-4D7D-9044-162E13B5F4FB}" name="Pumpenanwendungen" dataDxfId="522"/>
    <tableColumn id="9" xr3:uid="{FAE530AC-8100-4B1A-9DF4-F3F98443A831}" name="Elektrodenheizkessel" dataDxfId="521"/>
    <tableColumn id="10" xr3:uid="{016E005A-4F8A-492E-A5DD-6DDEF439513D}" name="Zerkleinerer" dataDxfId="520"/>
    <tableColumn id="11" xr3:uid="{4304F031-59CC-47EB-A7FA-7BD240E0F4E5}" name="Fördertechnik" dataDxfId="519"/>
    <tableColumn id="12" xr3:uid="{B467B71F-7754-4EDC-A913-2FE5BD368483}" name="Klimakälte" dataDxfId="518"/>
    <tableColumn id="13" xr3:uid="{9F736087-FDE3-4A57-8103-7813572A80E1}" name="Elektrische Wärmeerzeugung (Raum- und Prozesswärme)" dataDxfId="517"/>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FE75E6AC-5157-48B1-9644-9073099D1531}" name="Tabelle1524" displayName="Tabelle1524" ref="A1:M27" totalsRowShown="0" headerRowDxfId="516" dataDxfId="514" headerRowBorderDxfId="515" tableBorderDxfId="513">
  <autoFilter ref="A1:M27" xr:uid="{A0B3C08B-9716-44D9-B61C-FD66E382073C}"/>
  <tableColumns count="13">
    <tableColumn id="1" xr3:uid="{15A0285D-2F1B-46AE-87E5-4C90EB1B6277}" name="Nummer der Publikation(en)" dataDxfId="512"/>
    <tableColumn id="2" xr3:uid="{07A3D2A1-4C1D-46DB-8664-EB2A623941AF}" name="Druckluftanwendungen" dataDxfId="511">
      <calculatedColumnFormula>VLOOKUP(Tabelle1521[[#This Row],[Druckluftanwendungen]],Dropdown!$A$2:$D$4,4,FALSE)</calculatedColumnFormula>
    </tableColumn>
    <tableColumn id="3" xr3:uid="{55A9CCD7-8841-4CB7-B60D-D16E83E58650}" name="Prozessdampf mittels KWK-Eigenerzeugung" dataDxfId="510"/>
    <tableColumn id="4" xr3:uid="{625F8E33-6677-47EA-ACB1-233A03FB194B}" name="Prozesskälte" dataDxfId="509"/>
    <tableColumn id="5" xr3:uid="{B6D86DD3-746D-40BE-B61C-C65BE9598C2B}" name="Kühlung (Lebensmittelindustrie)" dataDxfId="508"/>
    <tableColumn id="6" xr3:uid="{2765022A-A915-43F2-9C2C-8153739F98D0}" name="Belüftung" dataDxfId="507"/>
    <tableColumn id="7" xr3:uid="{C8532854-4C2F-4F32-ADA1-5F20A4F587B3}" name="Beleuchtung" dataDxfId="506"/>
    <tableColumn id="8" xr3:uid="{52B13787-09D6-4DC2-8F92-0BDD62692951}" name="Pumpenanwendungen" dataDxfId="505"/>
    <tableColumn id="9" xr3:uid="{7B40AF6D-7207-4A28-9992-50692C4F124D}" name="Elektrodenheizkessel" dataDxfId="504"/>
    <tableColumn id="10" xr3:uid="{B8198224-49E0-4DCC-A6E2-C92300A7076B}" name="Zerkleinerer" dataDxfId="503"/>
    <tableColumn id="11" xr3:uid="{179A8C7F-6D4B-4DB4-B405-F88C600F83DF}" name="Fördertechnik" dataDxfId="502"/>
    <tableColumn id="12" xr3:uid="{6D3D3141-0D8B-4757-9B3B-37D18FE7636D}" name="Klimakälte" dataDxfId="501"/>
    <tableColumn id="13" xr3:uid="{AEB312C2-6FA8-4BC7-B1A3-31BE55470C45}" name="Elektrische Wärmeerzeugung (Raum- und Prozesswärme)" dataDxfId="500"/>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568724D-3FC5-414F-A360-3D640A9AD624}" name="Tabelle1722" displayName="Tabelle1722" ref="A1:AB27" totalsRowShown="0" headerRowDxfId="499" dataDxfId="497" headerRowBorderDxfId="498" tableBorderDxfId="496">
  <autoFilter ref="A1:AB27" xr:uid="{05AF98B3-F721-4D50-ABCC-4B04656278BA}"/>
  <tableColumns count="28">
    <tableColumn id="1" xr3:uid="{F1B5B218-C7FA-445C-A7D7-E6A65ED4E39F}" name="Kurzbeleg" dataDxfId="495"/>
    <tableColumn id="2" xr3:uid="{29C7BE6B-37B2-4D47-B228-582D61C3E47E}" name="Büros und Textilbetriebe gesamt" dataDxfId="494"/>
    <tableColumn id="3" xr3:uid="{F95513B4-AD8A-4E18-A0F0-2DFB394AF57E}" name="Handel gesamt" dataDxfId="493"/>
    <tableColumn id="4" xr3:uid="{A7F91D90-9D1C-4441-8931-3859FAB1D6BB}" name="Gastgewerbe gesamt" dataDxfId="492"/>
    <tableColumn id="5" xr3:uid="{0B866FE8-6249-4F6E-81BB-23246EC4636E}" name="Landwirtschaft gesamt" dataDxfId="491"/>
    <tableColumn id="6" xr3:uid="{740059D1-FABB-4D91-B245-219AA54DF59B}" name="Gartenbau gesamt" dataDxfId="490"/>
    <tableColumn id="7" xr3:uid="{FDC7EB1C-3F77-453D-BB94-38C4538DAF76}" name="Bäder gesamt" dataDxfId="489"/>
    <tableColumn id="8" xr3:uid="{7B7FB26C-AE72-4331-A10C-7A5F772C5B37}" name="Wäschereien gesamt" dataDxfId="488"/>
    <tableColumn id="9" xr3:uid="{73B011C0-4D93-44B3-9A56-0F50AC3444A4}" name="produzierendes Gewerbe gesamt" dataDxfId="487"/>
    <tableColumn id="10" xr3:uid="{B16F16E2-45E7-4009-9209-632E3E0D0107}" name="Baugewerbe gesamt" dataDxfId="486"/>
    <tableColumn id="11" xr3:uid="{DDBCAAAC-8779-4628-8928-BCEA3B2DF8B9}" name="Prozesskälte" dataDxfId="485"/>
    <tableColumn id="12" xr3:uid="{5A2D5951-A674-46D2-9C30-E2FB30179074}" name="Kühlhäuser" dataDxfId="484"/>
    <tableColumn id="13" xr3:uid="{DB8451D2-D612-4B33-BF6F-6C6200A45F44}" name="Kühlung im _x000a_Lebensmitteleinzelhandel" dataDxfId="483"/>
    <tableColumn id="14" xr3:uid="{0F2C2F77-AF47-402B-A8C3-4D3E7FC676A8}" name="Kühlung im Gastronomiebereich _x000a_(Hotels, Restaurants)" dataDxfId="482"/>
    <tableColumn id="16" xr3:uid="{B180584E-F93A-4B45-A78C-168F33A9811E}" name="Klimakälte" dataDxfId="481"/>
    <tableColumn id="18" xr3:uid="{84865AB8-0C4D-438B-98EE-0A5C26DD4BD3}" name="Warmwasserbereitstellung" dataDxfId="480"/>
    <tableColumn id="19" xr3:uid="{24916D74-51FC-434B-94ED-FED33D0BD957}" name="Raumwärme _x000a_(elektrische Raumheizung)" dataDxfId="479"/>
    <tableColumn id="20" xr3:uid="{194C10EA-C7C7-4279-96EA-5B9A2511C934}" name="Nachtspeicherheizungen" dataDxfId="478"/>
    <tableColumn id="21" xr3:uid="{3F41CFA9-497E-4AD4-9556-C319D1787207}" name="Wärmepumpen" dataDxfId="477"/>
    <tableColumn id="22" xr3:uid="{CEF3864B-0930-46AA-8C73-C7936DAB756B}" name="Hybrid-Wärmeerzeugungssysteme" dataDxfId="476"/>
    <tableColumn id="23" xr3:uid="{8D372C8E-8119-4F63-A107-1A499E17487E}" name="Pumpenanwendungen" dataDxfId="475"/>
    <tableColumn id="24" xr3:uid="{937239E5-942B-4E41-BDEC-13D0E4F8FF2C}" name="Pumpenanwendungen in der _x000a_Wasserversorgung" dataDxfId="474"/>
    <tableColumn id="25" xr3:uid="{69B14514-E7C0-4194-B952-FFAE11B0A0C2}" name="Beleuchtung im Gartenbau" dataDxfId="473"/>
    <tableColumn id="26" xr3:uid="{BBAAE4FD-49DB-4921-8A33-140E0509DDE1}" name="Belüftung" dataDxfId="472"/>
    <tableColumn id="27" xr3:uid="{4CFF34B5-80F6-4B8F-B613-9F8E9221826A}" name="Abwasserbehandlung" dataDxfId="471"/>
    <tableColumn id="15" xr3:uid="{02BD82EE-0E94-49F0-8C8B-4DFC7449B5C1}" name="Notstromaggregate, Back-Up-_x000a_Server und Mobilfunkstationen" dataDxfId="470"/>
    <tableColumn id="29" xr3:uid="{D6C342DA-D40D-459A-8D6C-B79AF0B98E3C}" name="Prozesswärme" dataDxfId="469"/>
    <tableColumn id="30" xr3:uid="{81311F27-FEC1-4887-AF73-D821E3CDC1C9}" name="Druckluft" dataDxfId="468"/>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CFBF4B6-2662-48E6-97D0-F7B8B647D49C}" name="Tabelle17" displayName="Tabelle17" ref="A1:AB27" totalsRowShown="0" headerRowDxfId="467" dataDxfId="465" headerRowBorderDxfId="466" tableBorderDxfId="464">
  <autoFilter ref="A1:AB27" xr:uid="{05AF98B3-F721-4D50-ABCC-4B04656278BA}"/>
  <tableColumns count="28">
    <tableColumn id="1" xr3:uid="{8D8875B7-958B-4AAB-A59E-A744BB2BD7B4}" name="Kurzbeleg" dataDxfId="463"/>
    <tableColumn id="2" xr3:uid="{A08A8298-265B-4C3B-ABA4-059EC9EEED58}" name="Büros und Textilbetriebe gesamt" dataDxfId="462">
      <calculatedColumnFormula>VLOOKUP(Tabelle1722[[#This Row],[Büros und Textilbetriebe gesamt]],Dropdown!$A$2:$D$4,4,FALSE)</calculatedColumnFormula>
    </tableColumn>
    <tableColumn id="3" xr3:uid="{99F5D8C2-ECA4-4745-B66F-34946BE11AFC}" name="Handel gesamt" dataDxfId="461"/>
    <tableColumn id="4" xr3:uid="{FEAC25A5-C78F-44BE-808C-D345014DDF84}" name="Gastgewerbe gesamt" dataDxfId="460"/>
    <tableColumn id="5" xr3:uid="{C3CD48AA-0ECC-40DA-A14C-E93DC94BB098}" name="Landwirtschaft gesamt" dataDxfId="459"/>
    <tableColumn id="6" xr3:uid="{F019E30D-54BB-4D39-95C7-E7E0E9AAF5FA}" name="Gartenbau gesamt" dataDxfId="458"/>
    <tableColumn id="7" xr3:uid="{CADCC95D-78AE-4BAC-98E1-D646BB14B348}" name="Bäder gesamt" dataDxfId="457"/>
    <tableColumn id="8" xr3:uid="{5ADDAB03-B281-48DC-B323-F7212B351F55}" name="Wäschereien gesamt" dataDxfId="456"/>
    <tableColumn id="9" xr3:uid="{04F28BD5-CF01-478B-B437-B34E9664C8A8}" name="produzierendes Gewerbe gesamt" dataDxfId="455"/>
    <tableColumn id="10" xr3:uid="{19DE1E77-CB0E-4B42-B3A8-C7E265C35C27}" name="Baugewerbe gesamt" dataDxfId="454"/>
    <tableColumn id="11" xr3:uid="{B0EF21C7-C0AE-4D30-AA24-B596B91A6F9B}" name="Prozesskälte" dataDxfId="453"/>
    <tableColumn id="12" xr3:uid="{D281EE4E-5147-441E-8441-6624BE23E6A7}" name="Kühlhäuser" dataDxfId="452"/>
    <tableColumn id="13" xr3:uid="{BF1ACCF4-C417-454F-A00B-9EB77804BA26}" name="Kühlung im Lebensmitteleinzelhandel" dataDxfId="451"/>
    <tableColumn id="14" xr3:uid="{DBF91CB5-9EAA-4FF5-B0B6-EFE391306913}" name="Kühlung im Gastronomiebereich (Hotels, Restaurants)" dataDxfId="450"/>
    <tableColumn id="16" xr3:uid="{88BDF8F1-2BE4-4BEB-95C8-388BD408748C}" name="Klimakälte" dataDxfId="449"/>
    <tableColumn id="18" xr3:uid="{CED9BF9F-86C7-4E15-9758-C735258B385B}" name="Warmwasserbereitstellung" dataDxfId="448"/>
    <tableColumn id="19" xr3:uid="{83C29A72-7253-40A3-A55A-10ED98B46C44}" name="Raumwärme (elektrische Raumheizung)" dataDxfId="447"/>
    <tableColumn id="20" xr3:uid="{62BAAA64-F2DE-42F1-99E5-5716E4596350}" name="Nachtspeicherheizungen" dataDxfId="446"/>
    <tableColumn id="21" xr3:uid="{35BB23CF-7A4D-4B9C-B595-E304189CA08A}" name="Wärmepumpen" dataDxfId="445"/>
    <tableColumn id="22" xr3:uid="{2BC76470-F6D9-48E8-A034-B9B551EEF427}" name="Hybrid-Wärmeerzeugungssysteme" dataDxfId="444"/>
    <tableColumn id="23" xr3:uid="{D8DC08B5-F6A1-4C66-B902-C17E7D28DAF0}" name="Pumpenanwendungen" dataDxfId="443"/>
    <tableColumn id="24" xr3:uid="{B5CF1FB9-A826-46E8-8A68-8C9800B5E335}" name="Pumpenanwendungen in der Wasserversorgung" dataDxfId="442"/>
    <tableColumn id="25" xr3:uid="{CB33D002-7840-44B4-98D0-6C0AF0C077D5}" name="Beleuchtung im Gartenbau" dataDxfId="441"/>
    <tableColumn id="26" xr3:uid="{127D2DC1-1124-4AB2-B983-7D900767BD59}" name="Belüftung" dataDxfId="440"/>
    <tableColumn id="27" xr3:uid="{8B1474FE-4B91-4B4A-AC74-FE7877ACC70E}" name="Abwasserbehandlung" dataDxfId="439"/>
    <tableColumn id="15" xr3:uid="{E590CD43-45B9-4F27-84C1-5D0175D4524A}" name="Notstromaggregate, Back-Up-Server und Mobilfunkstationen" dataDxfId="438"/>
    <tableColumn id="29" xr3:uid="{DC338882-7A52-429D-94D8-44F6E771E84F}" name="Prozesswärme" dataDxfId="437"/>
    <tableColumn id="30" xr3:uid="{3D9F373E-79EB-49EF-92CA-4AE9251F354B}" name="Druckluft" dataDxfId="436"/>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1B850537-7A7C-4959-B856-10DF1B8D267F}" name="Tabelle1725" displayName="Tabelle1725" ref="A1:AB27" totalsRowShown="0" headerRowDxfId="435" dataDxfId="433" headerRowBorderDxfId="434" tableBorderDxfId="432">
  <autoFilter ref="A1:AB27" xr:uid="{05AF98B3-F721-4D50-ABCC-4B04656278BA}"/>
  <tableColumns count="28">
    <tableColumn id="1" xr3:uid="{8FD1CE68-1EF1-427B-A370-4A4F65762C4A}" name="Nummer der Publikation(en)" dataDxfId="431"/>
    <tableColumn id="2" xr3:uid="{A799FB22-3A03-4B9D-BE03-29331395A92C}" name="Büros und Textilbetriebe gesamt" dataDxfId="430">
      <calculatedColumnFormula>VLOOKUP(Tabelle1722[[#This Row],[Büros und Textilbetriebe gesamt]],Dropdown!$A$2:$D$4,4,FALSE)</calculatedColumnFormula>
    </tableColumn>
    <tableColumn id="3" xr3:uid="{2ECA9815-60F9-450B-AB39-C91FA1665B40}" name="Handel gesamt" dataDxfId="429"/>
    <tableColumn id="4" xr3:uid="{CD1D4BD7-163A-4C6A-82E9-B085D7B42BA3}" name="Gastgewerbe gesamt" dataDxfId="428"/>
    <tableColumn id="5" xr3:uid="{ECDC24B3-259D-42C2-B33F-4541C35F9EF7}" name="Landwirtschaft gesamt" dataDxfId="427"/>
    <tableColumn id="6" xr3:uid="{FB650FC0-5ECB-4087-9013-D18204E553C4}" name="Gartenbau gesamt" dataDxfId="426"/>
    <tableColumn id="7" xr3:uid="{2BBC2002-F5A6-4647-BAC5-EC01086B6C0C}" name="Bäder gesamt" dataDxfId="425"/>
    <tableColumn id="8" xr3:uid="{F9EFFEFC-35C2-46DC-A1A9-D5BA1A89A055}" name="Wäschereien gesamt" dataDxfId="424"/>
    <tableColumn id="9" xr3:uid="{A89D12AA-2C25-4291-890F-FBEACE9FD6D9}" name="produzierendes Gewerbe gesamt" dataDxfId="423"/>
    <tableColumn id="10" xr3:uid="{0704F19E-53F6-4F8E-AC3D-176AB279E69C}" name="Baugewerbe gesamt" dataDxfId="422"/>
    <tableColumn id="11" xr3:uid="{57EC90B2-4C6D-4E30-990B-60B499F54A21}" name="Prozesskälte" dataDxfId="421"/>
    <tableColumn id="12" xr3:uid="{215AC569-1073-438C-B0AA-EF9759E4D85B}" name="Kühlhäuser" dataDxfId="420"/>
    <tableColumn id="13" xr3:uid="{676491CE-E15B-423E-ABB8-FD0C380329A8}" name="Kühlung im Lebensmitteleinzelhandel" dataDxfId="419"/>
    <tableColumn id="14" xr3:uid="{14CB3F03-8AC9-4DF6-BAFF-D35087A8281D}" name="Kühlung im Gastronomiebereich (Hotels, Restaurants)" dataDxfId="418"/>
    <tableColumn id="16" xr3:uid="{8B91C49E-C005-4833-B596-ED3015914F8F}" name="Klimakälte" dataDxfId="417"/>
    <tableColumn id="18" xr3:uid="{61590EA2-B0DC-4157-8B25-247CF4D66401}" name="Warmwasserbereitstellung" dataDxfId="416"/>
    <tableColumn id="19" xr3:uid="{C2E74C94-80E0-4BE5-A3CB-EF07EBC88FDC}" name="Raumwärme (elektrische Raumheizung)" dataDxfId="415"/>
    <tableColumn id="20" xr3:uid="{3E0F659A-AA85-4889-A861-ADC3155035DB}" name="Nachtspeicherheizungen" dataDxfId="414"/>
    <tableColumn id="21" xr3:uid="{6854F755-EDB0-477A-B1F4-4820FE8F9C64}" name="Wärmepumpen" dataDxfId="413"/>
    <tableColumn id="22" xr3:uid="{4C699BA3-70D7-410E-A050-B5A872F6CC74}" name="Hybrid-Wärmeerzeugungssysteme" dataDxfId="412"/>
    <tableColumn id="23" xr3:uid="{FDF88D0A-FFA1-46D3-B111-7E700E5D84A8}" name="Pumpenanwendungen" dataDxfId="411"/>
    <tableColumn id="24" xr3:uid="{8AD0AA25-4530-4761-8E62-41D1B0EBA56B}" name="Pumpenanwendungen in der Wasserversorgung" dataDxfId="410"/>
    <tableColumn id="25" xr3:uid="{FBE48B16-BB44-4C79-9245-C961755333D2}" name="Beleuchtung im Gartenbau" dataDxfId="409"/>
    <tableColumn id="26" xr3:uid="{D3CEE409-2E95-4165-83EB-4D2F8B745918}" name="Belüftung" dataDxfId="408"/>
    <tableColumn id="27" xr3:uid="{BA9FE74A-948E-418F-AAAE-70978D961F0A}" name="Abwasserbehandlung" dataDxfId="407"/>
    <tableColumn id="15" xr3:uid="{FBC56A7D-0587-407E-8324-4979B574D937}" name="Notstromaggregate, Back-Up-Server und Mobilfunkstationen" dataDxfId="406"/>
    <tableColumn id="29" xr3:uid="{DCE7EC35-5F0C-455A-8022-2DDCD660CBDF}" name="Prozesswärme" dataDxfId="405"/>
    <tableColumn id="30" xr3:uid="{0B8BB8CC-38DF-46B9-914E-42B17BF2AAA0}" name="Druckluft" dataDxfId="404"/>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7D9F9E5-8557-482D-A567-9EE67D2FEA57}" name="Tabelle1823" displayName="Tabelle1823" ref="A1:T27" totalsRowShown="0" headerRowDxfId="403" dataDxfId="401" headerRowBorderDxfId="402" tableBorderDxfId="400">
  <autoFilter ref="A1:T27" xr:uid="{B646E2A0-16ED-491B-A7BA-F900EEE90740}"/>
  <tableColumns count="20">
    <tableColumn id="1" xr3:uid="{DBEF9DD3-8CE8-48BC-83A2-A0E2EEB7FF06}" name="Kurzbeleg" dataDxfId="399"/>
    <tableColumn id="2" xr3:uid="{40BD514F-F379-4912-BA94-6C0F3681D7D4}" name="Kühlschränke" dataDxfId="398"/>
    <tableColumn id="3" xr3:uid="{D8D7566E-A1F1-42B6-8851-5E979CB5CA8C}" name="Geschirrspüler" dataDxfId="397"/>
    <tableColumn id="4" xr3:uid="{4A9DA0EF-FC73-41D1-87CD-960897A14F7D}" name="Wäschetrockner" dataDxfId="396"/>
    <tableColumn id="5" xr3:uid="{5C3A27E1-3EB7-4192-A63F-4EAE077CD779}" name="Waschmaschinen" dataDxfId="395"/>
    <tableColumn id="6" xr3:uid="{2549357B-25F9-4ED4-B6FB-3D768E9F69EA}" name="Raumklimatisierung (Klimaanlagen)" dataDxfId="394"/>
    <tableColumn id="7" xr3:uid="{7D661DAD-4E94-4FDF-A35D-63BB4AA57812}" name="Wärmepumpen" dataDxfId="393"/>
    <tableColumn id="8" xr3:uid="{FAC687D6-3067-4262-BDD8-0C2DAC5054BF}" name="Hybrid-Wärmepumpen" dataDxfId="392"/>
    <tableColumn id="9" xr3:uid="{2C43D7E6-DCC3-41D6-B1CF-AFAE0E503E67}" name="Nachtspeicherheizungen" dataDxfId="391"/>
    <tableColumn id="10" xr3:uid="{8ED04F67-930A-48C9-A2EA-403A1FA2AD30}" name="Kühl- und Gefrierkombinationen" dataDxfId="390"/>
    <tableColumn id="11" xr3:uid="{57E67BA9-E936-4DF2-BC2C-6E64DBFD81F1}" name="elektrische Warmwassererzeugung" dataDxfId="389"/>
    <tableColumn id="12" xr3:uid="{1CBDFA65-68E4-456E-BB8D-E620F14FAAC2}" name="Gefrierschränke und -truhen" dataDxfId="388"/>
    <tableColumn id="13" xr3:uid="{286089A3-4B1D-40A1-8540-E67EFAB70331}" name="Elektrische Öfen" dataDxfId="387"/>
    <tableColumn id="14" xr3:uid="{EBB74204-9AC8-43DF-A851-D96C79046124}" name="elektrische Direktheizungen" dataDxfId="386"/>
    <tableColumn id="15" xr3:uid="{352A9748-659D-4068-9E27-7749EBB43A7C}" name="Heizungsumwälzpumpen" dataDxfId="385"/>
    <tableColumn id="16" xr3:uid="{E1A68B54-863A-4A50-A5A6-D498573A9017}" name="Elektromobilität" dataDxfId="384"/>
    <tableColumn id="17" xr3:uid="{A1AC4C95-A469-48DB-BFAC-D36DA640C29E}" name="Smart Meter / intelligente Geräte" dataDxfId="383"/>
    <tableColumn id="18" xr3:uid="{8E962C50-781D-4C42-B0AB-67AAC0A3D740}" name="Photovoltaik" dataDxfId="382"/>
    <tableColumn id="19" xr3:uid="{4F238899-73F2-46F1-885C-DAB485E9D7C4}" name="Mini-/Mikro-BHKWs" dataDxfId="381"/>
    <tableColumn id="20" xr3:uid="{AFBCB111-3F6A-4522-86E6-FD8D50575B9A}" name="Lastflexibilisierung mittels _x000a_Batteriespeichern" dataDxfId="380"/>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42F6A6-713C-438A-86E6-99F3D7BCB6B3}" name="Ueberblick4" displayName="Ueberblick4" ref="A2:P28" totalsRowCount="1" headerRowDxfId="1139" dataDxfId="1138" tableBorderDxfId="1137">
  <autoFilter ref="A2:P27" xr:uid="{E48EAA67-8810-45E2-ADB4-BD9F158F350C}"/>
  <sortState ref="A3:P27">
    <sortCondition ref="A2:A27"/>
  </sortState>
  <tableColumns count="16">
    <tableColumn id="1" xr3:uid="{B031046E-A31A-4671-94FE-2E31F93BB0BB}" name="Kurzbeleg" totalsRowLabel="Häufigkeit" dataDxfId="1136" totalsRowDxfId="1135"/>
    <tableColumn id="3" xr3:uid="{A444CCAC-A0F8-435E-84F6-65930ED560A9}" name="Bottom-Up-Abschätzung" totalsRowFunction="custom" dataDxfId="1134" totalsRowDxfId="1133">
      <calculatedColumnFormula>Ueberblick[[#This Row],[Bottom-Up-Abschätzung]]</calculatedColumnFormula>
      <totalsRowFormula>SUM(B3:B27)</totalsRowFormula>
    </tableColumn>
    <tableColumn id="2" xr3:uid="{56B864F0-95BA-4CCB-A501-E3D5B9F974B8}" name="Top-Down-Abschätzung" totalsRowFunction="custom" dataDxfId="1132" totalsRowDxfId="1131">
      <calculatedColumnFormula>Ueberblick[[#This Row],[Top-Down-Abschätzung]]</calculatedColumnFormula>
      <totalsRowFormula>SUM(C3:C27)</totalsRowFormula>
    </tableColumn>
    <tableColumn id="6" xr3:uid="{08C6C910-FCAE-4D58-88F2-D0BCE05F75FB}" name="Kosten-Potenzial-Kurven" totalsRowFunction="custom" dataDxfId="1130" totalsRowDxfId="1129">
      <calculatedColumnFormula>Ueberblick[[#This Row],[Bestimmung Kosten-Potenzial-Kurven]]</calculatedColumnFormula>
      <totalsRowFormula>SUM(D3:D27)</totalsRowFormula>
    </tableColumn>
    <tableColumn id="52" xr3:uid="{A7927F2E-7243-4F10-8B0A-B2D40C0BE4DA}" name="Analyse mehrerer Szenarien" totalsRowFunction="custom" dataDxfId="1128" totalsRowDxfId="1127">
      <calculatedColumnFormula>Ueberblick[[#This Row],[Analyse mehrerer Szenarien / Entwicklungen]]</calculatedColumnFormula>
      <totalsRowFormula>SUM(E3:E27)</totalsRowFormula>
    </tableColumn>
    <tableColumn id="51" xr3:uid="{6499EC26-26E8-4D3B-A856-039CD03AE715}" name="Untersuchung von Fehlermaßen" totalsRowFunction="custom" dataDxfId="1126" totalsRowDxfId="1125">
      <calculatedColumnFormula>Ueberblick[[#This Row],[Untersuchung von Fehlermaßen]]</calculatedColumnFormula>
      <totalsRowFormula>SUM(F3:F27)</totalsRowFormula>
    </tableColumn>
    <tableColumn id="44" xr3:uid="{42896804-085B-4B7B-B8D0-97EAC51FE556}" name="Quellen Methodik" dataDxfId="1124" totalsRowDxfId="1123">
      <calculatedColumnFormula>Ueberblick[[#This Row],[Quellen Methodik]]</calculatedColumnFormula>
    </tableColumn>
    <tableColumn id="10" xr3:uid="{5C5A6A34-7D58-4D26-BAFD-D29648271253}" name="Literaturanalyse" totalsRowFunction="custom" dataDxfId="1122" totalsRowDxfId="1121">
      <calculatedColumnFormula>Ueberblick[[#This Row],[Literaturanalyse]]</calculatedColumnFormula>
      <totalsRowFormula>SUM(H3:H27)</totalsRowFormula>
    </tableColumn>
    <tableColumn id="11" xr3:uid="{9B028F62-FBDB-44E7-920C-2D30A43DBD32}" name="Auswertung von Statistiken" totalsRowFunction="custom" dataDxfId="1120" totalsRowDxfId="1119">
      <calculatedColumnFormula>Ueberblick[[#This Row],[Auswertung von Statistiken]]</calculatedColumnFormula>
      <totalsRowFormula>SUM(I3:I27)</totalsRowFormula>
    </tableColumn>
    <tableColumn id="12" xr3:uid="{3CB45CCD-A829-4411-9563-A08C8A64B66A}" name="Expertenabschätzungen" totalsRowFunction="custom" dataDxfId="1118" totalsRowDxfId="1117">
      <calculatedColumnFormula>Ueberblick[[#This Row],[Expertenabschätzungen]]</calculatedColumnFormula>
      <totalsRowFormula>SUM(J3:J27)</totalsRowFormula>
    </tableColumn>
    <tableColumn id="13" xr3:uid="{50EF631F-A5FC-4723-BBD4-B8BA0150437E}" name="(Online-)Umfragen" totalsRowFunction="custom" dataDxfId="1116" totalsRowDxfId="1115">
      <calculatedColumnFormula>Ueberblick[[#This Row],[(Online-)Umfragen]]</calculatedColumnFormula>
      <totalsRowFormula>SUM(K3:K27)</totalsRowFormula>
    </tableColumn>
    <tableColumn id="14" xr3:uid="{6ECE1F6F-01F2-482B-A4BA-86530D4E5B7F}" name="Unternehmensbefragungen" totalsRowFunction="custom" dataDxfId="1114" totalsRowDxfId="1113">
      <calculatedColumnFormula>Ueberblick[[#This Row],[Unternehmensbefragungen / Interviews]]</calculatedColumnFormula>
      <totalsRowFormula>SUM(L3:L27)</totalsRowFormula>
    </tableColumn>
    <tableColumn id="49" xr3:uid="{63CD15A1-D04F-4108-AE5B-80FEC332891C}" name="eigene Annahmen" totalsRowFunction="custom" dataDxfId="1112" totalsRowDxfId="1111">
      <calculatedColumnFormula>Ueberblick[[#This Row],[eigene Annahmen]]</calculatedColumnFormula>
      <totalsRowFormula>SUM(M3:M27)</totalsRowFormula>
    </tableColumn>
    <tableColumn id="15" xr3:uid="{07E88EBA-CDC9-4453-8354-6632E4BAAF37}" name="eigene Erhebungen" totalsRowFunction="custom" dataDxfId="1110" totalsRowDxfId="1109">
      <calculatedColumnFormula>Ueberblick[[#This Row],[eigene Erhebungen]]</calculatedColumnFormula>
      <totalsRowFormula>SUM(N3:N27)</totalsRowFormula>
    </tableColumn>
    <tableColumn id="47" xr3:uid="{52A909CD-675D-4CCC-9776-ADA069E9A867}" name="Bezugsjahr(e) der Datenbasis" dataDxfId="1108" totalsRowDxfId="1107"/>
    <tableColumn id="16" xr3:uid="{DE6CEB48-692F-44F0-8EF7-B68BB005B867}" name="Quellen Daten" dataDxfId="1106" totalsRowDxfId="1105"/>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6665DA2-2316-435E-B792-8C413772E988}" name="Tabelle18" displayName="Tabelle18" ref="A1:T27" totalsRowShown="0" headerRowDxfId="379" dataDxfId="377" headerRowBorderDxfId="378" tableBorderDxfId="376">
  <autoFilter ref="A1:T27" xr:uid="{B646E2A0-16ED-491B-A7BA-F900EEE90740}"/>
  <tableColumns count="20">
    <tableColumn id="1" xr3:uid="{1C567F08-51DE-45C7-B935-CAF989B1E018}" name="Kurzbeleg" dataDxfId="375"/>
    <tableColumn id="2" xr3:uid="{2FE5242D-FA5D-4991-85AA-3FA067D70ECD}" name="Kühlschränke" dataDxfId="374">
      <calculatedColumnFormula>VLOOKUP(Tabelle1823[[#This Row],[Kühlschränke]],Dropdown!$A$2:$D$4,4,FALSE)</calculatedColumnFormula>
    </tableColumn>
    <tableColumn id="3" xr3:uid="{0951F671-6F2B-4478-9DCD-8FF06F8C6694}" name="Geschirrspüler" dataDxfId="373"/>
    <tableColumn id="4" xr3:uid="{4554221B-DDE3-4224-B364-4746E4CB14BE}" name="Wäschetrockner" dataDxfId="372"/>
    <tableColumn id="5" xr3:uid="{6297A904-7FEB-4A62-A4B4-1F6E15CA432F}" name="Waschmaschinen" dataDxfId="371"/>
    <tableColumn id="6" xr3:uid="{7CC36789-0B30-43A5-9FB4-58BE526108DA}" name="Raumklimatisierung (Klimaanlagen)" dataDxfId="370"/>
    <tableColumn id="7" xr3:uid="{99E3DB38-D8B7-4E56-AC5B-5EA068F1CF15}" name="Wärmepumpen" dataDxfId="369"/>
    <tableColumn id="8" xr3:uid="{DC0F6F75-E6A4-43D5-97A0-E939D6E17883}" name="Hybrid-Wärmepumpen" dataDxfId="368"/>
    <tableColumn id="9" xr3:uid="{2F35EE20-664D-482F-8F7F-C6CBEB8B9A15}" name="Nachtspeicherheizungen" dataDxfId="367"/>
    <tableColumn id="10" xr3:uid="{82BFE578-DE00-4DB4-91B3-5010A4CEE796}" name="Kühl- und Gefrierkombinationen" dataDxfId="366"/>
    <tableColumn id="11" xr3:uid="{8694BA96-3450-438A-A420-8E350B26C4A0}" name="elektrische Warmwassererzeugung" dataDxfId="365"/>
    <tableColumn id="12" xr3:uid="{B9B7357D-96F9-4F21-9E12-EE4D29D06562}" name="Gefrierschränke und -truhen" dataDxfId="364"/>
    <tableColumn id="13" xr3:uid="{4CC97DFB-7A63-45B1-AA22-EFF2DAC946A5}" name="Elektrische Öfen" dataDxfId="363"/>
    <tableColumn id="14" xr3:uid="{D2063B4E-C0F4-441D-95F9-76B7EF82AF7B}" name="elektrische Direktheizungen" dataDxfId="362"/>
    <tableColumn id="15" xr3:uid="{6DC9FD55-554B-4F3B-83DD-BFBECD016DBF}" name="Heizungsumwälzpumpen" dataDxfId="361"/>
    <tableColumn id="16" xr3:uid="{4CBB20D5-31A9-40A2-8834-9D845C99CF2A}" name="Elektromobilität" dataDxfId="360"/>
    <tableColumn id="17" xr3:uid="{A17BE2AD-296E-442D-B3A8-87628506A037}" name="Smart Meter / intelligente Geräte" dataDxfId="359"/>
    <tableColumn id="18" xr3:uid="{8CCAB9A7-5069-4E07-95C1-1BD5D4E1BF7D}" name="Photovoltaik" dataDxfId="358"/>
    <tableColumn id="19" xr3:uid="{C40D8D5B-5397-4C3D-9C59-E17D150D3ED5}" name="Mini-/Mikro-BHKWs" dataDxfId="357"/>
    <tableColumn id="20" xr3:uid="{5DDCEE83-4333-43FD-AA58-4CCD4838C00F}" name="Lastflexibilisierung mittels Batteriespeichern" dataDxfId="356"/>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C6C838E-5659-489C-B63A-D2336E8AF105}" name="Tabelle1826" displayName="Tabelle1826" ref="A1:T27" totalsRowShown="0" headerRowDxfId="355" dataDxfId="353" headerRowBorderDxfId="354" tableBorderDxfId="352">
  <autoFilter ref="A1:T27" xr:uid="{B646E2A0-16ED-491B-A7BA-F900EEE90740}"/>
  <tableColumns count="20">
    <tableColumn id="1" xr3:uid="{2BCD0070-97E9-4AE8-9362-A8F26A7E88A4}" name="Nummer der Publikation(en)" dataDxfId="351"/>
    <tableColumn id="2" xr3:uid="{06146044-6B7E-46FC-8545-FDDE1E312685}" name="Kühlschränke" dataDxfId="350">
      <calculatedColumnFormula>VLOOKUP(Tabelle1823[[#This Row],[Kühlschränke]],Dropdown!$A$2:$D$4,4,FALSE)</calculatedColumnFormula>
    </tableColumn>
    <tableColumn id="3" xr3:uid="{7C3AB336-C8BF-49CD-B260-E168A82E6258}" name="Geschirrspüler" dataDxfId="349"/>
    <tableColumn id="4" xr3:uid="{E0AA3858-B11D-4FED-B6E5-4D5DF40DE301}" name="Wäschetrockner" dataDxfId="348"/>
    <tableColumn id="5" xr3:uid="{906365D4-7C91-4378-972C-C59E2CE9158E}" name="Waschmaschinen" dataDxfId="347"/>
    <tableColumn id="6" xr3:uid="{3854CE6F-5C9F-4A9E-BF56-1FB7E42274C0}" name="Raumklimatisierung (Klimaanlagen)" dataDxfId="346"/>
    <tableColumn id="7" xr3:uid="{3B2FEB35-501F-4080-9A6D-B4B530C041BB}" name="Wärmepumpen" dataDxfId="345"/>
    <tableColumn id="8" xr3:uid="{96404763-9AC9-41B0-AFC7-4C45A0E4EDA1}" name="Hybrid-Wärmepumpen" dataDxfId="344"/>
    <tableColumn id="9" xr3:uid="{3915F2AB-FAF6-406C-AE72-02DC5C104B56}" name="Nachtspeicherheizungen" dataDxfId="343"/>
    <tableColumn id="10" xr3:uid="{34B6A009-627B-4B85-9670-E19D43F3AF23}" name="Kühl- und Gefrierkombinationen" dataDxfId="342"/>
    <tableColumn id="11" xr3:uid="{F113B557-DE34-4E30-8E89-CCE0538F09BB}" name="elektrische Warmwassererzeugung" dataDxfId="341"/>
    <tableColumn id="12" xr3:uid="{8D316622-4985-4DEB-AB30-4813575C2EFC}" name="Gefrierschränke und -truhen" dataDxfId="340"/>
    <tableColumn id="13" xr3:uid="{B5C697F9-30E3-4883-89CD-CF7E91E08D92}" name="Elektrische Öfen" dataDxfId="339"/>
    <tableColumn id="14" xr3:uid="{95AA8ED6-9E2E-4FF8-B17C-859A3F828FB5}" name="elektrische Direktheizungen" dataDxfId="338"/>
    <tableColumn id="15" xr3:uid="{24A3187D-90FE-4C51-A1B6-4ABD3E59A6B4}" name="Heizungsumwälzpumpen" dataDxfId="337"/>
    <tableColumn id="16" xr3:uid="{85325939-0FA7-4BEC-A382-C06DD1A17D21}" name="Elektromobilität" dataDxfId="336"/>
    <tableColumn id="17" xr3:uid="{94FD0FA3-3621-4C51-992B-7A1A57D1BA82}" name="Smart Meter / intelligente Geräte" dataDxfId="335"/>
    <tableColumn id="18" xr3:uid="{3FD09C29-3384-4278-B074-5A2818D2CDFC}" name="Photovoltaik" dataDxfId="334"/>
    <tableColumn id="19" xr3:uid="{A15128FC-25FF-4ADC-84C6-186B0C76B3C5}" name="Mini-/Mikro-BHKWs" dataDxfId="333"/>
    <tableColumn id="20" xr3:uid="{635B2EB4-C685-44D3-9179-0D9960A68865}" name="Lastflexibilisierung mit Batteriespeichern" dataDxfId="332"/>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90E4546E-3297-4CB6-96F0-C27BF5451584}" name="Tabelle39" displayName="Tabelle39" ref="A2:K28" totalsRowShown="0" headerRowDxfId="331" dataDxfId="329" headerRowBorderDxfId="330" tableBorderDxfId="328">
  <autoFilter ref="A2:K28" xr:uid="{0241E770-D63C-4859-83DC-64669ED8FFD3}"/>
  <tableColumns count="11">
    <tableColumn id="1" xr3:uid="{84745543-9402-4055-B819-6DDEDF43128A}" name="Kurzbeleg" dataDxfId="327" totalsRowDxfId="326"/>
    <tableColumn id="2" xr3:uid="{A98B89CA-6F2C-4679-B768-D4184C166AA5}" name="Potenzialtrennung" dataDxfId="325" totalsRowDxfId="324"/>
    <tableColumn id="11" xr3:uid="{47F1213E-50F4-46B5-852B-F412065564A5}" name="Potenzial positiv" dataDxfId="323" totalsRowDxfId="322"/>
    <tableColumn id="10" xr3:uid="{47A53D7F-3122-41BC-A1D9-0DB74BE01B99}" name="Potenzial negativ" dataDxfId="321" totalsRowDxfId="320"/>
    <tableColumn id="3" xr3:uid="{5C462586-AD86-4EA9-AB01-195491285FE3}" name="Schaltdauer" dataDxfId="319" totalsRowDxfId="318"/>
    <tableColumn id="4" xr3:uid="{D8BEB2CB-97D8-4CB7-869F-73B08A9AAD19}" name="Verschiebedauer" dataDxfId="317" totalsRowDxfId="316"/>
    <tableColumn id="5" xr3:uid="{72A19C4E-F4E7-47B3-A4EA-C1851EE29913}" name="Schalthäufigkeit" dataDxfId="315" totalsRowDxfId="314"/>
    <tableColumn id="6" xr3:uid="{C37AE1A0-F6A5-478F-9946-F6200A1DC074}" name="Investitionsausgaben" dataDxfId="313" totalsRowDxfId="312"/>
    <tableColumn id="7" xr3:uid="{28357F89-FF39-4ABD-A4D2-3BD75761F26B}" name="fixe Kosten" dataDxfId="311" totalsRowDxfId="310"/>
    <tableColumn id="8" xr3:uid="{93709E4A-E8DE-400E-A64A-EF8BA2DD7868}" name="variable Kosten" dataDxfId="309" totalsRowDxfId="308"/>
    <tableColumn id="9" xr3:uid="{BAB644F7-9C82-4F78-9458-729932A16EEA}" name="Quellen Flexibilitätsparameter" dataDxfId="307" totalsRowDxfId="306"/>
  </tableColumns>
  <tableStyleInfo name="TableStyleLight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8B7D3299-A9FD-43C0-85EA-12738ABDD847}" name="Tabelle3941" displayName="Tabelle3941" ref="A2:K28" totalsRowShown="0" headerRowDxfId="305" dataDxfId="303" headerRowBorderDxfId="304" tableBorderDxfId="302">
  <autoFilter ref="A2:K28" xr:uid="{0241E770-D63C-4859-83DC-64669ED8FFD3}"/>
  <tableColumns count="11">
    <tableColumn id="1" xr3:uid="{3A9A6221-4E36-4565-9063-C0B7B29A7555}" name="Kurzbeleg" dataDxfId="301"/>
    <tableColumn id="2" xr3:uid="{4105C517-4678-43C4-A105-45D3C8DDE9A0}" name="Potenzialtrennung" dataDxfId="300"/>
    <tableColumn id="12" xr3:uid="{E53C93AC-1AF6-45E4-BDDB-5F0081C94687}" name="Potenzial pos" dataDxfId="299">
      <calculatedColumnFormula>Ueberblick[[#This Row],[Potenzial pos]]</calculatedColumnFormula>
    </tableColumn>
    <tableColumn id="11" xr3:uid="{8D5B7C2F-5FD5-4E1C-991C-3926A9C819E6}" name="Potenzial neg" dataDxfId="298">
      <calculatedColumnFormula>Ueberblick[[#This Row],[Potenzial neg]]</calculatedColumnFormula>
    </tableColumn>
    <tableColumn id="3" xr3:uid="{BC3F3EAB-5287-4323-8DE0-0E5CF057C024}" name="Schaltdauer" dataDxfId="297"/>
    <tableColumn id="4" xr3:uid="{4AC6DB65-739B-46B2-82FC-8F96DC590D88}" name="Verschiebedauer" dataDxfId="296"/>
    <tableColumn id="5" xr3:uid="{478DD909-BEB3-45C0-910E-700C5701C9D8}" name="Schalthäufigkeit" dataDxfId="295"/>
    <tableColumn id="6" xr3:uid="{7517964D-E50A-4933-AA54-F39ECCC71EBD}" name="Investitionsausgaben" dataDxfId="294"/>
    <tableColumn id="7" xr3:uid="{11C17DEA-BFBC-437E-AE2A-26C611A97CAB}" name="fixe Kosten" dataDxfId="293"/>
    <tableColumn id="8" xr3:uid="{794ACD9A-F37B-4299-8CDB-FCE9A47FA994}" name="variable Kosten" dataDxfId="292"/>
    <tableColumn id="9" xr3:uid="{24B15E4D-36C1-4A8F-B4CD-7A7472269761}" name="Quellen Flexibilitätsparameter" dataDxfId="291"/>
  </tableColumns>
  <tableStyleInfo name="TableStyleLight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E79A7A15-DEB8-43CD-A5F0-08137B6CA8AB}" name="Tabelle394144" displayName="Tabelle394144" ref="A2:K29" totalsRowShown="0" headerRowDxfId="290" dataDxfId="288" headerRowBorderDxfId="289" tableBorderDxfId="287">
  <autoFilter ref="A2:K29" xr:uid="{0241E770-D63C-4859-83DC-64669ED8FFD3}"/>
  <tableColumns count="11">
    <tableColumn id="1" xr3:uid="{F0C1F5FF-C5C3-4D2E-A7DA-51035C3CA536}" name="Kurzbeleg" dataDxfId="286"/>
    <tableColumn id="2" xr3:uid="{FE252518-6C55-426D-802C-9124DE60044D}" name="Potenzialtrennung" dataDxfId="285"/>
    <tableColumn id="12" xr3:uid="{09F661C1-CE59-4317-AE84-6C67083A364F}" name="Potenzial pos" dataDxfId="284">
      <calculatedColumnFormula>Ueberblick[[#This Row],[Potenzial pos]]</calculatedColumnFormula>
    </tableColumn>
    <tableColumn id="11" xr3:uid="{82730B63-40FC-4717-BB1B-8FE69FD2FD7C}" name="Potenzial neg" dataDxfId="283">
      <calculatedColumnFormula>Ueberblick[[#This Row],[Potenzial neg]]</calculatedColumnFormula>
    </tableColumn>
    <tableColumn id="3" xr3:uid="{D742D5DA-7A6E-4D4A-8712-DF1D32EDCC44}" name="Schaltdauer" dataDxfId="282"/>
    <tableColumn id="4" xr3:uid="{D1D546E9-B40B-4969-ACBB-34653BDCB0C9}" name="Verschiebedauer" dataDxfId="281"/>
    <tableColumn id="5" xr3:uid="{F6F1A96D-F2D1-42EA-A5CB-C88FC63DD074}" name="Schalthäufigkeit" dataDxfId="280"/>
    <tableColumn id="6" xr3:uid="{198260D0-6CF6-421D-8A55-496841A59695}" name="Investitionsausgaben" dataDxfId="279"/>
    <tableColumn id="7" xr3:uid="{5561DBAA-1E58-4803-9EA6-285530BA635C}" name="fixe Kosten" dataDxfId="278"/>
    <tableColumn id="8" xr3:uid="{949570BA-D2B7-45E6-87C9-F95413E3ADC0}" name="variable Kosten" dataDxfId="277"/>
    <tableColumn id="9" xr3:uid="{67675266-BA32-411F-9F59-1C876AA7F31C}" name="Quellen Flexibilitätsparameter" dataDxfId="276"/>
  </tableColumns>
  <tableStyleInfo name="TableStyleLight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5B77E729-4FAF-42F3-86F9-45B58424F9F4}" name="Ueberblick451" displayName="Ueberblick451" ref="A2:H28" totalsRowCount="1" headerRowDxfId="275" dataDxfId="274" tableBorderDxfId="273">
  <autoFilter ref="A2:H27" xr:uid="{49F8BF2C-CE14-40D1-8B84-292063AC69C7}"/>
  <sortState ref="A3:H27">
    <sortCondition ref="A2:A27"/>
  </sortState>
  <tableColumns count="8">
    <tableColumn id="1" xr3:uid="{7E48FF77-CC15-4159-A517-2DBAC54ACAC5}" name="Kurzbeleg" totalsRowLabel="Häufigkeit" dataDxfId="272" totalsRowDxfId="271"/>
    <tableColumn id="3" xr3:uid="{5B4C06F8-6793-4CE4-BCB9-7D44362E6A26}" name="Benutzungsstunden / _x000a_Auslastung" totalsRowFunction="custom" dataDxfId="270" totalsRowDxfId="269">
      <calculatedColumnFormula>Ueberblick[[#This Row],[Benutzungsstunden / Auslastungsgrade angegeben?]]</calculatedColumnFormula>
      <totalsRowFormula>SUM(B3:B27)</totalsRowFormula>
    </tableColumn>
    <tableColumn id="2" xr3:uid="{01D01223-25F4-423E-AE24-037D88A24BB4}" name="Saisonalität" totalsRowFunction="custom" dataDxfId="268" totalsRowDxfId="267">
      <calculatedColumnFormula>Ueberblick[[#This Row],[Saisonalität berücksichtigt?]]</calculatedColumnFormula>
      <totalsRowFormula>SUM(C3:C27)</totalsRowFormula>
    </tableColumn>
    <tableColumn id="6" xr3:uid="{894FAF0A-56A3-487F-A32C-BA1FD60069C0}" name="Tageszeit" totalsRowFunction="custom" dataDxfId="266" totalsRowDxfId="265">
      <calculatedColumnFormula>Ueberblick[[#This Row],[Tageszeitliche Abhängigkeit berücksichtigt?]]</calculatedColumnFormula>
      <totalsRowFormula>SUM(D3:D27)</totalsRowFormula>
    </tableColumn>
    <tableColumn id="52" xr3:uid="{11507195-3802-48F8-AC5E-DC85DC0BBC5D}" name="Temperaturabhängigkeit" totalsRowFunction="custom" dataDxfId="264" totalsRowDxfId="263">
      <calculatedColumnFormula>Ueberblick[[#This Row],[Temperaturabhängigkeit berücksichtigt?]]</calculatedColumnFormula>
      <totalsRowFormula>SUM(E3:E27)</totalsRowFormula>
    </tableColumn>
    <tableColumn id="51" xr3:uid="{04F9C558-9F32-44DA-9EAD-8D9DA7DC34E2}" name="Lastgänge / Lastblöcke" totalsRowFunction="custom" dataDxfId="262" totalsRowDxfId="261">
      <calculatedColumnFormula>Ueberblick[[#This Row],[Lastgänge / Lastblöcke berücksichtigt?]]</calculatedColumnFormula>
      <totalsRowFormula>SUM(F3:F27)</totalsRowFormula>
    </tableColumn>
    <tableColumn id="44" xr3:uid="{E970EAB3-2F36-4D58-9FDE-91067772C628}" name="Zeitverfügbarkeitszeitreihen" totalsRowFunction="custom" dataDxfId="260" totalsRowDxfId="259">
      <calculatedColumnFormula>Ueberblick[[#This Row],[Zeitverfügbarkeitszeitreihen generiert?]]</calculatedColumnFormula>
      <totalsRowFormula>SUM(G3:G27)</totalsRowFormula>
    </tableColumn>
    <tableColumn id="10" xr3:uid="{04C129B8-94EB-43CC-9F02-D4C19F41084A}" name="Quellen Zeitverfügbarkeit" totalsRowFunction="custom" dataDxfId="258" totalsRowDxfId="257">
      <calculatedColumnFormula>Ueberblick[[#This Row],[Quellen Zeitverfügbarkeit]]</calculatedColumnFormula>
      <totalsRowFormula>SUM(H3:H27)</totalsRowFormula>
    </tableColumn>
  </tableColumns>
  <tableStyleInfo name="TableStyleLight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AEF4473F-B448-4CE5-A37D-B3E7AD46DD0D}" name="Ueberblick45156" displayName="Ueberblick45156" ref="A2:H28" totalsRowCount="1" headerRowDxfId="256" dataDxfId="255" tableBorderDxfId="254">
  <autoFilter ref="A2:H27" xr:uid="{49F8BF2C-CE14-40D1-8B84-292063AC69C7}"/>
  <sortState ref="A3:H27">
    <sortCondition ref="A2:A27"/>
  </sortState>
  <tableColumns count="8">
    <tableColumn id="1" xr3:uid="{990E48C0-04E9-4910-B3CE-48860798A1A6}" name="Kurzbeleg" totalsRowLabel="Häufigkeit" dataDxfId="253" totalsRowDxfId="252"/>
    <tableColumn id="3" xr3:uid="{87124D3E-A618-4CD6-A5BA-BB2B90EFC54B}" name="Benutzungsstunden / Auslastung" totalsRowFunction="custom" dataDxfId="251" totalsRowDxfId="250">
      <calculatedColumnFormula>VLOOKUP(Ueberblick451[[#This Row],[Benutzungsstunden / 
Auslastung]],Dropdown!$A$2:$D$4,4,FALSE)</calculatedColumnFormula>
      <totalsRowFormula>Ueberblick451[[#Totals],[Benutzungsstunden / 
Auslastung]]</totalsRowFormula>
    </tableColumn>
    <tableColumn id="2" xr3:uid="{E7124C73-D536-4197-97BA-6DF9116E0D53}" name="Saisonalität" totalsRowFunction="custom" dataDxfId="249" totalsRowDxfId="248">
      <calculatedColumnFormula>VLOOKUP(Ueberblick451[[#This Row],[Saisonalität]],Dropdown!$A$2:$D$4,4,FALSE)</calculatedColumnFormula>
      <totalsRowFormula>Ueberblick451[[#Totals],[Saisonalität]]</totalsRowFormula>
    </tableColumn>
    <tableColumn id="6" xr3:uid="{70FF0CE7-DFB2-4DE0-B363-5396AAF8A71E}" name="Tageszeit" totalsRowFunction="custom" dataDxfId="247" totalsRowDxfId="246">
      <calculatedColumnFormula>VLOOKUP(Ueberblick451[[#This Row],[Tageszeit]],Dropdown!$A$2:$D$4,4,FALSE)</calculatedColumnFormula>
      <totalsRowFormula>Ueberblick451[[#Totals],[Tageszeit]]</totalsRowFormula>
    </tableColumn>
    <tableColumn id="52" xr3:uid="{D1AC7E0D-C58A-406D-8C5D-792ABA360A6C}" name="Temperaturabhängigkeit" totalsRowFunction="custom" dataDxfId="245" totalsRowDxfId="244">
      <calculatedColumnFormula>VLOOKUP(Ueberblick451[[#This Row],[Temperaturabhängigkeit]],Dropdown!$A$2:$D$4,4,FALSE)</calculatedColumnFormula>
      <totalsRowFormula>Ueberblick451[[#Totals],[Temperaturabhängigkeit]]</totalsRowFormula>
    </tableColumn>
    <tableColumn id="51" xr3:uid="{AD6E176A-7FB8-4023-8640-3EE6FF1D9C8B}" name="Lastgänge / Lastblöcke" totalsRowFunction="custom" dataDxfId="243" totalsRowDxfId="242">
      <calculatedColumnFormula>VLOOKUP(Ueberblick451[[#This Row],[Lastgänge / Lastblöcke]],Dropdown!$A$2:$D$4,4,FALSE)</calculatedColumnFormula>
      <totalsRowFormula>Ueberblick451[[#Totals],[Lastgänge / Lastblöcke]]</totalsRowFormula>
    </tableColumn>
    <tableColumn id="44" xr3:uid="{BBE81541-C80B-4964-BAD3-D76FAA43F7A5}" name="Zeitverfügbarkeitszeitreihen" totalsRowFunction="custom" dataDxfId="241" totalsRowDxfId="240">
      <calculatedColumnFormula>VLOOKUP(Ueberblick451[[#This Row],[Zeitverfügbarkeitszeitreihen]],Dropdown!$A$2:$D$4,4,FALSE)</calculatedColumnFormula>
      <totalsRowFormula>Ueberblick451[[#Totals],[Zeitverfügbarkeitszeitreihen]]</totalsRowFormula>
    </tableColumn>
    <tableColumn id="10" xr3:uid="{14DA5D34-A615-43E3-ADA4-A6C79B457B9F}" name="Quellen Zeitverfügbarkeit" totalsRowFunction="custom" dataDxfId="239" totalsRowDxfId="238">
      <calculatedColumnFormula>Ueberblick[[#This Row],[Quellen Zeitverfügbarkeit]]</calculatedColumnFormula>
      <totalsRowFormula>SUM(H3:H27)</totalsRowFormula>
    </tableColumn>
  </tableColumns>
  <tableStyleInfo name="TableStyleLight1"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BEAB7E48-51C3-49FE-B81D-74E2E9EE40A6}" name="Ueberblick4515657" displayName="Ueberblick4515657" ref="A2:H28" totalsRowCount="1" headerRowDxfId="237" dataDxfId="236" tableBorderDxfId="235">
  <autoFilter ref="A2:H27" xr:uid="{49F8BF2C-CE14-40D1-8B84-292063AC69C7}"/>
  <sortState ref="A3:H27">
    <sortCondition ref="A2:A27"/>
  </sortState>
  <tableColumns count="8">
    <tableColumn id="1" xr3:uid="{968C1835-B660-4E45-9C4E-DBA45E52FA49}" name="Kurzbeleg" totalsRowLabel="Häufigkeit" dataDxfId="234" totalsRowDxfId="233"/>
    <tableColumn id="3" xr3:uid="{B2990A5F-C2AE-42D3-B9E5-8472A566EB47}" name="Benutzungsstunden / Auslastung" totalsRowFunction="custom" dataDxfId="232" totalsRowDxfId="231">
      <calculatedColumnFormula>Ueberblick45156[[#This Row],[Benutzungsstunden / Auslastung]]</calculatedColumnFormula>
      <totalsRowFormula>Ueberblick45156[[#Totals],[Benutzungsstunden / Auslastung]]</totalsRowFormula>
    </tableColumn>
    <tableColumn id="2" xr3:uid="{DD927BDF-D471-4E9C-AB9A-834F7AC4ECFE}" name="Saisonalität" totalsRowFunction="custom" dataDxfId="230" totalsRowDxfId="229">
      <calculatedColumnFormula>Ueberblick45156[[#This Row],[Saisonalität]]</calculatedColumnFormula>
      <totalsRowFormula>Ueberblick45156[[#Totals],[Saisonalität]]</totalsRowFormula>
    </tableColumn>
    <tableColumn id="6" xr3:uid="{05D8CB8A-5BD9-404B-A8E9-5A600937A296}" name="Tageszeit" totalsRowFunction="custom" dataDxfId="228" totalsRowDxfId="227">
      <calculatedColumnFormula>Ueberblick45156[[#This Row],[Tageszeit]]</calculatedColumnFormula>
      <totalsRowFormula>Ueberblick45156[[#Totals],[Tageszeit]]</totalsRowFormula>
    </tableColumn>
    <tableColumn id="52" xr3:uid="{80B1E95F-65B2-4E81-9D5A-3F7C70A0D036}" name="Temperaturabhängigkeit" totalsRowFunction="custom" dataDxfId="226" totalsRowDxfId="225">
      <calculatedColumnFormula>Ueberblick45156[[#This Row],[Temperaturabhängigkeit]]</calculatedColumnFormula>
      <totalsRowFormula>Ueberblick45156[[#Totals],[Temperaturabhängigkeit]]</totalsRowFormula>
    </tableColumn>
    <tableColumn id="51" xr3:uid="{9AB3E493-F4D5-4E61-B7D1-7AEDB3A7F6ED}" name="Lastgänge / Lastblöcke" totalsRowFunction="custom" dataDxfId="224" totalsRowDxfId="223">
      <calculatedColumnFormula>Ueberblick45156[[#This Row],[Lastgänge / Lastblöcke]]</calculatedColumnFormula>
      <totalsRowFormula>Ueberblick45156[[#Totals],[Lastgänge / Lastblöcke]]</totalsRowFormula>
    </tableColumn>
    <tableColumn id="44" xr3:uid="{24C7ACCA-C2D5-4B93-9F99-F1EAAAFAC98D}" name="Zeitverfügbarkeitszeitreihen" totalsRowFunction="custom" dataDxfId="222" totalsRowDxfId="221">
      <calculatedColumnFormula>Ueberblick45156[[#This Row],[Zeitverfügbarkeitszeitreihen]]</calculatedColumnFormula>
      <totalsRowFormula>Ueberblick45156[[#Totals],[Saisonalität]]</totalsRowFormula>
    </tableColumn>
    <tableColumn id="10" xr3:uid="{3C7D6AF8-81B8-42B4-A987-645B7C379A9A}" name="Quellen Zeitverfügbarkeit" totalsRowFunction="custom" dataDxfId="220" totalsRowDxfId="219">
      <calculatedColumnFormula>Ueberblick[[#This Row],[Quellen Zeitverfügbarkeit]]</calculatedColumnFormula>
      <totalsRowFormula>Ueberblick45156[[#Totals],[Tageszeit]]</totalsRowFormula>
    </tableColumn>
  </tableColumns>
  <tableStyleInfo name="TableStyleLight1"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41DEB07-FA92-426C-8726-98C88EDDBC5A}" name="Tabelle32" displayName="Tabelle32" ref="A2:G28" totalsRowShown="0" headerRowDxfId="218" dataDxfId="216" headerRowBorderDxfId="217" tableBorderDxfId="215" totalsRowBorderDxfId="214">
  <autoFilter ref="A2:G28" xr:uid="{38CBE066-074E-4DAA-9763-78BC569F67BB}"/>
  <tableColumns count="7">
    <tableColumn id="1" xr3:uid="{921EA572-4E33-46FE-8237-E70F0CD5B825}" name="Kurzbeleg" dataDxfId="213"/>
    <tableColumn id="2" xr3:uid="{24A5E19C-6D40-4722-B748-F2A31084BC3B}" name="theoretisch" dataDxfId="212"/>
    <tableColumn id="3" xr3:uid="{EEC8A46D-F0BB-4B12-9F32-2D6A42536283}" name="technisch" dataDxfId="211"/>
    <tableColumn id="4" xr3:uid="{8CBB0782-80FD-475A-AFCB-A79D022DE934}" name="soziotechnisch" dataDxfId="210"/>
    <tableColumn id="5" xr3:uid="{E92B7704-F107-4FD8-8B74-A8BFF50A636C}" name="ökonomisch" dataDxfId="209"/>
    <tableColumn id="6" xr3:uid="{98390297-3629-4975-AD5A-99045E04613C}" name="sozial" dataDxfId="208"/>
    <tableColumn id="7" xr3:uid="{E1455D20-86DD-416E-A2BC-5D838A8EA2DC}" name="realisiert" dataDxfId="207"/>
  </tableColumns>
  <tableStyleInfo name="TableStyleLight1"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BE91CCF-D06E-44F3-A8FC-5270ED7ED272}" name="Tabelle3238" displayName="Tabelle3238" ref="A2:G28" totalsRowShown="0" headerRowDxfId="206" dataDxfId="204" headerRowBorderDxfId="205" tableBorderDxfId="203" totalsRowBorderDxfId="202">
  <autoFilter ref="A2:G28" xr:uid="{8F5EF1D7-1193-4CDC-A3D2-F861EB251E98}"/>
  <tableColumns count="7">
    <tableColumn id="1" xr3:uid="{605525C9-FA6C-4005-85C7-A5106D5B5C22}" name="Kurzbeleg" dataDxfId="201"/>
    <tableColumn id="2" xr3:uid="{A17EBDC0-9581-4A1C-9055-4037C81DFEDF}" name="theoretisch" dataDxfId="200"/>
    <tableColumn id="3" xr3:uid="{48117A09-A867-49F2-ADD6-1815F4F3FC2F}" name="technisch" dataDxfId="199"/>
    <tableColumn id="4" xr3:uid="{0931FD43-7885-4667-8EF3-0E3916A31B86}" name="soziotechnisch" dataDxfId="198"/>
    <tableColumn id="5" xr3:uid="{471E7BD9-1876-4FE1-B86C-025FDE3D4192}" name="ökonomisch" dataDxfId="197"/>
    <tableColumn id="6" xr3:uid="{27C0D3AE-89AA-4764-A843-38129CDF7A46}" name="sozial" dataDxfId="196"/>
    <tableColumn id="7" xr3:uid="{14B98435-7165-4CDE-8982-FB835093ADFE}" name="realisiert" dataDxfId="195"/>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64347A-FF46-43BA-9B25-324CE9E2D08B}" name="Ueberblick46" displayName="Ueberblick46" ref="A2:P28" totalsRowCount="1" headerRowDxfId="1104" dataDxfId="1103" tableBorderDxfId="1102">
  <autoFilter ref="A2:P27" xr:uid="{E48EAA67-8810-45E2-ADB4-BD9F158F350C}"/>
  <sortState ref="A3:P27">
    <sortCondition ref="A2:A27"/>
  </sortState>
  <tableColumns count="16">
    <tableColumn id="1" xr3:uid="{19994B13-0C9C-4CB2-8DFD-7A86C88A1F91}" name="Publikation(en)" totalsRowLabel="Häufigkeit" dataDxfId="1101" totalsRowDxfId="1100"/>
    <tableColumn id="3" xr3:uid="{D627E9DC-C675-43C6-BE43-F66486FCF465}" name="Bottom-Up-Abschätzung" totalsRowFunction="custom" dataDxfId="1099" totalsRowDxfId="1098">
      <calculatedColumnFormula>VLOOKUP(Ueberblick4[[#This Row],[Bottom-Up-Abschätzung]],Dropdown!$A$2:$D$4,4,FALSE)</calculatedColumnFormula>
      <totalsRowFormula>Ueberblick4[[#Totals],[Bottom-Up-Abschätzung]]</totalsRowFormula>
    </tableColumn>
    <tableColumn id="2" xr3:uid="{F52871C5-85A7-4A19-8883-0CFA0F44F195}" name="Top-Down-Abschätzung" totalsRowFunction="custom" dataDxfId="1097" totalsRowDxfId="1096">
      <calculatedColumnFormula>VLOOKUP(Ueberblick4[[#This Row],[Top-Down-Abschätzung]],Dropdown!$A$2:$D$4,4,FALSE)</calculatedColumnFormula>
      <totalsRowFormula>Ueberblick4[[#Totals],[Top-Down-Abschätzung]]</totalsRowFormula>
    </tableColumn>
    <tableColumn id="6" xr3:uid="{33F6E3A1-3D61-421F-AB07-9D54792F7D31}" name="Kosten-Potenzial-Kurven" totalsRowFunction="custom" dataDxfId="1095" totalsRowDxfId="1094">
      <calculatedColumnFormula>VLOOKUP(Ueberblick4[[#This Row],[Kosten-Potenzial-Kurven]],Dropdown!$A$2:$D$4,4,FALSE)</calculatedColumnFormula>
      <totalsRowFormula>Ueberblick4[[#Totals],[Kosten-Potenzial-Kurven]]</totalsRowFormula>
    </tableColumn>
    <tableColumn id="52" xr3:uid="{8613F759-749D-4E30-BC55-D38F2BD79966}" name="Analyse mehrerer Szenarien" totalsRowFunction="custom" dataDxfId="1093" totalsRowDxfId="1092">
      <calculatedColumnFormula>VLOOKUP(Ueberblick4[[#This Row],[Analyse mehrerer Szenarien]],Dropdown!$A$2:$D$4,4,FALSE)</calculatedColumnFormula>
      <totalsRowFormula>Ueberblick4[[#Totals],[Analyse mehrerer Szenarien]]</totalsRowFormula>
    </tableColumn>
    <tableColumn id="51" xr3:uid="{A18316FD-0628-49BF-B7C3-1911851AC7DC}" name="Untersuchung von Fehlermaßen" totalsRowFunction="custom" dataDxfId="1091" totalsRowDxfId="1090">
      <calculatedColumnFormula>VLOOKUP(Ueberblick4[[#This Row],[Untersuchung von Fehlermaßen]],Dropdown!$A$2:$D$4,4,FALSE)</calculatedColumnFormula>
      <totalsRowFormula>Ueberblick4[[#Totals],[Untersuchung von Fehlermaßen]]</totalsRowFormula>
    </tableColumn>
    <tableColumn id="44" xr3:uid="{08D94FEA-1420-4254-A5EE-ED9A08DFF495}" name="Quellen Methodik" dataDxfId="1089" totalsRowDxfId="1088">
      <calculatedColumnFormula>Ueberblick[[#This Row],[Quellen Methodik]]</calculatedColumnFormula>
    </tableColumn>
    <tableColumn id="10" xr3:uid="{6FE53AEE-08C6-4C60-8CA5-885A7A0DCBAC}" name="Literaturanalyse" totalsRowFunction="custom" dataDxfId="1087" totalsRowDxfId="1086">
      <calculatedColumnFormula>VLOOKUP(Ueberblick4[[#This Row],[Literaturanalyse]],Dropdown!$A$2:$D$4,4,FALSE)</calculatedColumnFormula>
      <totalsRowFormula>Ueberblick4[[#Totals],[Literaturanalyse]]</totalsRowFormula>
    </tableColumn>
    <tableColumn id="11" xr3:uid="{12942AFF-E6FB-4D29-B2F0-9EAD6161949A}" name="Auswertung von Statistiken" totalsRowFunction="custom" dataDxfId="1085" totalsRowDxfId="1084">
      <calculatedColumnFormula>VLOOKUP(Ueberblick4[[#This Row],[Auswertung von Statistiken]],Dropdown!$A$2:$D$4,4,FALSE)</calculatedColumnFormula>
      <totalsRowFormula>Ueberblick4[[#Totals],[Auswertung von Statistiken]]</totalsRowFormula>
    </tableColumn>
    <tableColumn id="12" xr3:uid="{7FFBD93C-F967-4316-B9CF-3095CD1331F0}" name="Expertenabschätzungen" totalsRowFunction="custom" dataDxfId="1083" totalsRowDxfId="1082">
      <calculatedColumnFormula>VLOOKUP(Ueberblick4[[#This Row],[Expertenabschätzungen]],Dropdown!$A$2:$D$4,4,FALSE)</calculatedColumnFormula>
      <totalsRowFormula>Ueberblick4[[#Totals],[Expertenabschätzungen]]</totalsRowFormula>
    </tableColumn>
    <tableColumn id="13" xr3:uid="{68CC6AD2-AE94-497E-B675-64F4F25EDAAA}" name="(Online-)Umfragen" totalsRowFunction="custom" dataDxfId="1081" totalsRowDxfId="1080">
      <calculatedColumnFormula>VLOOKUP(Ueberblick4[[#This Row],[(Online-)Umfragen]],Dropdown!$A$2:$D$4,4,FALSE)</calculatedColumnFormula>
      <totalsRowFormula>Ueberblick4[[#Totals],[(Online-)Umfragen]]</totalsRowFormula>
    </tableColumn>
    <tableColumn id="14" xr3:uid="{CBF6D6C6-096E-46D1-A1C0-2591E54C41B9}" name="Unternehmensbefragungen" totalsRowFunction="custom" dataDxfId="1079" totalsRowDxfId="1078">
      <calculatedColumnFormula>VLOOKUP(Ueberblick4[[#This Row],[Unternehmensbefragungen]],Dropdown!$A$2:$D$4,4,FALSE)</calculatedColumnFormula>
      <totalsRowFormula>Ueberblick4[[#Totals],[Unternehmensbefragungen]]</totalsRowFormula>
    </tableColumn>
    <tableColumn id="49" xr3:uid="{74064161-B35E-462D-9D4D-2D2AE59B84A5}" name="eigene Annahmen" totalsRowFunction="custom" dataDxfId="1077" totalsRowDxfId="1076">
      <calculatedColumnFormula>VLOOKUP(Ueberblick4[[#This Row],[eigene Annahmen]],Dropdown!$A$2:$D$4,4,FALSE)</calculatedColumnFormula>
      <totalsRowFormula>Ueberblick4[[#Totals],[eigene Annahmen]]</totalsRowFormula>
    </tableColumn>
    <tableColumn id="15" xr3:uid="{39E9049F-8205-427A-9E1E-0C8729ACF106}" name="eigene Erhebungen" totalsRowFunction="custom" dataDxfId="1075" totalsRowDxfId="1074">
      <calculatedColumnFormula>VLOOKUP(Ueberblick4[[#This Row],[eigene Erhebungen]],Dropdown!$A$2:$D$4,4,FALSE)</calculatedColumnFormula>
      <totalsRowFormula>Ueberblick4[[#Totals],[eigene Erhebungen]]</totalsRowFormula>
    </tableColumn>
    <tableColumn id="47" xr3:uid="{8FEA907E-ED18-4B1F-8EB0-1BD0F79AE90C}" name="Bezugsjahr(e) der Datenbasis" dataDxfId="1073" totalsRowDxfId="1072"/>
    <tableColumn id="16" xr3:uid="{3B5F867C-919F-4AD5-96FE-663F22F6C1AA}" name="Quellen Daten" dataDxfId="1071" totalsRowDxfId="1070"/>
  </tableColumns>
  <tableStyleInfo name="TableStyleLight1"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EF316A59-E9C2-4344-93AE-FC451229025A}" name="Tabelle323839" displayName="Tabelle323839" ref="A2:G29" totalsRowShown="0" headerRowDxfId="194" dataDxfId="192" headerRowBorderDxfId="193" tableBorderDxfId="191" totalsRowBorderDxfId="190">
  <autoFilter ref="A2:G29" xr:uid="{8F5EF1D7-1193-4CDC-A3D2-F861EB251E98}"/>
  <tableColumns count="7">
    <tableColumn id="1" xr3:uid="{A6813D45-428D-4DF1-AE6A-C995AD784C39}" name="Kurzbeleg" dataDxfId="189"/>
    <tableColumn id="2" xr3:uid="{4ABFD888-F8E7-4FC7-9862-895232652A34}" name="theoretisch" dataDxfId="188"/>
    <tableColumn id="3" xr3:uid="{21B7D8B7-73D4-44B6-B931-ADBB88726CC0}" name="technisch" dataDxfId="187"/>
    <tableColumn id="4" xr3:uid="{95E94BF0-F291-406E-8F40-34AD902C5727}" name="soziotechnisch" dataDxfId="186"/>
    <tableColumn id="5" xr3:uid="{ADE793D8-38F7-4B5C-83FB-7580112EB808}" name="ökonomisch" dataDxfId="185"/>
    <tableColumn id="6" xr3:uid="{1D5D2E99-FDB8-40AC-8FA2-E5101079EDD6}" name="sozial" dataDxfId="184"/>
    <tableColumn id="7" xr3:uid="{BAD1FAFD-25E2-46DD-8630-8C472629FBD2}" name="realisiert" dataDxfId="183"/>
  </tableColumns>
  <tableStyleInfo name="TableStyleLight1"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AB0624B-4458-4FF5-8FDC-025BF768D102}" name="Tabelle28" displayName="Tabelle28" ref="A2:F28" totalsRowShown="0" headerRowDxfId="182" dataDxfId="181" tableBorderDxfId="180">
  <autoFilter ref="A2:F28" xr:uid="{1D039F9F-F1A7-4153-B919-0882AEA54969}"/>
  <tableColumns count="6">
    <tableColumn id="1" xr3:uid="{4FF77DC7-76BA-4873-B359-80DD950EC368}" name="Kurzbeleg" dataDxfId="179"/>
    <tableColumn id="2" xr3:uid="{BB712044-258A-4766-9C05-483067C14546}" name="Status quo_x000a_(vor 2020)" dataDxfId="178"/>
    <tableColumn id="3" xr3:uid="{538D6517-9406-4025-B856-D4D2B2BF99EC}" name="2020" dataDxfId="177"/>
    <tableColumn id="4" xr3:uid="{CF286769-D2E6-49F6-A3CD-60302CCDF718}" name="2025" dataDxfId="176"/>
    <tableColumn id="5" xr3:uid="{DC0003E1-C595-4160-9334-6A426E75B16B}" name="2030" dataDxfId="175"/>
    <tableColumn id="6" xr3:uid="{D5973044-ADA3-4F29-860C-0C7E6E0649F8}" name="2050" dataDxfId="174"/>
  </tableColumns>
  <tableStyleInfo name="TableStyleLight1"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A10FA002-5094-4DCA-A595-BB047E2B0C24}" name="Tabelle2830" displayName="Tabelle2830" ref="A2:F28" totalsRowShown="0" headerRowDxfId="173" dataDxfId="172" tableBorderDxfId="171">
  <autoFilter ref="A2:F28" xr:uid="{1D039F9F-F1A7-4153-B919-0882AEA54969}"/>
  <tableColumns count="6">
    <tableColumn id="1" xr3:uid="{5517549D-5FE3-45ED-A9EC-3C3338EC4D9C}" name="Kurzbeleg" dataDxfId="170"/>
    <tableColumn id="2" xr3:uid="{0D6ED452-23BE-4ABC-AD46-89DC09BCBC41}" name="Status quo_x000a_(vor 2020)" dataDxfId="169"/>
    <tableColumn id="3" xr3:uid="{7B09E658-5F35-4779-B9E5-F4003F896F6C}" name="2020" dataDxfId="168"/>
    <tableColumn id="4" xr3:uid="{3FC8159A-A14E-4746-97D3-682ED396A899}" name="2025" dataDxfId="167"/>
    <tableColumn id="5" xr3:uid="{2D2631E6-CD60-4EA0-833D-67F150D5C8C7}" name="2030" dataDxfId="166"/>
    <tableColumn id="6" xr3:uid="{94C30EA7-A6D7-4903-8D96-D26B1412C2CD}" name="2050" dataDxfId="165"/>
  </tableColumns>
  <tableStyleInfo name="TableStyleLight1"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100BF4A2-48A9-48B1-80B5-4F6F5BE2F443}" name="Tabelle283031" displayName="Tabelle283031" ref="A2:F29" totalsRowShown="0" headerRowDxfId="164" dataDxfId="163" tableBorderDxfId="162">
  <autoFilter ref="A2:F29" xr:uid="{1D039F9F-F1A7-4153-B919-0882AEA54969}"/>
  <tableColumns count="6">
    <tableColumn id="1" xr3:uid="{FB24B087-1478-464C-B99E-9F7289E1F0E3}" name="Kurzbeleg" dataDxfId="161"/>
    <tableColumn id="2" xr3:uid="{A7437174-7B37-400E-801C-10D05FB8ABB1}" name="Status quo_x000a_(vor 2020)" dataDxfId="160"/>
    <tableColumn id="3" xr3:uid="{006C6A07-AC58-49F9-9F08-249F4DCC6970}" name="2020" dataDxfId="159"/>
    <tableColumn id="4" xr3:uid="{FC57B02D-D33B-4957-A118-548E86354964}" name="2025" dataDxfId="158"/>
    <tableColumn id="5" xr3:uid="{37A55CC0-960C-498A-A2EB-ECC2EAEAB2B2}" name="2030" dataDxfId="157"/>
    <tableColumn id="6" xr3:uid="{DC686681-E45A-4EC5-88A0-7F82EAE747B6}" name="2050" dataDxfId="156"/>
  </tableColumns>
  <tableStyleInfo name="TableStyleLight1"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2B267712-F9F8-4ED7-9461-BC055A8FB7BF}" name="Tabelle2834" displayName="Tabelle2834" ref="A2:R28" totalsRowShown="0" headerRowDxfId="155" dataDxfId="154" tableBorderDxfId="153">
  <autoFilter ref="A2:R28" xr:uid="{1D039F9F-F1A7-4153-B919-0882AEA54969}"/>
  <tableColumns count="18">
    <tableColumn id="1" xr3:uid="{68C6CF4D-E0D9-4A8A-A61F-90AFAF76E6D4}" name="Kurzbeleg" dataDxfId="152"/>
    <tableColumn id="18" xr3:uid="{F69B64B9-0D02-47CF-A7D2-1852E263C68D}" name="2005" dataDxfId="151"/>
    <tableColumn id="17" xr3:uid="{E4156D0D-1403-49CE-B172-6309AB7C888F}" name="2006" dataDxfId="150"/>
    <tableColumn id="16" xr3:uid="{AB62F21C-A977-495D-9BD9-84403E45B20E}" name="2007" dataDxfId="149"/>
    <tableColumn id="15" xr3:uid="{FBBA2E53-2EF7-4971-937B-9293FF9E1C30}" name="2008" dataDxfId="148"/>
    <tableColumn id="14" xr3:uid="{49FCB612-D6F0-4426-9317-5C6CE967186C}" name="2009" dataDxfId="147"/>
    <tableColumn id="2" xr3:uid="{D5600D07-732D-4436-AF2E-F0DE3D1E5F0C}" name="2010" dataDxfId="146"/>
    <tableColumn id="3" xr3:uid="{954EF445-E1EF-4CD8-9B78-4B23A1AA4B99}" name="2011" dataDxfId="145"/>
    <tableColumn id="4" xr3:uid="{73E01B5E-2C99-4FF9-9E89-B00C8AFA0032}" name="2012" dataDxfId="144"/>
    <tableColumn id="5" xr3:uid="{12D8700B-FAA0-4B6F-A3C3-1448C3CC19AC}" name="2013" dataDxfId="143"/>
    <tableColumn id="6" xr3:uid="{807B2755-9792-4AD0-ABC2-796B21D9CC22}" name="2014" dataDxfId="142"/>
    <tableColumn id="7" xr3:uid="{75FF941B-58C6-4B15-A567-D41D3BF7BE78}" name="2015" dataDxfId="141"/>
    <tableColumn id="8" xr3:uid="{7835AD46-B074-487E-A5F5-1915CA456478}" name="2016" dataDxfId="140"/>
    <tableColumn id="9" xr3:uid="{A0558CB5-46A2-4FFF-B3F1-F459876E1A23}" name="2017" dataDxfId="139"/>
    <tableColumn id="10" xr3:uid="{D148BF73-8C3B-468B-A62F-693BCA932E4B}" name="2018" dataDxfId="138"/>
    <tableColumn id="11" xr3:uid="{0676D823-A242-420F-9824-7F75EB094A92}" name="2019" dataDxfId="137"/>
    <tableColumn id="12" xr3:uid="{18A43F6F-D4AF-4E75-9CE6-D0BA4235CDBF}" name="2020" dataDxfId="136"/>
    <tableColumn id="13" xr3:uid="{AFE2C09C-DA15-4787-AD1C-4DCCEF2FE778}" name="nicht spezifiziert" dataDxfId="135"/>
  </tableColumns>
  <tableStyleInfo name="TableStyleLight1"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FBB323C4-5B4F-4496-996C-914B18B07ED8}" name="Tabelle283435" displayName="Tabelle283435" ref="A2:R28" totalsRowShown="0" headerRowDxfId="134" dataDxfId="133" tableBorderDxfId="132">
  <autoFilter ref="A2:R28" xr:uid="{1D039F9F-F1A7-4153-B919-0882AEA54969}"/>
  <tableColumns count="18">
    <tableColumn id="1" xr3:uid="{5C30FBCA-99DE-4533-B643-D4FB63CB6075}" name="Kurzbeleg" dataDxfId="131"/>
    <tableColumn id="18" xr3:uid="{F8415AD7-AA84-44F1-9AAD-19102B48A1CA}" name="2005" dataDxfId="130"/>
    <tableColumn id="17" xr3:uid="{5F9E2D15-55B1-4F17-8824-2A638D9D35FC}" name="2006" dataDxfId="129"/>
    <tableColumn id="16" xr3:uid="{C16564CB-94C7-4E38-AE1D-C3760FD47B75}" name="2007" dataDxfId="128"/>
    <tableColumn id="15" xr3:uid="{FD50150C-840D-40E2-A884-47BC6DC7E1FE}" name="2008" dataDxfId="127"/>
    <tableColumn id="14" xr3:uid="{34D7A32B-2963-4842-A69E-7A9A5EAA99E8}" name="2009" dataDxfId="126"/>
    <tableColumn id="2" xr3:uid="{10CB8AA7-B08D-4E7A-8232-B60FAEE13712}" name="2010" dataDxfId="125"/>
    <tableColumn id="3" xr3:uid="{1C2055C9-C631-4F9D-91AF-CF40669C8AC0}" name="2011" dataDxfId="124"/>
    <tableColumn id="4" xr3:uid="{C6C0D53F-71C9-4678-B06C-DA7EE8609F8F}" name="2012" dataDxfId="123"/>
    <tableColumn id="5" xr3:uid="{312CC546-D2D5-4F4D-9CA8-4905868E797A}" name="2013" dataDxfId="122"/>
    <tableColumn id="6" xr3:uid="{3B03EC94-0C89-4066-817D-BB0D06D3A741}" name="2014" dataDxfId="121"/>
    <tableColumn id="7" xr3:uid="{DEEEA4A4-92E7-46BA-84BC-4C1E6874D9F4}" name="2015" dataDxfId="120"/>
    <tableColumn id="8" xr3:uid="{141AC760-5B2F-44F3-9797-9E31074D53A8}" name="2016" dataDxfId="119"/>
    <tableColumn id="9" xr3:uid="{873EAB67-B794-4A9C-BE56-A3BE19C0CE64}" name="2017" dataDxfId="118"/>
    <tableColumn id="10" xr3:uid="{398ABCAD-79F6-4992-81A4-D1A0A7C621B6}" name="2018" dataDxfId="117"/>
    <tableColumn id="11" xr3:uid="{A8A05A4C-2897-422F-B5BA-8D55C2753154}" name="2019" dataDxfId="116"/>
    <tableColumn id="12" xr3:uid="{F90121B4-E30A-4DDB-9D14-3CDB8913B8AB}" name="2020" dataDxfId="115"/>
    <tableColumn id="13" xr3:uid="{FC433F8B-DBB2-46DA-A301-CCA5705B65BF}" name="nicht spezifiziert" dataDxfId="114"/>
  </tableColumns>
  <tableStyleInfo name="TableStyleLight1"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B5F21F77-5346-4418-B405-C86575C5FB17}" name="Tabelle28343537" displayName="Tabelle28343537" ref="A2:R28" totalsRowShown="0" headerRowDxfId="113" dataDxfId="112" tableBorderDxfId="111">
  <autoFilter ref="A2:R28" xr:uid="{1D039F9F-F1A7-4153-B919-0882AEA54969}"/>
  <tableColumns count="18">
    <tableColumn id="1" xr3:uid="{281A2E6F-DD69-41EC-A44B-9532DC0A3F68}" name="Kurzbeleg" dataDxfId="110"/>
    <tableColumn id="18" xr3:uid="{19A46967-578B-468C-A8A5-EA1FB3FAF02D}" name="2005" dataDxfId="109"/>
    <tableColumn id="17" xr3:uid="{C53E618F-9214-45A1-BEC9-9136E139F349}" name="2006" dataDxfId="108"/>
    <tableColumn id="16" xr3:uid="{E43501AC-F143-43F7-AA77-FF70DB38E9E9}" name="2007" dataDxfId="107"/>
    <tableColumn id="15" xr3:uid="{F1C314DE-3F03-4B5A-907E-7C14A5A0A75A}" name="2008" dataDxfId="106"/>
    <tableColumn id="14" xr3:uid="{245E1027-443A-43AC-B8C5-9190E9680E6D}" name="2009" dataDxfId="105"/>
    <tableColumn id="2" xr3:uid="{DE03BD76-670A-460B-AEE3-13F3D7FFB222}" name="2010" dataDxfId="104"/>
    <tableColumn id="3" xr3:uid="{31EF1BEF-A880-4EDD-998E-6E9CF5277504}" name="2011" dataDxfId="103"/>
    <tableColumn id="4" xr3:uid="{56324CC3-172C-4A2F-86D2-03A23EE4C5C7}" name="2012" dataDxfId="102"/>
    <tableColumn id="5" xr3:uid="{F87CC755-3CAE-4E55-9AD3-DE092FAAC49D}" name="2013" dataDxfId="101"/>
    <tableColumn id="6" xr3:uid="{EB306FAE-127B-4343-8441-A6850CA2FF7C}" name="2014" dataDxfId="100"/>
    <tableColumn id="7" xr3:uid="{CB0554B6-D617-40D8-923B-B06585B42F99}" name="2015" dataDxfId="99"/>
    <tableColumn id="8" xr3:uid="{D8A98CC6-16F3-4978-B731-EA9C377FB9FE}" name="2016" dataDxfId="98"/>
    <tableColumn id="9" xr3:uid="{F57C7239-80D5-4600-B163-5C7AE8DEB910}" name="2017" dataDxfId="97"/>
    <tableColumn id="10" xr3:uid="{1A674061-7B1D-4655-AD89-E6749236C582}" name="2018" dataDxfId="96"/>
    <tableColumn id="11" xr3:uid="{6DAD658B-F1E3-4060-B292-327D2207135C}" name="2019" dataDxfId="95"/>
    <tableColumn id="12" xr3:uid="{2397A00C-71C8-4DF1-AA6A-A07022D281E4}" name="2020" dataDxfId="94"/>
    <tableColumn id="13" xr3:uid="{97BD9EE9-3F02-4F4C-AAB1-A709A05C4AE5}" name="nicht spezifiziert" dataDxfId="93"/>
  </tableColumns>
  <tableStyleInfo name="TableStyleLight1"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rop" displayName="Drop" ref="A1:D6" totalsRowShown="0" dataDxfId="92">
  <autoFilter ref="A1:D6" xr:uid="{00000000-0009-0000-0100-000002000000}"/>
  <tableColumns count="4">
    <tableColumn id="1" xr3:uid="{00000000-0010-0000-0100-000001000000}" name="Entscheidungsfragen" dataDxfId="91"/>
    <tableColumn id="2" xr3:uid="{00000000-0010-0000-0100-000002000000}" name="Ansatz" dataDxfId="90"/>
    <tableColumn id="3" xr3:uid="{174376E4-3660-4E26-B104-514018CEECDA}" name="Fokus LMM" dataDxfId="89"/>
    <tableColumn id="4" xr3:uid="{FC884E3D-8676-4F10-A247-55A03AD27691}" name="Methode" dataDxfId="88"/>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58A9640-9C26-4FB3-8A47-E9D363124326}" name="Tabelle10" displayName="Tabelle10" ref="A1:B25" totalsRowShown="0" headerRowDxfId="1069" dataDxfId="1068">
  <autoFilter ref="A1:B25" xr:uid="{840155AC-FA62-4985-9AEB-C65C17F11D7E}"/>
  <sortState ref="A2:B25">
    <sortCondition ref="B1:B25"/>
  </sortState>
  <tableColumns count="2">
    <tableColumn id="1" xr3:uid="{04EF2B55-B3A5-4614-BA68-2E70A0BF489F}" name="Industrie - QST ursprünglich" dataDxfId="1067"/>
    <tableColumn id="2" xr3:uid="{004C0B32-BB48-4E34-83AA-6F1172AB91CA}" name="Hilfsspalte Kategorie" dataDxfId="1066"/>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8DCD5C1-D8D5-4486-9648-353A1154EA27}" name="Tabelle12" displayName="Tabelle12" ref="A1:D53" totalsRowShown="0" headerRowDxfId="1065" dataDxfId="1064">
  <autoFilter ref="A1:D53" xr:uid="{B5F1B62F-0C5D-422F-909E-EB72132E6074}"/>
  <tableColumns count="4">
    <tableColumn id="1" xr3:uid="{0386A85A-335F-4E65-9688-089FE2D99782}" name="GHD - QST / Branchen ursprünglich" dataDxfId="1063"/>
    <tableColumn id="2" xr3:uid="{4F3D923E-282D-42EF-AB65-68CC000B4C82}" name="Hilfsspalte Kategorie" dataDxfId="1062"/>
    <tableColumn id="3" xr3:uid="{B82E04B9-0C80-4333-9272-06548B14BC9F}" name="WZ-Klassifikation" dataDxfId="1061"/>
    <tableColumn id="4" xr3:uid="{D100D5BD-697E-4221-8B9A-BE6FC37D34E5}" name="WZ-Bezeichnung" dataDxfId="1060"/>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C6128E3-D166-4970-BD67-4D2284D9D020}" name="Tabelle13" displayName="Tabelle13" ref="A1:D39" totalsRowShown="0" headerRowDxfId="1059" dataDxfId="1058">
  <autoFilter ref="A1:D39" xr:uid="{5C073C4A-9352-497C-AD67-990F03A68918}"/>
  <tableColumns count="4">
    <tableColumn id="1" xr3:uid="{E9CF13E8-B64D-49B7-9BAB-380DA511440E}" name="HaHa - Geräte / Anwendungen ursprünglich" dataDxfId="1057"/>
    <tableColumn id="2" xr3:uid="{F13BD2D4-4496-4DC8-AD6C-E817A79567B8}" name="Hilfsspalte Kategorie" dataDxfId="1056"/>
    <tableColumn id="3" xr3:uid="{6D409BC2-9B5E-4B6A-8F10-B37B39F9900D}" name="WZ-Klassifikation" dataDxfId="1055"/>
    <tableColumn id="4" xr3:uid="{EA9F0D85-BB86-49D4-B0E7-B16D22A5B864}" name="WZ-Bezeichnung" dataDxfId="1054"/>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298794C0-D370-4FC1-9A3A-346445C6457E}" name="Ueberblick4632" displayName="Ueberblick4632" ref="A2:P28" totalsRowCount="1" headerRowDxfId="1053" dataDxfId="1052" tableBorderDxfId="1051">
  <autoFilter ref="A2:P27" xr:uid="{E48EAA67-8810-45E2-ADB4-BD9F158F350C}"/>
  <sortState ref="A3:P27">
    <sortCondition ref="A2:A27"/>
  </sortState>
  <tableColumns count="16">
    <tableColumn id="1" xr3:uid="{0E052151-DBA5-41E8-9E2A-AA4AA661A09E}" name="Publikation(en)" totalsRowLabel="Häufigkeit" dataDxfId="1050" totalsRowDxfId="1049"/>
    <tableColumn id="3" xr3:uid="{2FE879A9-2BBA-4375-AE2B-3E82D3093C27}" name="Bottom-Up-Abschätzung" totalsRowFunction="custom" dataDxfId="1048" totalsRowDxfId="1047">
      <calculatedColumnFormula>VLOOKUP(Ueberblick4[[#This Row],[Bottom-Up-Abschätzung]],Dropdown!$A$2:$D$4,4,FALSE)</calculatedColumnFormula>
      <totalsRowFormula>Ueberblick4[[#Totals],[Bottom-Up-Abschätzung]]</totalsRowFormula>
    </tableColumn>
    <tableColumn id="2" xr3:uid="{45F2B8AF-771D-4FCD-8A9B-0AD6B73A658F}" name="Top-Down-Abschätzung" totalsRowFunction="custom" dataDxfId="1046" totalsRowDxfId="1045">
      <calculatedColumnFormula>VLOOKUP(Ueberblick4[[#This Row],[Top-Down-Abschätzung]],Dropdown!$A$2:$D$4,4,FALSE)</calculatedColumnFormula>
      <totalsRowFormula>Ueberblick4[[#Totals],[Top-Down-Abschätzung]]</totalsRowFormula>
    </tableColumn>
    <tableColumn id="6" xr3:uid="{0BC50CD9-E1AD-465A-9C0D-79D87FE9E68F}" name="Kosten-Potenzial-Kurven" totalsRowFunction="custom" dataDxfId="1044" totalsRowDxfId="1043">
      <calculatedColumnFormula>VLOOKUP(Ueberblick4[[#This Row],[Kosten-Potenzial-Kurven]],Dropdown!$A$2:$D$4,4,FALSE)</calculatedColumnFormula>
      <totalsRowFormula>Ueberblick4[[#Totals],[Kosten-Potenzial-Kurven]]</totalsRowFormula>
    </tableColumn>
    <tableColumn id="52" xr3:uid="{07F9DB46-25DD-4C0C-983E-F152E5D904D2}" name="Analyse mehrerer Szenarien" totalsRowFunction="custom" dataDxfId="1042" totalsRowDxfId="1041">
      <calculatedColumnFormula>VLOOKUP(Ueberblick4[[#This Row],[Analyse mehrerer Szenarien]],Dropdown!$A$2:$D$4,4,FALSE)</calculatedColumnFormula>
      <totalsRowFormula>Ueberblick4[[#Totals],[Analyse mehrerer Szenarien]]</totalsRowFormula>
    </tableColumn>
    <tableColumn id="51" xr3:uid="{DF0A0B95-6D83-49C8-8927-8A8B111A618B}" name="Untersuchung von Fehlermaßen" totalsRowFunction="custom" dataDxfId="1040" totalsRowDxfId="1039">
      <calculatedColumnFormula>VLOOKUP(Ueberblick4[[#This Row],[Untersuchung von Fehlermaßen]],Dropdown!$A$2:$D$4,4,FALSE)</calculatedColumnFormula>
      <totalsRowFormula>Ueberblick4[[#Totals],[Untersuchung von Fehlermaßen]]</totalsRowFormula>
    </tableColumn>
    <tableColumn id="44" xr3:uid="{D43BC25C-6AE4-4552-AA4B-E7E30DA4033B}" name="Quellen Methodik" dataDxfId="1038" totalsRowDxfId="1037">
      <calculatedColumnFormula>Ueberblick[[#This Row],[Quellen Methodik]]</calculatedColumnFormula>
    </tableColumn>
    <tableColumn id="10" xr3:uid="{F17A1D0C-2845-46C4-BD0A-12A15B4CBF91}" name="Literaturanalyse" totalsRowFunction="custom" dataDxfId="1036" totalsRowDxfId="1035">
      <calculatedColumnFormula>VLOOKUP(Ueberblick4[[#This Row],[Literaturanalyse]],Dropdown!$A$2:$D$4,4,FALSE)</calculatedColumnFormula>
      <totalsRowFormula>Ueberblick4[[#Totals],[Literaturanalyse]]</totalsRowFormula>
    </tableColumn>
    <tableColumn id="11" xr3:uid="{4ACDAA62-23D0-4671-999B-1A0AAB80B6C5}" name="Auswertung von Statistiken" totalsRowFunction="custom" dataDxfId="1034" totalsRowDxfId="1033">
      <calculatedColumnFormula>VLOOKUP(Ueberblick4[[#This Row],[Auswertung von Statistiken]],Dropdown!$A$2:$D$4,4,FALSE)</calculatedColumnFormula>
      <totalsRowFormula>Ueberblick4[[#Totals],[Auswertung von Statistiken]]</totalsRowFormula>
    </tableColumn>
    <tableColumn id="12" xr3:uid="{DDED0A6C-9462-4847-AEB6-C1D0DDF87FFF}" name="Expertenabschätzungen" totalsRowFunction="custom" dataDxfId="1032" totalsRowDxfId="1031">
      <calculatedColumnFormula>VLOOKUP(Ueberblick4[[#This Row],[Expertenabschätzungen]],Dropdown!$A$2:$D$4,4,FALSE)</calculatedColumnFormula>
      <totalsRowFormula>Ueberblick4[[#Totals],[Expertenabschätzungen]]</totalsRowFormula>
    </tableColumn>
    <tableColumn id="13" xr3:uid="{A9779B61-598F-40D7-929C-98C3821AC523}" name="(Online-)Umfragen" totalsRowFunction="custom" dataDxfId="1030" totalsRowDxfId="1029">
      <calculatedColumnFormula>VLOOKUP(Ueberblick4[[#This Row],[(Online-)Umfragen]],Dropdown!$A$2:$D$4,4,FALSE)</calculatedColumnFormula>
      <totalsRowFormula>Ueberblick4[[#Totals],[(Online-)Umfragen]]</totalsRowFormula>
    </tableColumn>
    <tableColumn id="14" xr3:uid="{D3678382-5824-46C3-BB6E-7D761B0EAB06}" name="Unternehmensbefragungen" totalsRowFunction="custom" dataDxfId="1028" totalsRowDxfId="1027">
      <calculatedColumnFormula>VLOOKUP(Ueberblick4[[#This Row],[Unternehmensbefragungen]],Dropdown!$A$2:$D$4,4,FALSE)</calculatedColumnFormula>
      <totalsRowFormula>Ueberblick4[[#Totals],[Unternehmensbefragungen]]</totalsRowFormula>
    </tableColumn>
    <tableColumn id="49" xr3:uid="{FD09239D-BB32-4C5A-B78B-17ABA82995D0}" name="eigene Annahmen" totalsRowFunction="custom" dataDxfId="1026" totalsRowDxfId="1025">
      <calculatedColumnFormula>VLOOKUP(Ueberblick4[[#This Row],[eigene Annahmen]],Dropdown!$A$2:$D$4,4,FALSE)</calculatedColumnFormula>
      <totalsRowFormula>Ueberblick4[[#Totals],[eigene Annahmen]]</totalsRowFormula>
    </tableColumn>
    <tableColumn id="15" xr3:uid="{0803576B-C517-4971-82FD-B5F31F904581}" name="eigene Erhebungen" totalsRowFunction="custom" dataDxfId="1024" totalsRowDxfId="1023">
      <calculatedColumnFormula>VLOOKUP(Ueberblick4[[#This Row],[eigene Erhebungen]],Dropdown!$A$2:$D$4,4,FALSE)</calculatedColumnFormula>
      <totalsRowFormula>Ueberblick4[[#Totals],[eigene Erhebungen]]</totalsRowFormula>
    </tableColumn>
    <tableColumn id="47" xr3:uid="{0195BB71-9FE3-4994-9C07-211B85F06143}" name="Bezugsjahr(e) der Datenbasis" dataDxfId="1022" totalsRowDxfId="1021"/>
    <tableColumn id="16" xr3:uid="{90E2CC42-8A28-498B-B876-B08CE919A17F}" name="Quellen Daten" dataDxfId="1020" totalsRowDxfId="1019"/>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A1" dT="2020-01-18T17:56:19.63" personId="{C50136EC-1E62-4592-B17A-7DA72D4F4ECD}" id="{53C4F1D1-52B8-4AE5-9EE8-A92117B01973}">
    <text>TODO: Methodendetaillierung hier fertigstellen!</text>
  </threadedComment>
</ThreadedComments>
</file>

<file path=xl/threadedComments/threadedComment10.xml><?xml version="1.0" encoding="utf-8"?>
<ThreadedComments xmlns="http://schemas.microsoft.com/office/spreadsheetml/2018/threadedcomments" xmlns:x="http://schemas.openxmlformats.org/spreadsheetml/2006/main">
  <threadedComment ref="A2" dT="2019-12-16T07:48:57.58" personId="{C50136EC-1E62-4592-B17A-7DA72D4F4ECD}" id="{14AB5950-C6ED-4E81-B755-A6BAD555AC07}">
    <text>TODO: Datenbasis je Studie nochmal kritisch prüfen! -&gt; Vollständigkeit der Abdeckung gewährleisten!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2" dT="2019-12-16T07:48:57.58" personId="{C50136EC-1E62-4592-B17A-7DA72D4F4ECD}" id="{40EFA183-7B32-40BC-9745-C05DC6A885F0}">
    <text>TODO: Datenbasis je Studie nochmal kritisch prüfen! -&gt; Vollständigkeit der Abdeckung gewährleisten!</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19-12-16T07:48:57.58" personId="{C50136EC-1E62-4592-B17A-7DA72D4F4ECD}" id="{76D7D0FE-F3B2-49E1-A729-1C6DE87AE573}">
    <text>TODO: Datenbasis je Studie nochmal kritisch prüfen! -&gt; Vollständigkeit der Abdeckung gewährleisten!</text>
  </threadedComment>
</ThreadedComments>
</file>

<file path=xl/threadedComments/threadedComment13.xml><?xml version="1.0" encoding="utf-8"?>
<ThreadedComments xmlns="http://schemas.microsoft.com/office/spreadsheetml/2018/threadedcomments" xmlns:x="http://schemas.openxmlformats.org/spreadsheetml/2006/main">
  <threadedComment ref="A10" dT="2019-12-07T16:39:21.89" personId="{C50136EC-1E62-4592-B17A-7DA72D4F4ECD}" id="{5FA39351-A534-4771-A1C7-4CED3039F42B}">
    <text>Alternativzuordnung zu Prozessen</text>
  </threadedComment>
</ThreadedComments>
</file>

<file path=xl/threadedComments/threadedComment14.xml><?xml version="1.0" encoding="utf-8"?>
<ThreadedComments xmlns="http://schemas.microsoft.com/office/spreadsheetml/2018/threadedcomments" xmlns:x="http://schemas.openxmlformats.org/spreadsheetml/2006/main">
  <threadedComment ref="A44" dT="2019-12-03T06:19:19.18" personId="{C50136EC-1E62-4592-B17A-7DA72D4F4ECD}" id="{FDFCD9BB-D41C-4D5A-A38B-299BD59C734F}">
    <text>Holzstoffherstellung: Holzschliff oder Refiner -&gt; mechanische Zerfaserung vs. Zellstoffherstellung: chemische Zerfaserung von Holz; beide als Grundstoffe für die Papierherstellung verwendet; abweichende Verfahrensarten</text>
  </threadedComment>
  <threadedComment ref="A64" dT="2019-12-07T14:33:12.04" personId="{C50136EC-1E62-4592-B17A-7DA72D4F4ECD}" id="{C5FB217F-DF6C-4168-AE37-FD4963532B4B}">
    <text>Die Klinkermühle wird als Synonym zu Zementmühle aufgefasst.</text>
  </threadedComment>
</ThreadedComments>
</file>

<file path=xl/threadedComments/threadedComment15.xml><?xml version="1.0" encoding="utf-8"?>
<ThreadedComments xmlns="http://schemas.microsoft.com/office/spreadsheetml/2018/threadedcomments" xmlns:x="http://schemas.openxmlformats.org/spreadsheetml/2006/main">
  <threadedComment ref="A1" dT="2020-01-20T15:49:01.49" personId="{C50136EC-1E62-4592-B17A-7DA72D4F4ECD}" id="{FC625529-4B59-4B41-B60B-FFCF748CF4F4}">
    <text>TODO: Einzelprozesseignung auswerten -&gt; widersrüchliche Angaben in der Literatur!</text>
  </threadedComment>
  <threadedComment ref="A7" dT="2020-01-20T18:16:10.60" personId="{C50136EC-1E62-4592-B17A-7DA72D4F4ECD}" id="{A4317356-70BA-4A3C-98DB-4637D4BE7732}">
    <text>keine Angaben</text>
  </threadedComment>
  <threadedComment ref="A10" dT="2020-01-20T18:27:21.92" personId="{C50136EC-1E62-4592-B17A-7DA72D4F4ECD}" id="{CB8A4170-9D6B-42A4-977A-9CCE0CD98131}">
    <text>Chlor nicht spezifiziert</text>
  </threadedComment>
  <threadedComment ref="A11" dT="2020-01-20T18:32:40.58" personId="{C50136EC-1E62-4592-B17A-7DA72D4F4ECD}" id="{41C8E374-0AEA-4A67-ACAD-446CB9C5EBC0}">
    <text>keine Betrachtung der einschlägigen Prozesse</text>
  </threadedComment>
  <threadedComment ref="E12" dT="2020-01-21T06:02:14.21" personId="{C50136EC-1E62-4592-B17A-7DA72D4F4ECD}" id="{9D643BCE-B919-4AD3-962A-EE81F85D8736}">
    <text>Papiermaschine lässt sich in ihrem Durchsatz regeln. An sich ist Prozess aber (scheinbar) relativ träge.</text>
  </threadedComment>
  <threadedComment ref="L12" dT="2020-01-21T06:07:41.14" personId="{C50136EC-1E62-4592-B17A-7DA72D4F4ECD}" id="{86123023-DBC6-477E-A265-DEEA16BD5EA9}">
    <text>Motorenanwendungen bei Mühlen und Brechern sowie Abluftventilatoren geeignet.</text>
  </threadedComment>
  <threadedComment ref="A14" dT="2020-01-21T13:58:43.93" personId="{C50136EC-1E62-4592-B17A-7DA72D4F4ECD}" id="{D72B9B72-5C5D-4DB4-95AB-48D874935985}">
    <text>keine Detaillierung auf der Ebene von Einzelprozessen</text>
  </threadedComment>
  <threadedComment ref="L15" dT="2020-01-21T14:10:48.89" personId="{C50136EC-1E62-4592-B17A-7DA72D4F4ECD}" id="{96B1E4A5-1A00-4751-A806-B62F04971228}">
    <text>Zumeist (zu) kleine Speicherkapazitäten (S. 19)</text>
  </threadedComment>
  <threadedComment ref="E16" dT="2020-01-21T14:41:19.28" personId="{C50136EC-1E62-4592-B17A-7DA72D4F4ECD}" id="{6D6A996F-9EBA-4AF1-896F-CBE11CB0C637}">
    <text>abhängig von Produkt und Pressenpartie kann etwa Durchsatzgeschwindigkeit und/oder Druck verringert werden. Aussage aber nicht allgemeingültig. (S. 105)</text>
  </threadedComment>
  <threadedComment ref="H16" dT="2020-01-21T14:46:44.85" personId="{C50136EC-1E62-4592-B17A-7DA72D4F4ECD}" id="{C3609ED1-30E4-4427-964B-B7A7A7EE496D}">
    <text>nicht betrachtet</text>
  </threadedComment>
  <threadedComment ref="I16" dT="2020-01-21T14:46:29.57" personId="{C50136EC-1E62-4592-B17A-7DA72D4F4ECD}" id="{29DC9230-6C39-4075-B30E-3E8236F38AF5}">
    <text>Diaphragmaverfahren grundsätzlich auch teillastfägig. Potenziale beim neueren Sauerstoffverzehrkathodenverfahren (S. 175)</text>
  </threadedComment>
  <threadedComment ref="J16" dT="2020-01-21T14:46:44.85" personId="{C50136EC-1E62-4592-B17A-7DA72D4F4ECD}" id="{49D3ADA9-5C2A-438C-B045-3349A7ADEB44}">
    <text>nicht betrachtet</text>
  </threadedComment>
  <threadedComment ref="L16" dT="2020-01-21T14:53:35.00" personId="{C50136EC-1E62-4592-B17A-7DA72D4F4ECD}" id="{40A9B6C4-854C-4F03-8706-EB29372F1E4B}">
    <text>Regelbarkeit der Rohgesteinsmühlen und Brecher wegen Verbund mit Drehrohrofen an einigen Standorten nicht gegeben, d.h. standortabhängig (S. 135-136).</text>
  </threadedComment>
  <threadedComment ref="A17" dT="2020-01-21T14:54:29.07" personId="{C50136EC-1E62-4592-B17A-7DA72D4F4ECD}" id="{A54174E2-EC51-408B-AC0E-67BDE4561022}">
    <text>keine Betrachtung des Industriesektors</text>
  </threadedComment>
  <threadedComment ref="C19" dT="2020-01-21T15:23:25.17" personId="{C50136EC-1E62-4592-B17A-7DA72D4F4ECD}" id="{277C8973-3258-442F-A7C6-6B54DB1F30DE}">
    <text>Verwendeter Begriff: pulp. Bedeutet übersetzt eigentlich Zellstoff.</text>
  </threadedComment>
  <threadedComment ref="G19" dT="2020-01-21T15:23:52.27" personId="{C50136EC-1E62-4592-B17A-7DA72D4F4ECD}" id="{158F14F1-4A36-4890-A807-E196EFDDB16E}">
    <text>keine Unterscheidung der Verfahrenstypen bei Chlor</text>
  </threadedComment>
  <threadedComment ref="G20" dT="2020-01-21T16:20:09.95" personId="{C50136EC-1E62-4592-B17A-7DA72D4F4ECD}" id="{5B356CCE-F4B7-4886-AE38-878EDA3336B2}">
    <text>keine Differenzierung der Elektrolyseprozesse</text>
  </threadedComment>
  <threadedComment ref="A21" dT="2020-01-21T16:23:09.17" personId="{C50136EC-1E62-4592-B17A-7DA72D4F4ECD}" id="{55E48397-91B4-4A54-BC0C-DFD2B145E66C}">
    <text>keine Detaillierung der Industrieprozesse</text>
  </threadedComment>
  <threadedComment ref="A22" dT="2020-01-21T17:00:02.73" personId="{C50136EC-1E62-4592-B17A-7DA72D4F4ECD}" id="{230E0BCC-788B-43F4-AFE7-CE6FA08428D4}">
    <text>keine hinreichende Detaillierung der weiteren Prozesse</text>
  </threadedComment>
  <threadedComment ref="A24" dT="2020-01-21T17:08:46.08" personId="{C50136EC-1E62-4592-B17A-7DA72D4F4ECD}" id="{A732C617-B545-4F7E-9BF9-C5BB9B7B9D48}">
    <text>keine Betrachtung der Prozesse</text>
  </threadedComment>
  <threadedComment ref="E25" dT="2020-01-21T17:13:48.28" personId="{C50136EC-1E62-4592-B17A-7DA72D4F4ECD}" id="{B14106B7-6649-4DEF-88E6-EEAAB9434D3D}">
    <text>kaum flexibilisierbar / eingeschränkte Flexibilisierbarkeit</text>
  </threadedComment>
  <threadedComment ref="L25" dT="2020-01-21T17:14:36.63" personId="{C50136EC-1E62-4592-B17A-7DA72D4F4ECD}" id="{EA7E3014-BB6C-45A6-A558-7585DEC31D5D}">
    <text>Rohmehlmühlen teilweise nicht flexibilisierbar</text>
  </threadedComment>
</ThreadedComments>
</file>

<file path=xl/threadedComments/threadedComment16.xml><?xml version="1.0" encoding="utf-8"?>
<ThreadedComments xmlns="http://schemas.microsoft.com/office/spreadsheetml/2018/threadedcomments" xmlns:x="http://schemas.openxmlformats.org/spreadsheetml/2006/main">
  <threadedComment ref="J1" dT="2019-12-07T16:39:21.89" personId="{C50136EC-1E62-4592-B17A-7DA72D4F4ECD}" id="{DF05830B-4BE3-408D-AB8A-C97CE63C8272}">
    <text>Alternativzuordnung zu Prozessen</text>
  </threadedComment>
</ThreadedComments>
</file>

<file path=xl/threadedComments/threadedComment17.xml><?xml version="1.0" encoding="utf-8"?>
<ThreadedComments xmlns="http://schemas.microsoft.com/office/spreadsheetml/2018/threadedcomments" xmlns:x="http://schemas.openxmlformats.org/spreadsheetml/2006/main">
  <threadedComment ref="J1" dT="2019-12-07T16:39:21.89" personId="{C50136EC-1E62-4592-B17A-7DA72D4F4ECD}" id="{5B8A6AEA-3BB9-4885-A447-2BAEDBF68A5F}">
    <text>Alternativzuordnung zu Prozessen</text>
  </threadedComment>
</ThreadedComments>
</file>

<file path=xl/threadedComments/threadedComment18.xml><?xml version="1.0" encoding="utf-8"?>
<ThreadedComments xmlns="http://schemas.microsoft.com/office/spreadsheetml/2018/threadedcomments" xmlns:x="http://schemas.openxmlformats.org/spreadsheetml/2006/main">
  <threadedComment ref="J1" dT="2019-12-07T16:39:21.89" personId="{C50136EC-1E62-4592-B17A-7DA72D4F4ECD}" id="{4A493EE1-8C45-49C5-B652-BB006C466C3A}">
    <text>Alternativzuordnung zu Prozessen</text>
  </threadedComment>
</ThreadedComments>
</file>

<file path=xl/threadedComments/threadedComment19.xml><?xml version="1.0" encoding="utf-8"?>
<ThreadedComments xmlns="http://schemas.microsoft.com/office/spreadsheetml/2018/threadedcomments" xmlns:x="http://schemas.openxmlformats.org/spreadsheetml/2006/main">
  <threadedComment ref="A2" dT="2019-02-15T10:09:18.22" personId="{24770FA3-2E71-45FC-8D9B-44727DC045D6}" id="{E2500168-135E-4AFC-AEB9-1BB9F10304DD}">
    <text>ja</text>
  </threadedComment>
  <threadedComment ref="A3" dT="2019-02-15T10:09:50.68" personId="{24770FA3-2E71-45FC-8D9B-44727DC045D6}" id="{0B38832F-CB83-4761-ACEF-0F7F77BCAA33}">
    <text>teilweise</text>
  </threadedComment>
  <threadedComment ref="A4" dT="2019-02-15T10:09:44.63" personId="{24770FA3-2E71-45FC-8D9B-44727DC045D6}" id="{9C63185F-F86D-47A0-8A4A-B2AA71BB8837}">
    <text>nein</text>
  </threadedComment>
</ThreadedComments>
</file>

<file path=xl/threadedComments/threadedComment2.xml><?xml version="1.0" encoding="utf-8"?>
<ThreadedComments xmlns="http://schemas.microsoft.com/office/spreadsheetml/2018/threadedcomments" xmlns:x="http://schemas.openxmlformats.org/spreadsheetml/2006/main">
  <threadedComment ref="AM2" dT="2019-12-12T09:51:04.67" personId="{C50136EC-1E62-4592-B17A-7DA72D4F4ECD}" id="{5EFB434D-016B-4F63-9751-982B063634C4}">
    <text>TODO: Zuordnung kritisch überprüfen!</text>
  </threadedComment>
  <threadedComment ref="AC3" dT="2019-02-23T17:42:09.27" personId="{24770FA3-2E71-45FC-8D9B-44727DC045D6}" id="{04185167-46AA-4D94-A302-E8744D46D0E9}">
    <text>keine detaillierten Angaben zu Potenzialen</text>
  </threadedComment>
  <threadedComment ref="AL3" dT="2019-02-26T14:06:44.15" personId="{24770FA3-2E71-45FC-8D9B-44727DC045D6}" id="{2BCFDF53-312E-4FD0-81F7-FA56132CBDE9}">
    <text>nicht konsequent</text>
  </threadedComment>
  <threadedComment ref="AV3" dT="2019-02-23T13:59:49.97" personId="{24770FA3-2E71-45FC-8D9B-44727DC045D6}" id="{04AB6769-AAB7-4C3B-BB13-AC043C3C1EF5}">
    <text>Theoretisches Potenzial nicht im Sinne der in der Arbeit gewählten Definition, sondern ausgehend von Durchschnittsauslastung. Entspricht daher dem technischen Potenzial in dieser Arbeit am ehesten.
Für Industrie theoretisches quasi mit technischem Potenzial übereinstimmend.
Technisches Potenzial für Haushalte berücksichtigt eigentlich schon den konkreten Anwendungsfall der Spitzenlastreduktion und ist daher kein technisches Potenzial im Sinne dieser Arbeit.</text>
  </threadedComment>
  <threadedComment ref="BI3" dT="2019-02-23T16:04:01.20" personId="{24770FA3-2E71-45FC-8D9B-44727DC045D6}" id="{D019448F-A6E6-46A0-B037-6D01BA22EDC0}">
    <text>bzw. 4,5</text>
  </threadedComment>
  <threadedComment ref="CE3" dT="2019-02-23T13:38:50.65" personId="{24770FA3-2E71-45FC-8D9B-44727DC045D6}" id="{2D7A9E6B-765F-44C4-88F4-827804BFE6F1}">
    <text>Diss Stötzer aufgenommen (Apel et al. basiert für Haushalte hierauf)</text>
  </threadedComment>
  <threadedComment ref="K4" dT="2019-11-26T13:53:59.30" personId="{C50136EC-1E62-4592-B17A-7DA72D4F4ECD}" id="{E46A85C7-D0B9-466B-8644-352B33176CC3}">
    <text>Analyse der Zeitabhängigkeit der Potenziale</text>
  </threadedComment>
  <threadedComment ref="Y4" dT="2019-11-26T06:27:22.92" personId="{C50136EC-1E62-4592-B17A-7DA72D4F4ECD}" id="{88E252B6-C218-4F75-8ED0-9782CDA3BA93}">
    <text>überwiegend zitiertes Literaturspektrum; Statistiken aus 2014-2016; älterer Datenstand der Primärquellen</text>
  </threadedComment>
  <threadedComment ref="AQ4" dT="2019-12-12T09:19:30.84" personId="{C50136EC-1E62-4592-B17A-7DA72D4F4ECD}" id="{AA8A2462-FF27-4D01-87A8-A88736AFD1FC}">
    <text>implizit über zeitliches Profil / Lastgang</text>
  </threadedComment>
  <threadedComment ref="AV4" dT="2019-12-12T08:28:46.51" personId="{C50136EC-1E62-4592-B17A-7DA72D4F4ECD}" id="{B51596E2-0627-4F14-9115-3CEB167DAB17}">
    <text>Einordnung nicht trivial: Einschränkung des technisch zur Verfügung stehenden Potenzials basierend auf den Ergebnissen einer Befragung (Haushalte) bzw. pauschalen Annahmen (Industrie) -&gt; Einschränkung im Wesentlichen aber über Verschiebedauern abgebildet, bei Haushalten nur unwesentliche Schmälerung der verschiebbaren Leistung (über verschiebbaren Anteil abgedeckt); zudem: Differenzierung nach Vorankündigungsdauern.</text>
  </threadedComment>
  <threadedComment ref="G6" dT="2019-09-16T12:49:06.49" personId="{C50136EC-1E62-4592-B17A-7DA72D4F4ECD}" id="{936B0A5A-6026-49AE-8487-B0B33AABEE31}">
    <text>Als Verschiebezeitraum wird Zeitraum bezeichnet, innerhalb dessen eine Lastverschiebung möglich ist (S. 51)</text>
  </threadedComment>
  <threadedComment ref="L6" dT="2019-09-17T06:42:36.76" personId="{C50136EC-1E62-4592-B17A-7DA72D4F4ECD}" id="{9E5068EF-CA8B-4490-9618-850FF362E9B9}">
    <text>Bei Fallbeispielen werden Fehlermaße genannt; insgesamt aber keine mit Steurer (2017) vergleichbar systematische Ermittlung</text>
  </threadedComment>
  <threadedComment ref="X6" dT="2019-09-17T06:43:33.63" personId="{C50136EC-1E62-4592-B17A-7DA72D4F4ECD}" id="{2E96E969-FFA4-4B74-82EF-C2463482CEA2}">
    <text>Abschätzung für Fallbeispiele erfolgt auf Basis von Realdaten</text>
  </threadedComment>
  <threadedComment ref="AL6" dT="2019-09-17T06:46:30.64" personId="{C50136EC-1E62-4592-B17A-7DA72D4F4ECD}" id="{C0F40E29-EF7F-4FF3-9E4E-DAC03177E6D3}">
    <text>Potenzialtrennung nicht durchehend vorgenommen; implizit sowie anhand der Fallbeispiele wird deutlich, dass nur Lastverschiebungen betrachtet werden</text>
  </threadedComment>
  <threadedComment ref="AP6" dT="2019-09-17T06:46:42.81" personId="{C50136EC-1E62-4592-B17A-7DA72D4F4ECD}" id="{5701E58F-1448-44C5-ABB1-EF75F85EB360}">
    <text>vereinzelt</text>
  </threadedComment>
  <threadedComment ref="AQ6" dT="2019-09-17T06:46:51.86" personId="{C50136EC-1E62-4592-B17A-7DA72D4F4ECD}" id="{BF79684D-391C-4D32-9927-FD31129331C9}">
    <text>vereinzelt</text>
  </threadedComment>
  <threadedComment ref="AW6" dT="2019-09-16T12:46:36.97" personId="{C50136EC-1E62-4592-B17A-7DA72D4F4ECD}" id="{42AC0AD4-DD36-4E3D-9E04-415B702D6255}">
    <text>theoretisches Potenzial eher als technisches aufzufassen, da Differenz zwischen Basisauslastung und Gesamtleistungsbezug betrachtet wird (S. 51)</text>
  </threadedComment>
  <threadedComment ref="BO6" dT="2019-09-17T06:54:58.48" personId="{C50136EC-1E62-4592-B17A-7DA72D4F4ECD}" id="{FEF0736E-E255-4275-AF80-84FAE7BECCE7}">
    <text>nur betrachtete Anwendungen</text>
  </threadedComment>
  <threadedComment ref="BP6" dT="2019-09-17T06:54:58.48" personId="{C50136EC-1E62-4592-B17A-7DA72D4F4ECD}" id="{72513945-B645-421A-8734-D076310E03DF}">
    <text>nur betrachtete Anwendungen</text>
  </threadedComment>
  <threadedComment ref="CA6" dT="2020-01-17T10:11:04.27" personId="{C50136EC-1E62-4592-B17A-7DA72D4F4ECD}" id="{FD3ED1C2-4CBC-4FFD-A022-67F78D70248A}">
    <text>Für Fallbeispiele</text>
  </threadedComment>
  <threadedComment ref="M7" dT="2019-03-19T11:54:52.05" personId="{24770FA3-2E71-45FC-8D9B-44727DC045D6}" id="{73DFD4DC-A1F3-4B00-8D67-79E0572B0D6D}">
    <text>Bei Gils (2015) Fokus auf Lastmanagement und thermische Energiespeicher (Wärmepumpen und KWK)</text>
  </threadedComment>
  <threadedComment ref="AV7" dT="2019-02-26T17:14:43.04" personId="{24770FA3-2E71-45FC-8D9B-44727DC045D6}" id="{705DAE10-40DC-4DEB-89D0-F5121F8AAE64}">
    <text>als "akzeptiert" deklariert; streng genommen aber technisches und daraus wiederum ökonomisches Potenzial ermittelt</text>
  </threadedComment>
  <threadedComment ref="AY7" dT="2019-09-17T07:58:50.54" personId="{C50136EC-1E62-4592-B17A-7DA72D4F4ECD}" id="{ED0BA275-678E-42EE-8CEF-C9E6D1022B30}">
    <text>Einschränkung für Modellanalyse (S. 103-104)</text>
  </threadedComment>
  <threadedComment ref="BD7" dT="2019-03-08T17:33:33.97" personId="{24770FA3-2E71-45FC-8D9B-44727DC045D6}" id="{3DC350A8-E012-4F48-BDA5-418836B32B5A}">
    <text>keine Ausweisung der Potenziale für 2010, aber Bezugsjahr für die Projektionen bis 2020 bzw. 2030</text>
  </threadedComment>
  <threadedComment ref="CB7" dT="2020-01-17T10:19:13.59" personId="{C50136EC-1E62-4592-B17A-7DA72D4F4ECD}" id="{DC4B5C1F-BC62-47F9-BA9D-B6EF751D0DEE}">
    <text>nicht veröffentlicht</text>
  </threadedComment>
  <threadedComment ref="CF7" dT="2019-02-23T13:36:55.21" personId="{24770FA3-2E71-45FC-8D9B-44727DC045D6}" id="{417AFCA2-009A-4C37-B81F-782EE6524830}">
    <text>Paper von 2014 (basierend auf Diss)</text>
  </threadedComment>
  <threadedComment ref="AT9" dT="2019-09-30T14:54:38.30" personId="{C50136EC-1E62-4592-B17A-7DA72D4F4ECD}" id="{0EA24003-BD3E-47E7-BC79-755F6194D161}">
    <text>Variation von variablen Kosten als Sensitivitätsparameter</text>
  </threadedComment>
  <threadedComment ref="CB9" dT="2020-01-17T10:24:07.16" personId="{C50136EC-1E62-4592-B17A-7DA72D4F4ECD}" id="{88358865-20F3-468F-A035-5E7F9B9B5E92}">
    <text>stündliche Kurve der Potenziale; in den weiteren Punkten zu intransparent für detaillierte Rückschlüsse</text>
  </threadedComment>
  <threadedComment ref="X10" dT="2019-03-21T16:51:51.67" personId="{24770FA3-2E71-45FC-8D9B-44727DC045D6}" id="{15957B64-47CF-4DF1-B4D5-0A7F9B3B64AC}">
    <text>zu industriellen QSTs</text>
  </threadedComment>
  <threadedComment ref="AV10" dT="2019-03-21T18:56:51.40" personId="{24770FA3-2E71-45FC-8D9B-44727DC045D6}" id="{C365EC27-D9CD-41EE-9BE3-5C5AF34735E4}">
    <text>Analysen mit unterschiedlichem Tiefgang; breiteste Datenbasis bei technischen und ökonomischen Potenzialen</text>
  </threadedComment>
  <threadedComment ref="CA10" dT="2020-01-17T16:57:15.97" personId="{C50136EC-1E62-4592-B17A-7DA72D4F4ECD}" id="{F0EB518A-1119-4F74-9EFB-6574D220EBAE}">
    <text>Angaben zu Potenzialen basieren teilweise auf realen Lastgangdaten</text>
  </threadedComment>
  <threadedComment ref="V11" dT="2019-09-27T15:15:50.66" personId="{C50136EC-1E62-4592-B17A-7DA72D4F4ECD}" id="{3112A48A-696C-4B29-A6BC-C148ADF95CFE}">
    <text>Keine Befragungen, aber Unternehmensangaben aufgegriffen</text>
  </threadedComment>
  <threadedComment ref="AY11" dT="2019-09-27T15:26:58.85" personId="{C50136EC-1E62-4592-B17A-7DA72D4F4ECD}" id="{681E994F-5574-4FD0-9398-DFC7F5C69F4A}">
    <text>Aussagen zu Nutzerakzeptanzfaktoren</text>
  </threadedComment>
  <threadedComment ref="CB11" dT="2020-01-17T16:46:50.14" personId="{C50136EC-1E62-4592-B17A-7DA72D4F4ECD}" id="{BFC73255-3743-4180-88F8-7F82F7A135BE}">
    <text>für thermosensible Lasten</text>
  </threadedComment>
  <threadedComment ref="T12" dT="2019-09-21T16:29:07.51" personId="{C50136EC-1E62-4592-B17A-7DA72D4F4ECD}" id="{9E184950-0355-4A34-8C13-DB5B7807369A}">
    <text>implizit zu vermuten</text>
  </threadedComment>
  <threadedComment ref="W12" dT="2019-09-21T16:32:01.00" personId="{C50136EC-1E62-4592-B17A-7DA72D4F4ECD}" id="{A5209D31-A286-4722-9234-E84381056544}">
    <text>S. 31: Erfahrungswerte, eigene Berechnungen und Annahmen, sofern keine Quelle(n) angegeben</text>
  </threadedComment>
  <threadedComment ref="AA12" dT="2019-03-16T17:43:26.94" personId="{24770FA3-2E71-45FC-8D9B-44727DC045D6}" id="{971EA584-1990-4EF5-864F-CAC3F668C2F9}">
    <text>Datenbasis für die Modellierungen in Elsner et al. (2015)</text>
  </threadedComment>
  <threadedComment ref="BF12" dT="2019-03-16T17:40:38.66" personId="{24770FA3-2E71-45FC-8D9B-44727DC045D6}" id="{BAE2C1AC-A173-4A49-AE78-2D8F1314BE68}">
    <text>Betrachtungsjahr 2023</text>
  </threadedComment>
  <threadedComment ref="BX12" dT="2020-01-17T16:46:50.14" personId="{C50136EC-1E62-4592-B17A-7DA72D4F4ECD}" id="{71893B02-BAC9-4AC8-BBB8-CF7B8DB7F801}">
    <text>vereinzelt Angaben</text>
  </threadedComment>
  <threadedComment ref="A13" dT="2019-02-15T17:07:17.19" personId="{24770FA3-2E71-45FC-8D9B-44727DC045D6}" id="{512B2273-472C-4FE7-ACAF-AA58772FF716}">
    <text>Seitenzahlenangaben bezogen auf ISI-Veröffentlichung von 2009</text>
  </threadedComment>
  <threadedComment ref="L13" dT="2019-02-16T09:45:07.97" personId="{24770FA3-2E71-45FC-8D9B-44727DC045D6}" id="{FF48FF3A-1E01-4121-BA8F-5C94FB90662A}">
    <text>Abschätzungen zu den Abweichungen bei einzelnen Größen, insbes. Lastmanagementfaktor (S. 33-34)</text>
  </threadedComment>
  <threadedComment ref="R13" dT="2019-02-15T17:08:21.95" personId="{24770FA3-2E71-45FC-8D9B-44727DC045D6}" id="{A21CA142-B17B-4892-95DB-94FEC035CE60}">
    <text>Vereinzelt werden ergänzend Literaturquellen herangezogen. Überwiegend werden Statistiken herangezogen.</text>
  </threadedComment>
  <threadedComment ref="Y13" dT="2019-10-05T11:28:35.96" personId="{C50136EC-1E62-4592-B17A-7DA72D4F4ECD}" id="{CB159D66-A3A5-459C-8603-5813ECF960F2}">
    <text>nach Ladwig (2018) maßgeblich 2004 -&gt; wahrscheinlich Stromverbrauchsdaten gemeint</text>
  </threadedComment>
  <threadedComment ref="AL13" dT="2019-02-15T17:03:13.12" personId="{24770FA3-2E71-45FC-8D9B-44727DC045D6}" id="{8CE05A5A-98CD-46B9-8D1D-0AE0422E841B}">
    <text>implizit durch Fokus auf (positive) Regelleistung</text>
  </threadedComment>
  <threadedComment ref="AS13" dT="2019-02-16T11:30:26.18" personId="{24770FA3-2E71-45FC-8D9B-44727DC045D6}" id="{1ED09808-7ABB-4259-9A90-5B1F336CA3DF}">
    <text>Einzelne Informationen. Nicht systematisch für alle Anwendungen aufgearbeitet, da per se Wirtschaftlichkeit unterstellt wird.</text>
  </threadedComment>
  <threadedComment ref="AX13" dT="2019-02-15T17:04:20.40" personId="{24770FA3-2E71-45FC-8D9B-44727DC045D6}" id="{3F969450-BE89-4122-A51F-5BB0D5ABC5A2}">
    <text>ökonomische Vorzugswürdigkeit unterstellt, aber nicht explizit überprüft.</text>
  </threadedComment>
  <threadedComment ref="BX13" dT="2020-01-17T16:46:50.14" personId="{C50136EC-1E62-4592-B17A-7DA72D4F4ECD}" id="{22D00B30-894C-41B7-AE98-CD4EBBB5FF96}">
    <text>vereinzelt Angaben</text>
  </threadedComment>
  <threadedComment ref="BY13" dT="2020-01-17T16:46:50.14" personId="{C50136EC-1E62-4592-B17A-7DA72D4F4ECD}" id="{35807640-B452-4369-911F-E1D8E37164C7}">
    <text>vereinzelt Angaben</text>
  </threadedComment>
  <threadedComment ref="F14" dT="2019-02-26T11:13:39.61" personId="{24770FA3-2E71-45FC-8D9B-44727DC045D6}" id="{B069BB2A-CD4A-4A44-BB8F-CD815FD280FA}">
    <text>DIW Vierteljahreshefte zur Wirtschaftsforschung</text>
  </threadedComment>
  <threadedComment ref="AL14" dT="2019-02-26T10:55:16.59" personId="{24770FA3-2E71-45FC-8D9B-44727DC045D6}" id="{03DD1F72-C523-4918-9B87-E9C951DFAC4A}">
    <text>teilweise, aber nicht konsequent</text>
  </threadedComment>
  <threadedComment ref="AO14" dT="2019-02-26T10:56:07.67" personId="{24770FA3-2E71-45FC-8D9B-44727DC045D6}" id="{E5028A36-028B-4FE6-9D81-C47E0188F49F}">
    <text>Schaltdauer als Bestandteil der Umfrage; allerdings nicht immer in hinreichender Aufschlüsselung (je Branche / Prozess)</text>
  </threadedComment>
  <threadedComment ref="AV14" dT="2019-02-26T10:35:42.35" personId="{24770FA3-2E71-45FC-8D9B-44727DC045D6}" id="{207A9180-F18E-497D-B3DF-AB740F27A3BB}">
    <text>Zuordnung uneindeutig wegen Unternehmensbefragung...</text>
  </threadedComment>
  <threadedComment ref="BI14" dT="2019-02-26T10:42:40.57" personId="{24770FA3-2E71-45FC-8D9B-44727DC045D6}" id="{39A6AC73-C343-48DA-8247-DE6B6A89632B}">
    <text>nur Süddeutschland</text>
  </threadedComment>
  <threadedComment ref="BY14" dT="2020-01-17T16:52:59.18" personId="{C50136EC-1E62-4592-B17A-7DA72D4F4ECD}" id="{57F54068-F60F-411A-9E10-BEE1A5AB164B}">
    <text>tageszeitliche Abhängigkeit in Unternehmensbefragung erhoben</text>
  </threadedComment>
  <threadedComment ref="BZ14" dT="2020-01-17T16:58:13.16" personId="{C50136EC-1E62-4592-B17A-7DA72D4F4ECD}" id="{CEA0B543-87A1-448C-8FA5-1CC120D1BC91}">
    <text>detaillierte Abbildung für Wärmepumpen und Nachtspeicher</text>
  </threadedComment>
  <threadedComment ref="CA14" dT="2020-01-17T16:56:56.92" personId="{C50136EC-1E62-4592-B17A-7DA72D4F4ECD}" id="{E9F41B3F-C98A-4435-9FBF-D296CC479C1F}">
    <text>Angaben zu Potenzialen bei QST basieren auf realen Lastgangdaten</text>
  </threadedComment>
  <threadedComment ref="A15" dT="2019-09-17T09:50:20.34" personId="{C50136EC-1E62-4592-B17A-7DA72D4F4ECD}" id="{30E38895-D627-449B-A707-918D27498D10}">
    <text>Kritisch abwägen, ob Ausschluss erforderlich; denkbar wäre auch, die Untersuchung ergänzend nur für die Gesamteinordnung der Potenzialstudien heranzuziehen</text>
  </threadedComment>
  <threadedComment ref="AQ15" dT="2019-09-17T09:36:13.75" personId="{C50136EC-1E62-4592-B17A-7DA72D4F4ECD}" id="{07196060-F724-420E-BEDC-0D03EEFF0ABF}">
    <text>teilweise</text>
  </threadedComment>
  <threadedComment ref="K16" dT="2019-10-03T15:19:55.73" personId="{C50136EC-1E62-4592-B17A-7DA72D4F4ECD}" id="{A5C4ACC9-308A-42F3-9AA7-D3ABDD101AF3}">
    <text>Variation des EE-Anteils</text>
  </threadedComment>
  <threadedComment ref="AA16" dT="2019-10-05T11:40:21.25" personId="{C50136EC-1E62-4592-B17A-7DA72D4F4ECD}" id="{D0761AA5-49EE-4CE6-A56F-85744009E6EC}">
    <text>ELTRAMOD</text>
  </threadedComment>
  <threadedComment ref="AV16" dT="2019-10-05T13:50:54.53" personId="{C50136EC-1E62-4592-B17A-7DA72D4F4ECD}" id="{00C06301-96AA-4127-8BFD-315CB420EC63}">
    <text>theoretisches Potenzial: Berücksichtigung der zeitlichen Variation der Stromnachfrage, nicht aber der technischen Restriktionen</text>
  </threadedComment>
  <threadedComment ref="K17" dT="2019-03-08T17:31:14.37" personId="{24770FA3-2E71-45FC-8D9B-44727DC045D6}" id="{C460A0C5-2AD4-4013-864D-FD850D5B89C0}">
    <text>Staffelung der Ergebnisse nach Aktivierungsdauern</text>
  </threadedComment>
  <threadedComment ref="S17" dT="2019-03-08T17:31:42.69" personId="{24770FA3-2E71-45FC-8D9B-44727DC045D6}" id="{7D676AF3-E826-4352-9CF6-502C448AF6A2}">
    <text>Statistiken nur zur Vorselektion verwendet</text>
  </threadedComment>
  <threadedComment ref="V17" dT="2019-03-08T17:32:04.89" personId="{24770FA3-2E71-45FC-8D9B-44727DC045D6}" id="{30A282E7-AB8E-4A1A-AC33-E2F40118FC79}">
    <text>s. Methodik: Vor-Ort-Fragebogeninterviews</text>
  </threadedComment>
  <threadedComment ref="AC17" dT="2019-03-09T17:16:11.56" personId="{24770FA3-2E71-45FC-8D9B-44727DC045D6}" id="{CF5EEAC8-9BF3-473A-96B6-0C283AC8923B}">
    <text>keine Betrachtung von QSTs!</text>
  </threadedComment>
  <threadedComment ref="AV17" dT="2019-03-08T17:30:24.46" personId="{24770FA3-2E71-45FC-8D9B-44727DC045D6}" id="{31663F5D-AA92-4052-8651-25A39EDDD211}">
    <text>abweichende Definition des technischen Potenzials: Technisches Potenzial als Lastabwurf der Gesamtlast (ökonomisch über VOLL abgebildet)</text>
  </threadedComment>
  <threadedComment ref="BE17" dT="2019-03-09T17:19:36.84" personId="{24770FA3-2E71-45FC-8D9B-44727DC045D6}" id="{42D79838-D043-40A6-9DF5-71AB0D7C1A8B}">
    <text>qualitative Abschätzungen</text>
  </threadedComment>
  <threadedComment ref="BG17" dT="2019-03-09T17:19:44.46" personId="{24770FA3-2E71-45FC-8D9B-44727DC045D6}" id="{E4B6CBF6-DAE1-4CAE-A183-122D8CF4B621}">
    <text>qualitative Abschätzungen</text>
  </threadedComment>
  <threadedComment ref="BI17" dT="2019-03-09T17:05:48.45" personId="{24770FA3-2E71-45FC-8D9B-44727DC045D6}" id="{4FD1A879-866D-4A4E-8F38-FC0BEE49EB39}">
    <text>technisches Potenzial der betrachteten Branchen (S. 161)</text>
  </threadedComment>
  <threadedComment ref="AV18" dT="2019-09-17T12:13:14.62" personId="{C50136EC-1E62-4592-B17A-7DA72D4F4ECD}" id="{E56960A9-C042-48EE-9043-732F6760FA85}">
    <text>Potenzialbegriff nicht spezifiziert; implizit kann auf technisches Potenzial geschlossen werden</text>
  </threadedComment>
  <threadedComment ref="BE18" dT="2019-09-17T12:12:36.97" personId="{C50136EC-1E62-4592-B17A-7DA72D4F4ECD}" id="{6E2945CE-CFFE-4285-BA32-365EF7470A98}">
    <text>teilweise Aussagen zu prognostizierten Potenzialen</text>
  </threadedComment>
  <threadedComment ref="BW18" dT="2020-01-18T12:27:01.60" personId="{C50136EC-1E62-4592-B17A-7DA72D4F4ECD}" id="{DFA44BBC-40AE-40F1-A295-124718816052}">
    <text>vereinzelt Hinweise (z.B. Klimaanlagen)</text>
  </threadedComment>
  <threadedComment ref="BY18" dT="2020-01-18T12:26:31.28" personId="{C50136EC-1E62-4592-B17A-7DA72D4F4ECD}" id="{9BDEB2FB-0F82-4ED0-A701-C018502E1A86}">
    <text>detaillierter Tagesgang bei Elektrofahrzeugen</text>
  </threadedComment>
  <threadedComment ref="BZ18" dT="2020-01-18T12:26:18.57" personId="{C50136EC-1E62-4592-B17A-7DA72D4F4ECD}" id="{E73B0658-19FF-41DC-8E2B-2EAC61E20057}">
    <text>bei Wärmepumpen und Nachtspeicherheizungen</text>
  </threadedComment>
  <threadedComment ref="Y19" dT="2019-10-05T11:29:12.44" personId="{C50136EC-1E62-4592-B17A-7DA72D4F4ECD}" id="{B50EBB79-91EA-4C60-AD04-5E0E7ACAA181}">
    <text>nach Ladwig (2018, S. 42) maßgeblich 2010 -&gt; wahrscheinlich Stromverbrauchsdaten gemeint</text>
  </threadedComment>
  <threadedComment ref="BS19" dT="2019-02-16T11:47:51.69" personId="{24770FA3-2E71-45FC-8D9B-44727DC045D6}" id="{C53B7414-67DA-436C-B981-C3282A6EB630}">
    <text>Durchschnitt (!)</text>
  </threadedComment>
  <threadedComment ref="BU19" dT="2019-02-16T11:48:00.28" personId="{24770FA3-2E71-45FC-8D9B-44727DC045D6}" id="{D9110349-F689-4007-BA63-25CD3AABF710}">
    <text>Durchschnitt (!)</text>
  </threadedComment>
  <threadedComment ref="CB19" dT="2020-01-18T12:34:35.13" personId="{C50136EC-1E62-4592-B17A-7DA72D4F4ECD}" id="{63FDE214-271D-4A74-8E47-A12215B9A9E9}">
    <text>S. 412: "vereinfachte Zeitprofile, innerhalb denen die Leistungen zur Verfügung stehen"</text>
  </threadedComment>
  <threadedComment ref="A20" dT="2019-03-23T13:09:39.40" personId="{24770FA3-2E71-45FC-8D9B-44727DC045D6}" id="{6161673C-634F-40E8-89D6-F8386F174BD0}">
    <text>Ansatz identisch mit dem aus Molly et al. (2010); wird daher zusammengefasst</text>
  </threadedComment>
  <threadedComment ref="CB20" dT="2020-01-18T13:03:06.16" personId="{C50136EC-1E62-4592-B17A-7DA72D4F4ECD}" id="{87C3C0DF-D15C-491F-A7D6-4250BC083F6D}">
    <text>Zeitreihen für Modellierungszwecke generiert, aber nicht veröffentlicht</text>
  </threadedComment>
  <threadedComment ref="K21" dT="2019-03-21T16:51:39.39" personId="{24770FA3-2E71-45FC-8D9B-44727DC045D6}" id="{17108E46-D08C-4AA5-87F8-25CC918374F5}">
    <text>minimale, maximale, Referenzentwicklung</text>
  </threadedComment>
  <threadedComment ref="M21" dT="2019-03-19T17:33:04.24" personId="{24770FA3-2E71-45FC-8D9B-44727DC045D6}" id="{0301B1A3-4F74-4783-960E-D6CBA57FE5B2}">
    <text>Fokus liegt auf funktionalen Energiespeichern; insofern Lastmanagement als ein funktionaler Energiespeicher betrachtet.</text>
  </threadedComment>
  <threadedComment ref="X21" dT="2019-03-21T16:51:51.67" personId="{24770FA3-2E71-45FC-8D9B-44727DC045D6}" id="{9086F364-797A-4E71-871E-9F2C1C0C8AAF}">
    <text>zu industriellen QSTs</text>
  </threadedComment>
  <threadedComment ref="Y21" dT="2019-03-21T14:52:31.35" personId="{24770FA3-2E71-45FC-8D9B-44727DC045D6}" id="{AD71906B-C053-4E1E-924C-E57B50344B41}">
    <text>2011/12 für Industrie (S. 168)</text>
  </threadedComment>
  <threadedComment ref="AE21" dT="2019-03-21T12:19:33.08" personId="{24770FA3-2E71-45FC-8D9B-44727DC045D6}" id="{B927298D-FDE7-4D1D-9887-762D70A5A459}">
    <text>Eigenerzeugung und -versorgung werden ebenso wie Speicher nach Netzanschluss im Rahmen dieser Arbeit nicht betrachtet, daher Teil zu Lastflexibilisierung mittels Batteriespeichern nicht ausgewertet.</text>
  </threadedComment>
  <threadedComment ref="AV21" dT="2019-03-21T18:56:51.40" personId="{24770FA3-2E71-45FC-8D9B-44727DC045D6}" id="{A23FF667-9C27-42CD-B9F7-F189C2EEDE67}">
    <text>Analysen mit unterschiedlichem Tiefgang; breiteste Datenbasis bei technischen und ökonomischen Potenzialen</text>
  </threadedComment>
  <threadedComment ref="AL22" dT="2019-02-26T09:53:32.09" personId="{24770FA3-2E71-45FC-8D9B-44727DC045D6}" id="{43723538-B28A-4839-ADF9-380660EC7BA0}">
    <text>nur positive Potenziale ausgewiesen.</text>
  </threadedComment>
  <threadedComment ref="AT22" dT="2019-02-26T09:54:00.17" personId="{24770FA3-2E71-45FC-8D9B-44727DC045D6}" id="{77A3FC1B-79FA-4BC2-B295-212ACFA2DFFB}">
    <text>variable Kosten in Form des VOLL gegeben</text>
  </threadedComment>
  <threadedComment ref="AL23" dT="2019-12-12T09:50:50.05" personId="{C50136EC-1E62-4592-B17A-7DA72D4F4ECD}" id="{E65FC2CE-EC54-413F-BAB4-05E79D6CEB1F}">
    <text>Prinzipiell ja, ausgewiesen werden jedoch nur Abschaltleistungen</text>
  </threadedComment>
  <threadedComment ref="A24" dT="2019-03-19T17:09:48.95" personId="{24770FA3-2E71-45FC-8D9B-44727DC045D6}" id="{AFA9BAE0-A743-4689-A11C-1CCBC551FCDF}">
    <text>Ansatz identisch zu demjenigen aus Gils 2015. Wird entsprechend zusammengefasst.</text>
  </threadedComment>
  <threadedComment ref="AV24" dT="2019-02-26T17:14:43.04" personId="{24770FA3-2E71-45FC-8D9B-44727DC045D6}" id="{705DAE10-40DC-4DEA-89D0-F5121F8AAE64}">
    <text>als "akzeptiert" deklariert; streng genommen aber technisches und daraus wiederum ökonomisches Potenzial ermittelt</text>
  </threadedComment>
  <threadedComment ref="BD24" dT="2019-03-08T17:33:33.97" personId="{24770FA3-2E71-45FC-8D9B-44727DC045D6}" id="{3DC350A8-E012-4F47-BDA5-418836B32B5A}">
    <text>keine Ausweisung der Potenziale für 2010, aber Bezugsjahr für die Projektionen bis 2020 bzw. 2030</text>
  </threadedComment>
  <threadedComment ref="G27" dT="2019-03-16T16:30:49.54" personId="{24770FA3-2E71-45FC-8D9B-44727DC045D6}" id="{BE4C82BD-AEB3-4AA2-88B4-1D4E30929E5D}">
    <text>Eigentlich handelt es sich - mit der Einschränkung, dass Mindestleistungen ausgeblendet werden - um technische Potenziale; diese werden in der Studie als theoretische Potenziale bezeichnet.</text>
  </threadedComment>
  <threadedComment ref="K27" dT="2019-03-16T17:41:25.80" personId="{24770FA3-2E71-45FC-8D9B-44727DC045D6}" id="{9A44F11E-612E-40F2-985C-A89AC305E350}">
    <text>Minimal- und Maximalabschätzung</text>
  </threadedComment>
  <threadedComment ref="AA27" dT="2019-03-16T17:43:26.94" personId="{24770FA3-2E71-45FC-8D9B-44727DC045D6}" id="{F39177F6-BFFD-447E-A3B2-290B710AA2FB}">
    <text>Datenbasis für die Modellierungen in Elsner et al. (2015)</text>
  </threadedComment>
  <threadedComment ref="BF27" dT="2019-03-16T17:40:38.66" personId="{24770FA3-2E71-45FC-8D9B-44727DC045D6}" id="{FB94E631-63E1-413E-921E-757C8AC3D58B}">
    <text>Betrachtungsjahr 2023</text>
  </threadedComment>
  <threadedComment ref="BS27" dT="2019-03-16T17:45:51.85" personId="{24770FA3-2E71-45FC-8D9B-44727DC045D6}" id="{2796B722-D7E9-48ED-BA33-7231DE3837F2}">
    <text>ohne Berücksichtigung von Gleichzeitigkeiten / Netzrestriktionen und Akzeptanzfaktoren</text>
  </threadedComment>
  <threadedComment ref="BT27" dT="2019-03-16T17:45:51.85" personId="{24770FA3-2E71-45FC-8D9B-44727DC045D6}" id="{0754040D-F55A-47FC-A448-897AE72AB960}">
    <text>ohne Berücksichtigung von Gleichzeitigkeiten / Netzrestriktionen und Akzeptanzfaktoren</text>
  </threadedComment>
  <threadedComment ref="AH28" dT="2020-01-18T21:24:22.18" personId="{C50136EC-1E62-4592-B17A-7DA72D4F4ECD}" id="{CAA891AF-BEAF-4B65-AC1E-14810B9FC1F4}">
    <text>Obacht: Wert von Scholz ist bei Summenbildung noch in Abzug zu bringen!</text>
  </threadedComment>
</ThreadedComments>
</file>

<file path=xl/threadedComments/threadedComment3.xml><?xml version="1.0" encoding="utf-8"?>
<ThreadedComments xmlns="http://schemas.microsoft.com/office/spreadsheetml/2018/threadedcomments" xmlns:x="http://schemas.openxmlformats.org/spreadsheetml/2006/main">
  <threadedComment ref="A16" dT="2019-12-07T16:39:21.89" personId="{C50136EC-1E62-4592-B17A-7DA72D4F4ECD}" id="{5026785F-65F3-4C17-9E7E-11CA224924BF}">
    <text>Alternativzuordnung zu Prozessen</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19-12-16T07:48:57.58" personId="{C50136EC-1E62-4592-B17A-7DA72D4F4ECD}" id="{73080A89-B79A-4D69-AB8F-2AAD7732E7F2}">
    <text>TODO: Annahmen je Studie nochmal kritisch prüfen! -&gt; Vollständigkeit der Abdeckung gewährleisten!</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19-12-16T07:48:57.58" personId="{C50136EC-1E62-4592-B17A-7DA72D4F4ECD}" id="{15961FC3-198F-4873-ADCD-60B59F11EB4B}">
    <text>TODO: Annahmen je Studie nochmal kritisch prüfen! -&gt; Vollständigkeit der Abdeckung gewährleisten!</text>
  </threadedComment>
</ThreadedComments>
</file>

<file path=xl/threadedComments/threadedComment6.xml><?xml version="1.0" encoding="utf-8"?>
<ThreadedComments xmlns="http://schemas.microsoft.com/office/spreadsheetml/2018/threadedcomments" xmlns:x="http://schemas.openxmlformats.org/spreadsheetml/2006/main">
  <threadedComment ref="A2" dT="2019-12-16T07:48:57.58" personId="{C50136EC-1E62-4592-B17A-7DA72D4F4ECD}" id="{D9138029-6DC2-44FC-A79F-88841DC39D36}">
    <text>TODO: Annahmen je Studie nochmal kritisch prüfen! -&gt; Vollständigkeit der Abdeckung gewährleisten!</text>
  </threadedComment>
</ThreadedComments>
</file>

<file path=xl/threadedComments/threadedComment7.xml><?xml version="1.0" encoding="utf-8"?>
<ThreadedComments xmlns="http://schemas.microsoft.com/office/spreadsheetml/2018/threadedcomments" xmlns:x="http://schemas.openxmlformats.org/spreadsheetml/2006/main">
  <threadedComment ref="A2" dT="2019-12-16T07:48:57.58" personId="{C50136EC-1E62-4592-B17A-7DA72D4F4ECD}" id="{528B5886-E577-4E8D-93E5-F4397F185B23}">
    <text>TODO: Datenbasis je Studie nochmal kritisch prüfen! -&gt; Vollständigkeit der Abdeckung gewährleisten!</text>
  </threadedComment>
  <threadedComment ref="C2" dT="2019-12-16T10:44:12.44" personId="{C50136EC-1E62-4592-B17A-7DA72D4F4ECD}" id="{726FE5B9-A17C-4898-BCDA-2CAD2548DE46}">
    <text>Im Wesentlichen Publikation des ISI zur Detaillierung des deutschen Stromverbrauchs -&gt; Schlomann et al.</text>
  </threadedComment>
  <threadedComment ref="E3" dT="2019-12-17T09:49:37.07" personId="{C50136EC-1E62-4592-B17A-7DA72D4F4ECD}" id="{E0908CDD-3BAE-479E-9BD9-183E15165CCB}">
    <text>genetische Algorithmen</text>
  </threadedComment>
  <threadedComment ref="E4" dT="2019-12-17T09:49:47.54" personId="{C50136EC-1E62-4592-B17A-7DA72D4F4ECD}" id="{7CCBA595-B3F8-4B77-B063-1EF3FFF438D6}">
    <text>Algorithmen für die Netzplanung / -betriebsführung</text>
  </threadedComment>
  <threadedComment ref="I4" dT="2019-12-17T10:40:19.75" personId="{C50136EC-1E62-4592-B17A-7DA72D4F4ECD}" id="{E6943411-C2AD-44A9-913A-EC6B87B3BBE0}">
    <text>Smart-A-Studie</text>
  </threadedComment>
  <threadedComment ref="H10" dT="2019-12-17T10:08:12.61" personId="{C50136EC-1E62-4592-B17A-7DA72D4F4ECD}" id="{3738266D-47A8-4CD9-BEB2-EF5C584A64C2}">
    <text>EinsMan-Daten VNB</text>
  </threadedComment>
  <threadedComment ref="L10" dT="2019-12-17T10:04:21.45" personId="{C50136EC-1E62-4592-B17A-7DA72D4F4ECD}" id="{7BA86735-D213-4B99-BC79-05279A175816}">
    <text>Daten aus LEEN</text>
  </threadedComment>
  <threadedComment ref="E13" dT="2019-12-17T09:49:25.92" personId="{C50136EC-1E62-4592-B17A-7DA72D4F4ECD}" id="{C3D8635D-766C-4E70-B316-22843797472B}">
    <text>Windprognosemodelle; Kraftwerkseinsatzmodelle</text>
  </threadedComment>
  <threadedComment ref="H14" dT="2019-12-17T10:10:27.00" personId="{C50136EC-1E62-4592-B17A-7DA72D4F4ECD}" id="{08C9C70D-C29E-40D2-BF7E-2DB71DCA9DE8}">
    <text>TLP für Wärmepumpen / Nachtspeicher</text>
  </threadedComment>
  <threadedComment ref="L14" dT="2019-12-17T10:04:21.45" personId="{C50136EC-1E62-4592-B17A-7DA72D4F4ECD}" id="{17EAD1C9-6A09-47E6-9E27-27E43CD644AC}">
    <text>Daten aus LEEN</text>
  </threadedComment>
  <threadedComment ref="H16" dT="2019-12-17T10:27:26.70" personId="{C50136EC-1E62-4592-B17A-7DA72D4F4ECD}" id="{8823962F-DB3A-4F34-A5D6-1A032DAF079F}">
    <text>Lastprofile Wärmepumpe, Nachtspeicher, SLPs</text>
  </threadedComment>
  <threadedComment ref="P16" dT="2019-12-17T10:28:19.14" personId="{C50136EC-1E62-4592-B17A-7DA72D4F4ECD}" id="{0BD7FCAD-9F35-48DE-89E8-E12361AC1416}">
    <text>Wetterdaten, ENTSO-E Lastwerte, NTCs, Marktdaten EEX (Energate-Zugang)</text>
  </threadedComment>
  <threadedComment ref="P17" dT="2019-12-17T10:46:19.98" personId="{C50136EC-1E62-4592-B17A-7DA72D4F4ECD}" id="{625D27F1-75D6-4EB0-BF20-D1BB87414124}">
    <text>Regelleistungsdaten</text>
  </threadedComment>
  <threadedComment ref="I18" dT="2019-12-17T10:40:19.75" personId="{C50136EC-1E62-4592-B17A-7DA72D4F4ECD}" id="{F06C08BF-CE5A-4B32-B68B-E34FB569E9B0}">
    <text>Smart-A-Studie</text>
  </threadedComment>
  <threadedComment ref="E19" dT="2019-12-17T10:45:03.88" personId="{C50136EC-1E62-4592-B17A-7DA72D4F4ECD}" id="{FB8FCC34-9CDF-452B-84B8-1D0270EDDBD8}">
    <text>(probabilistische) Vorhersagemodelle</text>
  </threadedComment>
  <threadedComment ref="P19" dT="2019-12-17T10:46:13.43" personId="{C50136EC-1E62-4592-B17A-7DA72D4F4ECD}" id="{034C06B3-3149-4287-BDB5-2B7DA2EC5E4C}">
    <text>Regelleistungsdaten</text>
  </threadedComment>
  <threadedComment ref="E20" dT="2019-12-17T10:48:28.04" personId="{C50136EC-1E62-4592-B17A-7DA72D4F4ECD}" id="{56FD98BC-0963-451F-ABB8-B0DD09093488}">
    <text>Modellierung von Demand Response / Unsicherheiten in Energiesystemen</text>
  </threadedComment>
  <threadedComment ref="H21" dT="2019-12-17T10:08:12.61" personId="{C50136EC-1E62-4592-B17A-7DA72D4F4ECD}" id="{9B3A8D63-F7E8-40EC-B628-FF13D2D9219C}">
    <text>EinsMan-Daten VNB</text>
  </threadedComment>
  <threadedComment ref="L21" dT="2019-12-17T10:04:21.45" personId="{C50136EC-1E62-4592-B17A-7DA72D4F4ECD}" id="{5DE7F7D5-8D7C-4B80-BC55-A98CA736A13D}">
    <text>Daten aus LEEN</text>
  </threadedComment>
  <threadedComment ref="H23" dT="2019-12-17T10:59:27.33" personId="{C50136EC-1E62-4592-B17A-7DA72D4F4ECD}" id="{7A0DF4E4-45D0-4D4B-9438-29DB50860419}">
    <text>EinsMan-Daten</text>
  </threadedComment>
  <threadedComment ref="P23" dT="2019-12-17T11:00:22.86" personId="{C50136EC-1E62-4592-B17A-7DA72D4F4ECD}" id="{DF0750E7-D449-4EFD-AD2F-7444C2C79CF5}">
    <text>ENTSO-E Lastdaten</text>
  </threadedComment>
  <threadedComment ref="P24" dT="2019-12-17T11:05:51.36" personId="{C50136EC-1E62-4592-B17A-7DA72D4F4ECD}" id="{8394E5BB-0C4B-4F80-9757-34451C300AE3}">
    <text>Odysee-Datenbank zu Verbräuchen von Enerdata</text>
  </threadedComment>
  <threadedComment ref="E26" dT="2019-12-17T11:12:50.21" personId="{C50136EC-1E62-4592-B17A-7DA72D4F4ECD}" id="{AF65C94E-772F-4B50-9CA6-145E98215D8E}">
    <text>Modellierung von Demand Response</text>
  </threadedComment>
  <threadedComment ref="P26" dT="2019-12-17T11:16:20.62" personId="{C50136EC-1E62-4592-B17A-7DA72D4F4ECD}" id="{713ADC81-5CA0-46BE-9BAD-6CFE3260E0AE}">
    <text>ENTSO-E / DWD</text>
  </threadedComment>
</ThreadedComments>
</file>

<file path=xl/threadedComments/threadedComment8.xml><?xml version="1.0" encoding="utf-8"?>
<ThreadedComments xmlns="http://schemas.microsoft.com/office/spreadsheetml/2018/threadedcomments" xmlns:x="http://schemas.openxmlformats.org/spreadsheetml/2006/main">
  <threadedComment ref="C2" dT="2019-12-16T10:44:12.44" personId="{C50136EC-1E62-4592-B17A-7DA72D4F4ECD}" id="{9974A794-AAFA-419F-997F-914E60E7E648}">
    <text>Im Wesentlichen Publikation des ISI zur Detaillierung des deutschen Stromverbrauchs -&gt; Schlomann et al.</text>
  </threadedComment>
</ThreadedComments>
</file>

<file path=xl/threadedComments/threadedComment9.xml><?xml version="1.0" encoding="utf-8"?>
<ThreadedComments xmlns="http://schemas.microsoft.com/office/spreadsheetml/2018/threadedcomments" xmlns:x="http://schemas.openxmlformats.org/spreadsheetml/2006/main">
  <threadedComment ref="A2" dT="2019-12-16T07:48:57.58" personId="{C50136EC-1E62-4592-B17A-7DA72D4F4ECD}" id="{A7EF2A23-0483-49C8-AA85-DB9EFF80D310}">
    <text>TODO: Datenbasis je Studie nochmal kritisch prüfen! -&gt; Vollständigkeit der Abdeckung gewährleisten!</text>
  </threadedComment>
  <threadedComment ref="C2" dT="2019-12-16T10:44:12.44" personId="{C50136EC-1E62-4592-B17A-7DA72D4F4ECD}" id="{06D483FC-F48D-425D-B4AF-EF3578F5116F}">
    <text>Im Wesentlichen Publikation des ISI zur Detaillierung des deutschen Stromverbrauchs -&gt; Schlomann et 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6.bin"/><Relationship Id="rId6" Type="http://schemas.microsoft.com/office/2017/10/relationships/threadedComment" Target="../threadedComments/threadedComment6.xml"/><Relationship Id="rId5" Type="http://schemas.openxmlformats.org/officeDocument/2006/relationships/comments" Target="../comments6.xml"/><Relationship Id="rId4"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vmlDrawing" Target="../drawings/vmlDrawing8.vml"/><Relationship Id="rId1" Type="http://schemas.openxmlformats.org/officeDocument/2006/relationships/printerSettings" Target="../printerSettings/printerSettings8.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xml"/><Relationship Id="rId1" Type="http://schemas.openxmlformats.org/officeDocument/2006/relationships/printerSettings" Target="../printerSettings/printerSettings9.bin"/><Relationship Id="rId6" Type="http://schemas.microsoft.com/office/2017/10/relationships/threadedComment" Target="../threadedComments/threadedComment9.xml"/><Relationship Id="rId5" Type="http://schemas.openxmlformats.org/officeDocument/2006/relationships/comments" Target="../comments9.xml"/><Relationship Id="rId4"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vmlDrawing" Target="../drawings/vmlDrawing10.vml"/><Relationship Id="rId1" Type="http://schemas.openxmlformats.org/officeDocument/2006/relationships/printerSettings" Target="../printerSettings/printerSettings10.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vmlDrawing" Target="../drawings/vmlDrawing11.vml"/><Relationship Id="rId1" Type="http://schemas.openxmlformats.org/officeDocument/2006/relationships/printerSettings" Target="../printerSettings/printerSettings11.bin"/><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4.xml"/><Relationship Id="rId1" Type="http://schemas.openxmlformats.org/officeDocument/2006/relationships/printerSettings" Target="../printerSettings/printerSettings12.bin"/><Relationship Id="rId6" Type="http://schemas.microsoft.com/office/2017/10/relationships/threadedComment" Target="../threadedComments/threadedComment12.xml"/><Relationship Id="rId5" Type="http://schemas.openxmlformats.org/officeDocument/2006/relationships/comments" Target="../comments12.xml"/><Relationship Id="rId4"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vmlDrawing" Target="../drawings/vmlDrawing13.vml"/><Relationship Id="rId1" Type="http://schemas.openxmlformats.org/officeDocument/2006/relationships/printerSettings" Target="../printerSettings/printerSettings14.bin"/><Relationship Id="rId5" Type="http://schemas.microsoft.com/office/2017/10/relationships/threadedComment" Target="../threadedComments/threadedComment13.xml"/><Relationship Id="rId4" Type="http://schemas.openxmlformats.org/officeDocument/2006/relationships/comments" Target="../comments13.xml"/></Relationships>
</file>

<file path=xl/worksheets/_rels/sheet28.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vmlDrawing" Target="../drawings/vmlDrawing14.vml"/><Relationship Id="rId1" Type="http://schemas.openxmlformats.org/officeDocument/2006/relationships/printerSettings" Target="../printerSettings/printerSettings18.bin"/><Relationship Id="rId5" Type="http://schemas.microsoft.com/office/2017/10/relationships/threadedComment" Target="../threadedComments/threadedComment14.xml"/><Relationship Id="rId4" Type="http://schemas.openxmlformats.org/officeDocument/2006/relationships/comments" Target="../comments14.xml"/></Relationships>
</file>

<file path=xl/worksheets/_rels/sheet32.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19.bin"/></Relationships>
</file>

<file path=xl/worksheets/_rels/sheet33.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4.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drawing" Target="../drawings/drawing6.xml"/></Relationships>
</file>

<file path=xl/worksheets/_rels/sheet35.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vmlDrawing" Target="../drawings/vmlDrawing15.vml"/><Relationship Id="rId1" Type="http://schemas.openxmlformats.org/officeDocument/2006/relationships/printerSettings" Target="../printerSettings/printerSettings20.bin"/><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6.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vmlDrawing" Target="../drawings/vmlDrawing16.vml"/><Relationship Id="rId1" Type="http://schemas.openxmlformats.org/officeDocument/2006/relationships/printerSettings" Target="../printerSettings/printerSettings21.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37.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vmlDrawing" Target="../drawings/vmlDrawing17.vml"/><Relationship Id="rId1" Type="http://schemas.openxmlformats.org/officeDocument/2006/relationships/printerSettings" Target="../printerSettings/printerSettings22.bin"/><Relationship Id="rId5" Type="http://schemas.microsoft.com/office/2017/10/relationships/threadedComment" Target="../threadedComments/threadedComment17.xml"/><Relationship Id="rId4" Type="http://schemas.openxmlformats.org/officeDocument/2006/relationships/comments" Target="../comments17.xm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7.xml"/><Relationship Id="rId1" Type="http://schemas.openxmlformats.org/officeDocument/2006/relationships/printerSettings" Target="../printerSettings/printerSettings23.bin"/><Relationship Id="rId6" Type="http://schemas.microsoft.com/office/2017/10/relationships/threadedComment" Target="../threadedComments/threadedComment18.xml"/><Relationship Id="rId5" Type="http://schemas.openxmlformats.org/officeDocument/2006/relationships/comments" Target="../comments18.xml"/><Relationship Id="rId4" Type="http://schemas.openxmlformats.org/officeDocument/2006/relationships/table" Target="../tables/table3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1.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drawing" Target="../drawings/drawing8.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4.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drawing" Target="../drawings/drawing9.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7.xml.rels><?xml version="1.0" encoding="UTF-8" standalone="yes"?>
<Relationships xmlns="http://schemas.openxmlformats.org/package/2006/relationships"><Relationship Id="rId2" Type="http://schemas.openxmlformats.org/officeDocument/2006/relationships/table" Target="../tables/table44.xml"/><Relationship Id="rId1" Type="http://schemas.openxmlformats.org/officeDocument/2006/relationships/drawing" Target="../drawings/drawing10.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2" Type="http://schemas.openxmlformats.org/officeDocument/2006/relationships/table" Target="../tables/table47.xml"/><Relationship Id="rId1" Type="http://schemas.openxmlformats.org/officeDocument/2006/relationships/drawing" Target="../drawings/drawing11.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3.xml.rels><?xml version="1.0" encoding="UTF-8" standalone="yes"?>
<Relationships xmlns="http://schemas.openxmlformats.org/package/2006/relationships"><Relationship Id="rId2" Type="http://schemas.openxmlformats.org/officeDocument/2006/relationships/table" Target="../tables/table50.xml"/><Relationship Id="rId1" Type="http://schemas.openxmlformats.org/officeDocument/2006/relationships/drawing" Target="../drawings/drawing12.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6.xml.rels><?xml version="1.0" encoding="UTF-8" standalone="yes"?>
<Relationships xmlns="http://schemas.openxmlformats.org/package/2006/relationships"><Relationship Id="rId2" Type="http://schemas.openxmlformats.org/officeDocument/2006/relationships/table" Target="../tables/table53.xml"/><Relationship Id="rId1" Type="http://schemas.openxmlformats.org/officeDocument/2006/relationships/drawing" Target="../drawings/drawing13.xml"/></Relationships>
</file>

<file path=xl/worksheets/_rels/sheet57.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58.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59.xml.rels><?xml version="1.0" encoding="UTF-8" standalone="yes"?>
<Relationships xmlns="http://schemas.openxmlformats.org/package/2006/relationships"><Relationship Id="rId2" Type="http://schemas.openxmlformats.org/officeDocument/2006/relationships/table" Target="../tables/table56.xml"/><Relationship Id="rId1" Type="http://schemas.openxmlformats.org/officeDocument/2006/relationships/drawing" Target="../drawings/drawing1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table" Target="../tables/table57.xml"/><Relationship Id="rId1" Type="http://schemas.openxmlformats.org/officeDocument/2006/relationships/vmlDrawing" Target="../drawings/vmlDrawing19.vml"/><Relationship Id="rId4" Type="http://schemas.microsoft.com/office/2017/10/relationships/threadedComment" Target="../threadedComments/threadedComment19.xml"/></Relationships>
</file>

<file path=xl/worksheets/_rels/sheet62.xml.rels><?xml version="1.0" encoding="UTF-8" standalone="yes"?>
<Relationships xmlns="http://schemas.openxmlformats.org/package/2006/relationships"><Relationship Id="rId26" Type="http://schemas.openxmlformats.org/officeDocument/2006/relationships/hyperlink" Target="https://www.enargus.de/pub/bscw.cgi/?op=enargus.eps2&amp;y=1&amp;q=flexibilit%c3%a4t&amp;id=927132&amp;d=complex_date_facet_enargus_fi_von/2010-2019&amp;d=complex_date_facet_enargus_fi_von/2020-2029&amp;m=2&amp;p=5&amp;v=10" TargetMode="External"/><Relationship Id="rId21" Type="http://schemas.openxmlformats.org/officeDocument/2006/relationships/hyperlink" Target="https://www.enargus.de/pub/bscw.cgi/?op=enargus.eps2&amp;y=1&amp;q=flexibilit%c3%a4t&amp;id=350506&amp;d=complex_date_facet_enargus_fi_von/2010-2019&amp;d=complex_date_facet_enargus_fi_von/2020-2029&amp;m=2&amp;p=4&amp;v=10" TargetMode="External"/><Relationship Id="rId42" Type="http://schemas.openxmlformats.org/officeDocument/2006/relationships/hyperlink" Target="https://www.enargus.de/pub/bscw.cgi/?op=enargus.eps2&amp;y=1&amp;q=flexibilit%c3%a4t&amp;id=939618&amp;d=complex_date_facet_enargus_fi_von/2010-2019&amp;d=complex_date_facet_enargus_fi_von/2020-2029&amp;m=2&amp;p=10&amp;v=10" TargetMode="External"/><Relationship Id="rId47" Type="http://schemas.openxmlformats.org/officeDocument/2006/relationships/hyperlink" Target="https://www.enargus.de/pub/bscw.cgi/?op=enargus.eps2&amp;y=1&amp;q=flexibilit%c3%a4t&amp;id=168272&amp;d=complex_date_facet_enargus_fi_von/2010-2019&amp;d=complex_date_facet_enargus_fi_von/2020-2029&amp;m=2&amp;p=11&amp;v=10" TargetMode="External"/><Relationship Id="rId63" Type="http://schemas.openxmlformats.org/officeDocument/2006/relationships/hyperlink" Target="https://www.enargus.de/pub/bscw.cgi/?op=enargus.eps2&amp;y=1&amp;q=flexibilit%c3%a4t&amp;id=423820&amp;d=complex_date_facet_enargus_fi_von/2010-2019&amp;d=complex_date_facet_enargus_fi_von/2020-2029&amp;m=2&amp;p=14&amp;v=10" TargetMode="External"/><Relationship Id="rId68" Type="http://schemas.openxmlformats.org/officeDocument/2006/relationships/hyperlink" Target="https://www.enargus.de/pub/bscw.cgi/?op=enargus.eps2&amp;y=1&amp;q=flexibilit%c3%a4t&amp;id=424368&amp;d=complex_date_facet_enargus_fi_von/2010-2019&amp;d=complex_date_facet_enargus_fi_von/2020-2029&amp;m=2&amp;p=16&amp;v=10" TargetMode="External"/><Relationship Id="rId84" Type="http://schemas.openxmlformats.org/officeDocument/2006/relationships/hyperlink" Target="https://www.enargus.de/pub/bscw.cgi/?op=enargus.eps2&amp;y=1&amp;q=flexibilit%c3%a4t&amp;id=376151&amp;d=complex_date_facet_enargus_fi_von/2010-2019&amp;d=complex_date_facet_enargus_fi_von/2020-2029&amp;m=2&amp;p=19&amp;v=10" TargetMode="External"/><Relationship Id="rId16" Type="http://schemas.openxmlformats.org/officeDocument/2006/relationships/hyperlink" Target="https://www.enargus.de/pub/bscw.cgi/?op=enargus.eps2&amp;y=1&amp;q=flexibilit%c3%a4t&amp;id=546741&amp;d=complex_date_facet_enargus_fi_von/2010-2019&amp;d=complex_date_facet_enargus_fi_von/2020-2029&amp;m=2&amp;p=3&amp;v=10" TargetMode="External"/><Relationship Id="rId11" Type="http://schemas.openxmlformats.org/officeDocument/2006/relationships/hyperlink" Target="https://www.enargus.de/pub/bscw.cgi/?op=enargus.eps2&amp;y=1&amp;q=flexibilit%c3%a4t&amp;id=936750&amp;d=complex_date_facet_enargus_fi_von/2010-2019&amp;d=complex_date_facet_enargus_fi_von/2020-2029&amp;m=2&amp;p=2&amp;v=10" TargetMode="External"/><Relationship Id="rId32" Type="http://schemas.openxmlformats.org/officeDocument/2006/relationships/hyperlink" Target="https://www.enargus.de/pub/bscw.cgi/?op=enargus.eps2&amp;y=1&amp;q=flexibilit%c3%a4t&amp;id=398934&amp;d=complex_date_facet_enargus_fi_von/2010-2019&amp;d=complex_date_facet_enargus_fi_von/2020-2029&amp;m=2&amp;p=7&amp;v=10" TargetMode="External"/><Relationship Id="rId37" Type="http://schemas.openxmlformats.org/officeDocument/2006/relationships/hyperlink" Target="https://www.enargus.de/pub/bscw.cgi/?op=enargus.eps2&amp;y=1&amp;q=flexibilit%c3%a4t&amp;id=301387&amp;d=complex_date_facet_enargus_fi_von/2010-2019&amp;d=complex_date_facet_enargus_fi_von/2020-2029&amp;m=2&amp;p=8&amp;v=10" TargetMode="External"/><Relationship Id="rId53" Type="http://schemas.openxmlformats.org/officeDocument/2006/relationships/hyperlink" Target="https://www.enargus.de/pub/bscw.cgi/?op=enargus.eps2&amp;y=1&amp;q=flexibilit%c3%a4t&amp;id=1047774&amp;d=complex_date_facet_enargus_fi_von/2010-2019&amp;d=complex_date_facet_enargus_fi_von/2020-2029&amp;m=2&amp;p=12&amp;v=10" TargetMode="External"/><Relationship Id="rId58" Type="http://schemas.openxmlformats.org/officeDocument/2006/relationships/hyperlink" Target="https://www.enargus.de/pub/bscw.cgi/?op=enargus.eps2&amp;y=1&amp;q=flexibilit%c3%a4t&amp;id=364278&amp;d=complex_date_facet_enargus_fi_von/2010-2019&amp;d=complex_date_facet_enargus_fi_von/2020-2029&amp;m=2&amp;p=13&amp;v=10" TargetMode="External"/><Relationship Id="rId74" Type="http://schemas.openxmlformats.org/officeDocument/2006/relationships/hyperlink" Target="https://www.enargus.de/pub/bscw.cgi/?op=enargus.eps2&amp;y=1&amp;q=flexibilit%c3%a4t&amp;id=1225119&amp;d=complex_date_facet_enargus_fi_von/2010-2019&amp;d=complex_date_facet_enargus_fi_von/2020-2029&amp;m=2&amp;p=17&amp;v=10" TargetMode="External"/><Relationship Id="rId79" Type="http://schemas.openxmlformats.org/officeDocument/2006/relationships/hyperlink" Target="https://www.enargus.de/pub/bscw.cgi/?op=enargus.eps2&amp;y=1&amp;q=flexibilit%c3%a4t&amp;id=612221&amp;d=complex_date_facet_enargus_fi_von/2010-2019&amp;d=complex_date_facet_enargus_fi_von/2020-2029&amp;m=2&amp;p=18&amp;v=10" TargetMode="External"/><Relationship Id="rId5" Type="http://schemas.openxmlformats.org/officeDocument/2006/relationships/hyperlink" Target="https://www.enargus.de/pub/bscw.cgi/?op=enargus.eps2&amp;y=1&amp;q=flexibilit%c3%a4t&amp;id=697467&amp;d=complex_date_facet_enargus_fi_von/2010-2019&amp;d=complex_date_facet_enargus_fi_von/2020-2029&amp;m=2&amp;v=10" TargetMode="External"/><Relationship Id="rId19" Type="http://schemas.openxmlformats.org/officeDocument/2006/relationships/hyperlink" Target="https://www.enargus.de/pub/bscw.cgi/?op=enargus.eps2&amp;y=1&amp;q=flexibilit%c3%a4t&amp;id=643889&amp;d=complex_date_facet_enargus_fi_von/2010-2019&amp;d=complex_date_facet_enargus_fi_von/2020-2029&amp;m=2&amp;p=3&amp;v=10" TargetMode="External"/><Relationship Id="rId14" Type="http://schemas.openxmlformats.org/officeDocument/2006/relationships/hyperlink" Target="https://www.enargus.de/pub/bscw.cgi/?op=enargus.eps2&amp;y=1&amp;q=flexibilit%c3%a4t&amp;id=1036306&amp;d=complex_date_facet_enargus_fi_von/2010-2019&amp;d=complex_date_facet_enargus_fi_von/2020-2029&amp;m=2&amp;p=2&amp;v=10" TargetMode="External"/><Relationship Id="rId22" Type="http://schemas.openxmlformats.org/officeDocument/2006/relationships/hyperlink" Target="https://www.enargus.de/pub/bscw.cgi/?op=enargus.eps2&amp;y=1&amp;q=flexibilit%c3%a4t&amp;id=398215&amp;d=complex_date_facet_enargus_fi_von/2010-2019&amp;d=complex_date_facet_enargus_fi_von/2020-2029&amp;m=2&amp;p=4&amp;v=10" TargetMode="External"/><Relationship Id="rId27" Type="http://schemas.openxmlformats.org/officeDocument/2006/relationships/hyperlink" Target="https://www.enargus.de/pub/bscw.cgi/?op=enargus.eps2&amp;y=1&amp;q=flexibilit%c3%a4t&amp;id=684615&amp;d=complex_date_facet_enargus_fi_von/2010-2019&amp;d=complex_date_facet_enargus_fi_von/2020-2029&amp;m=2&amp;p=5&amp;v=10" TargetMode="External"/><Relationship Id="rId30" Type="http://schemas.openxmlformats.org/officeDocument/2006/relationships/hyperlink" Target="https://www.enargus.de/pub/bscw.cgi/?op=enargus.eps2&amp;y=1&amp;q=flexibilit%c3%a4t&amp;id=1039234&amp;d=complex_date_facet_enargus_fi_von/2010-2019&amp;d=complex_date_facet_enargus_fi_von/2020-2029&amp;m=2&amp;p=6&amp;v=10" TargetMode="External"/><Relationship Id="rId35" Type="http://schemas.openxmlformats.org/officeDocument/2006/relationships/hyperlink" Target="https://www.enargus.de/pub/bscw.cgi/?op=enargus.eps2&amp;y=1&amp;q=flexibilit%c3%a4t&amp;id=422149&amp;d=complex_date_facet_enargus_fi_von/2010-2019&amp;d=complex_date_facet_enargus_fi_von/2020-2029&amp;m=2&amp;p=7&amp;v=10" TargetMode="External"/><Relationship Id="rId43" Type="http://schemas.openxmlformats.org/officeDocument/2006/relationships/hyperlink" Target="https://www.enargus.de/pub/bscw.cgi/?op=enargus.eps2&amp;y=1&amp;q=flexibilit%c3%a4t&amp;id=375477&amp;d=complex_date_facet_enargus_fi_von/2010-2019&amp;d=complex_date_facet_enargus_fi_von/2020-2029&amp;m=2&amp;p=10&amp;v=10" TargetMode="External"/><Relationship Id="rId48" Type="http://schemas.openxmlformats.org/officeDocument/2006/relationships/hyperlink" Target="https://www.enargus.de/pub/bscw.cgi/?op=enargus.eps2&amp;y=1&amp;q=flexibilit%c3%a4t&amp;id=1173691&amp;d=complex_date_facet_enargus_fi_von/2010-2019&amp;d=complex_date_facet_enargus_fi_von/2020-2029&amp;m=2&amp;p=11&amp;v=10" TargetMode="External"/><Relationship Id="rId56" Type="http://schemas.openxmlformats.org/officeDocument/2006/relationships/hyperlink" Target="https://www.enargus.de/pub/bscw.cgi/?op=enargus.eps2&amp;y=1&amp;q=flexibilit%c3%a4t&amp;id=401278&amp;d=complex_date_facet_enargus_fi_von/2010-2019&amp;d=complex_date_facet_enargus_fi_von/2020-2029&amp;m=2&amp;p=13&amp;v=10" TargetMode="External"/><Relationship Id="rId64" Type="http://schemas.openxmlformats.org/officeDocument/2006/relationships/hyperlink" Target="https://www.enargus.de/pub/bscw.cgi/?op=enargus.eps2&amp;y=1&amp;q=flexibilit%c3%a4t&amp;id=1168231&amp;d=complex_date_facet_enargus_fi_von/2010-2019&amp;d=complex_date_facet_enargus_fi_von/2020-2029&amp;m=2&amp;p=15&amp;v=10" TargetMode="External"/><Relationship Id="rId69" Type="http://schemas.openxmlformats.org/officeDocument/2006/relationships/hyperlink" Target="https://www.enargus.de/pub/bscw.cgi/?op=enargus.eps2&amp;y=1&amp;q=flexibilit%c3%a4t&amp;id=364311&amp;d=complex_date_facet_enargus_fi_von/2010-2019&amp;d=complex_date_facet_enargus_fi_von/2020-2029&amp;m=2&amp;p=16&amp;v=10" TargetMode="External"/><Relationship Id="rId77" Type="http://schemas.openxmlformats.org/officeDocument/2006/relationships/hyperlink" Target="https://www.enargus.de/pub/bscw.cgi/?op=enargus.eps2&amp;y=1&amp;q=flexibilit%c3%a4t&amp;id=937817&amp;d=complex_date_facet_enargus_fi_von/2010-2019&amp;d=complex_date_facet_enargus_fi_von/2020-2029&amp;m=2&amp;p=18&amp;v=10" TargetMode="External"/><Relationship Id="rId8" Type="http://schemas.openxmlformats.org/officeDocument/2006/relationships/hyperlink" Target="https://www.enargus.de/pub/bscw.cgi/?op=enargus.eps2&amp;y=1&amp;q=flexibilit%c3%a4t&amp;id=419171&amp;d=complex_date_facet_enargus_fi_von/2010-2019&amp;d=complex_date_facet_enargus_fi_von/2020-2029&amp;m=2&amp;p=1&amp;v=10" TargetMode="External"/><Relationship Id="rId51" Type="http://schemas.openxmlformats.org/officeDocument/2006/relationships/hyperlink" Target="https://www.enargus.de/pub/bscw.cgi/?op=enargus.eps2&amp;y=1&amp;q=flexibilit%c3%a4t&amp;id=1192794&amp;d=complex_date_facet_enargus_fi_von/2010-2019&amp;d=complex_date_facet_enargus_fi_von/2020-2029&amp;m=2&amp;p=12&amp;v=10" TargetMode="External"/><Relationship Id="rId72" Type="http://schemas.openxmlformats.org/officeDocument/2006/relationships/hyperlink" Target="https://www.enargus.de/pub/bscw.cgi/?op=enargus.eps2&amp;y=1&amp;q=flexibilit%c3%a4t&amp;id=364375&amp;d=complex_date_facet_enargus_fi_von/2010-2019&amp;d=complex_date_facet_enargus_fi_von/2020-2029&amp;m=2&amp;p=17&amp;v=10" TargetMode="External"/><Relationship Id="rId80" Type="http://schemas.openxmlformats.org/officeDocument/2006/relationships/hyperlink" Target="https://www.enargus.de/pub/bscw.cgi/?op=enargus.eps2&amp;y=1&amp;q=flexibilit%c3%a4t&amp;id=439711&amp;d=complex_date_facet_enargus_fi_von/2010-2019&amp;d=complex_date_facet_enargus_fi_von/2020-2029&amp;m=2&amp;p=18&amp;v=10" TargetMode="External"/><Relationship Id="rId85" Type="http://schemas.openxmlformats.org/officeDocument/2006/relationships/hyperlink" Target="https://www.enargus.de/pub/bscw.cgi/?op=enargus.eps2&amp;y=1&amp;q=flexibilit%c3%a4t&amp;id=371022&amp;d=complex_date_facet_enargus_fi_von/2010-2019&amp;d=complex_date_facet_enargus_fi_von/2020-2029&amp;m=2&amp;p=19&amp;v=10" TargetMode="External"/><Relationship Id="rId3" Type="http://schemas.openxmlformats.org/officeDocument/2006/relationships/hyperlink" Target="https://www.enargus.de/pub/bscw.cgi/?op=enargus.eps2&amp;y=1&amp;q=flexibilit%c3%a4t&amp;id=400861&amp;d=complex_date_facet_enargus_fi_von/2010-2019&amp;d=complex_date_facet_enargus_fi_von/2020-2029&amp;m=2&amp;v=10" TargetMode="External"/><Relationship Id="rId12" Type="http://schemas.openxmlformats.org/officeDocument/2006/relationships/hyperlink" Target="https://www.enargus.de/pub/bscw.cgi/?op=enargus.eps2&amp;y=1&amp;q=flexibilit%c3%a4t&amp;id=548612&amp;d=complex_date_facet_enargus_fi_von/2010-2019&amp;d=complex_date_facet_enargus_fi_von/2020-2029&amp;m=2&amp;p=2&amp;v=10" TargetMode="External"/><Relationship Id="rId17" Type="http://schemas.openxmlformats.org/officeDocument/2006/relationships/hyperlink" Target="https://www.enargus.de/pub/bscw.cgi/?op=enargus.eps2&amp;y=1&amp;q=flexibilit%c3%a4t&amp;id=546124&amp;d=complex_date_facet_enargus_fi_von/2010-2019&amp;d=complex_date_facet_enargus_fi_von/2020-2029&amp;m=2&amp;p=3&amp;v=10" TargetMode="External"/><Relationship Id="rId25" Type="http://schemas.openxmlformats.org/officeDocument/2006/relationships/hyperlink" Target="https://www.enargus.de/pub/bscw.cgi/?op=enargus.eps2&amp;y=1&amp;q=flexibilit%c3%a4t&amp;id=1241575&amp;d=complex_date_facet_enargus_fi_von/2010-2019&amp;d=complex_date_facet_enargus_fi_von/2020-2029&amp;m=2&amp;p=5&amp;v=10" TargetMode="External"/><Relationship Id="rId33" Type="http://schemas.openxmlformats.org/officeDocument/2006/relationships/hyperlink" Target="https://www.enargus.de/pub/bscw.cgi/?op=enargus.eps2&amp;y=1&amp;q=flexibilit%c3%a4t&amp;id=386812&amp;d=complex_date_facet_enargus_fi_von/2010-2019&amp;d=complex_date_facet_enargus_fi_von/2020-2029&amp;m=2&amp;p=7&amp;v=10" TargetMode="External"/><Relationship Id="rId38" Type="http://schemas.openxmlformats.org/officeDocument/2006/relationships/hyperlink" Target="https://www.enargus.de/pub/bscw.cgi/?op=enargus.eps2&amp;y=1&amp;q=flexibilit%c3%a4t&amp;id=617403&amp;d=complex_date_facet_enargus_fi_von/2010-2019&amp;d=complex_date_facet_enargus_fi_von/2020-2029&amp;m=2&amp;p=9&amp;v=10" TargetMode="External"/><Relationship Id="rId46" Type="http://schemas.openxmlformats.org/officeDocument/2006/relationships/hyperlink" Target="https://www.enargus.de/pub/bscw.cgi/?op=enargus.eps2&amp;y=1&amp;q=flexibilit%c3%a4t&amp;id=1152234&amp;d=complex_date_facet_enargus_fi_von/2010-2019&amp;d=complex_date_facet_enargus_fi_von/2020-2029&amp;m=2&amp;p=11&amp;v=10" TargetMode="External"/><Relationship Id="rId59" Type="http://schemas.openxmlformats.org/officeDocument/2006/relationships/hyperlink" Target="https://www.enargus.de/pub/bscw.cgi/?op=enargus.eps2&amp;y=1&amp;q=flexibilit%c3%a4t&amp;id=870459&amp;d=complex_date_facet_enargus_fi_von/2010-2019&amp;d=complex_date_facet_enargus_fi_von/2020-2029&amp;m=2&amp;p=14&amp;v=10" TargetMode="External"/><Relationship Id="rId67" Type="http://schemas.openxmlformats.org/officeDocument/2006/relationships/hyperlink" Target="https://www.enargus.de/pub/bscw.cgi/?op=enargus.eps2&amp;y=1&amp;q=flexibilit%c3%a4t&amp;id=397664&amp;d=complex_date_facet_enargus_fi_von/2010-2019&amp;d=complex_date_facet_enargus_fi_von/2020-2029&amp;m=2&amp;p=16&amp;v=10" TargetMode="External"/><Relationship Id="rId20" Type="http://schemas.openxmlformats.org/officeDocument/2006/relationships/hyperlink" Target="https://www.enargus.de/pub/bscw.cgi/?op=enargus.eps2&amp;y=1&amp;q=flexibilit%c3%a4t&amp;id=428536&amp;d=complex_date_facet_enargus_fi_von/2010-2019&amp;d=complex_date_facet_enargus_fi_von/2020-2029&amp;m=2&amp;p=3&amp;v=10" TargetMode="External"/><Relationship Id="rId41" Type="http://schemas.openxmlformats.org/officeDocument/2006/relationships/hyperlink" Target="https://www.enargus.de/pub/bscw.cgi/?op=enargus.eps2&amp;y=1&amp;q=flexibilit%c3%a4t&amp;id=994300&amp;d=complex_date_facet_enargus_fi_von/2010-2019&amp;d=complex_date_facet_enargus_fi_von/2020-2029&amp;m=2&amp;p=9&amp;v=10" TargetMode="External"/><Relationship Id="rId54" Type="http://schemas.openxmlformats.org/officeDocument/2006/relationships/hyperlink" Target="https://www.enargus.de/pub/bscw.cgi/?op=enargus.eps2&amp;y=1&amp;q=flexibilit%c3%a4t&amp;id=692913&amp;d=complex_date_facet_enargus_fi_von/2010-2019&amp;d=complex_date_facet_enargus_fi_von/2020-2029&amp;m=2&amp;p=13&amp;v=10" TargetMode="External"/><Relationship Id="rId62" Type="http://schemas.openxmlformats.org/officeDocument/2006/relationships/hyperlink" Target="https://www.enargus.de/pub/bscw.cgi/?op=enargus.eps2&amp;y=1&amp;q=flexibilit%c3%a4t&amp;id=431786&amp;d=complex_date_facet_enargus_fi_von/2010-2019&amp;d=complex_date_facet_enargus_fi_von/2020-2029&amp;m=2&amp;p=14&amp;v=10" TargetMode="External"/><Relationship Id="rId70" Type="http://schemas.openxmlformats.org/officeDocument/2006/relationships/hyperlink" Target="https://www.enargus.de/pub/bscw.cgi/?op=enargus.eps2&amp;y=1&amp;q=flexibilit%c3%a4t&amp;id=427346&amp;d=complex_date_facet_enargus_fi_von/2010-2019&amp;d=complex_date_facet_enargus_fi_von/2020-2029&amp;m=2&amp;p=16&amp;v=10" TargetMode="External"/><Relationship Id="rId75" Type="http://schemas.openxmlformats.org/officeDocument/2006/relationships/hyperlink" Target="https://www.enargus.de/pub/bscw.cgi/?op=enargus.eps2&amp;y=1&amp;q=flexibilit%c3%a4t&amp;id=1198027&amp;d=complex_date_facet_enargus_fi_von/2010-2019&amp;d=complex_date_facet_enargus_fi_von/2020-2029&amp;m=2&amp;p=17&amp;v=10" TargetMode="External"/><Relationship Id="rId83" Type="http://schemas.openxmlformats.org/officeDocument/2006/relationships/hyperlink" Target="https://www.enargus.de/pub/bscw.cgi/?op=enargus.eps2&amp;y=1&amp;q=flexibilit%c3%a4t&amp;id=407422&amp;d=complex_date_facet_enargus_fi_von/2010-2019&amp;d=complex_date_facet_enargus_fi_von/2020-2029&amp;m=2&amp;p=19&amp;v=10" TargetMode="External"/><Relationship Id="rId1" Type="http://schemas.openxmlformats.org/officeDocument/2006/relationships/hyperlink" Target="https://www.enargus.de/pub/bscw.cgi/?op=enargus.eps2&amp;y=1&amp;q=flexibilit%c3%a4t&amp;id=399477&amp;d=complex_date_facet_enargus_fi_von/2010-2019&amp;d=complex_date_facet_enargus_fi_von/2020-2029&amp;m=1&amp;v=10" TargetMode="External"/><Relationship Id="rId6" Type="http://schemas.openxmlformats.org/officeDocument/2006/relationships/hyperlink" Target="https://www.enargus.de/pub/bscw.cgi/?op=enargus.eps2&amp;y=1&amp;q=flexibilit%c3%a4t&amp;id=643471&amp;d=complex_date_facet_enargus_fi_von/2010-2019&amp;d=complex_date_facet_enargus_fi_von/2020-2029&amp;m=2&amp;p=1&amp;v=10" TargetMode="External"/><Relationship Id="rId15" Type="http://schemas.openxmlformats.org/officeDocument/2006/relationships/hyperlink" Target="https://www.enargus.de/pub/bscw.cgi/?op=enargus.eps2&amp;y=1&amp;q=flexibilit%c3%a4t&amp;id=872869&amp;d=complex_date_facet_enargus_fi_von/2010-2019&amp;d=complex_date_facet_enargus_fi_von/2020-2029&amp;m=2&amp;p=2&amp;v=10" TargetMode="External"/><Relationship Id="rId23" Type="http://schemas.openxmlformats.org/officeDocument/2006/relationships/hyperlink" Target="https://www.enargus.de/pub/bscw.cgi/?op=enargus.eps2&amp;y=1&amp;q=flexibilit%c3%a4t&amp;id=1049585&amp;d=complex_date_facet_enargus_fi_von/2010-2019&amp;d=complex_date_facet_enargus_fi_von/2020-2029&amp;m=2&amp;p=4&amp;v=10" TargetMode="External"/><Relationship Id="rId28" Type="http://schemas.openxmlformats.org/officeDocument/2006/relationships/hyperlink" Target="https://www.enargus.de/pub/bscw.cgi/?op=enargus.eps2&amp;y=1&amp;q=flexibilit%c3%a4t&amp;id=648662&amp;d=complex_date_facet_enargus_fi_von/2010-2019&amp;d=complex_date_facet_enargus_fi_von/2020-2029&amp;m=2&amp;p=6&amp;v=10" TargetMode="External"/><Relationship Id="rId36" Type="http://schemas.openxmlformats.org/officeDocument/2006/relationships/hyperlink" Target="https://www.enargus.de/pub/bscw.cgi/?op=enargus.eps2&amp;y=1&amp;q=flexibilit%c3%a4t&amp;id=1289430&amp;d=complex_date_facet_enargus_fi_von/2010-2019&amp;d=complex_date_facet_enargus_fi_von/2020-2029&amp;m=2&amp;p=7&amp;v=10" TargetMode="External"/><Relationship Id="rId49" Type="http://schemas.openxmlformats.org/officeDocument/2006/relationships/hyperlink" Target="https://www.enargus.de/pub/bscw.cgi/?op=enargus.eps2&amp;y=1&amp;q=flexibilit%c3%a4t&amp;id=937766&amp;d=complex_date_facet_enargus_fi_von/2010-2019&amp;d=complex_date_facet_enargus_fi_von/2020-2029&amp;m=2&amp;p=11&amp;v=10" TargetMode="External"/><Relationship Id="rId57" Type="http://schemas.openxmlformats.org/officeDocument/2006/relationships/hyperlink" Target="https://www.enargus.de/pub/bscw.cgi/?op=enargus.eps2&amp;y=1&amp;q=flexibilit%c3%a4t&amp;id=386409&amp;d=complex_date_facet_enargus_fi_von/2010-2019&amp;d=complex_date_facet_enargus_fi_von/2020-2029&amp;m=2&amp;p=13&amp;v=10" TargetMode="External"/><Relationship Id="rId10" Type="http://schemas.openxmlformats.org/officeDocument/2006/relationships/hyperlink" Target="https://www.enargus.de/pub/bscw.cgi/?op=enargus.eps2&amp;y=1&amp;q=flexibilit%c3%a4t&amp;id=871451&amp;d=complex_date_facet_enargus_fi_von/2010-2019&amp;d=complex_date_facet_enargus_fi_von/2020-2029&amp;m=2&amp;p=1&amp;v=10" TargetMode="External"/><Relationship Id="rId31" Type="http://schemas.openxmlformats.org/officeDocument/2006/relationships/hyperlink" Target="https://www.enargus.de/pub/bscw.cgi/?op=enargus.eps2&amp;y=1&amp;q=flexibilit%c3%a4t&amp;id=1217301&amp;d=complex_date_facet_enargus_fi_von/2010-2019&amp;d=complex_date_facet_enargus_fi_von/2020-2029&amp;m=2&amp;p=7&amp;v=10" TargetMode="External"/><Relationship Id="rId44" Type="http://schemas.openxmlformats.org/officeDocument/2006/relationships/hyperlink" Target="https://www.enargus.de/pub/bscw.cgi/?op=enargus.eps2&amp;y=1&amp;q=flexibilit%c3%a4t&amp;id=1217738&amp;d=complex_date_facet_enargus_fi_von/2010-2019&amp;d=complex_date_facet_enargus_fi_von/2020-2029&amp;m=2&amp;p=11&amp;v=10" TargetMode="External"/><Relationship Id="rId52" Type="http://schemas.openxmlformats.org/officeDocument/2006/relationships/hyperlink" Target="https://www.enargus.de/pub/bscw.cgi/?op=enargus.eps2&amp;y=1&amp;q=flexibilit%c3%a4t&amp;id=1320490&amp;d=complex_date_facet_enargus_fi_von/2010-2019&amp;d=complex_date_facet_enargus_fi_von/2020-2029&amp;m=2&amp;p=12&amp;v=10" TargetMode="External"/><Relationship Id="rId60" Type="http://schemas.openxmlformats.org/officeDocument/2006/relationships/hyperlink" Target="https://www.enargus.de/pub/bscw.cgi/?op=enargus.eps2&amp;y=1&amp;q=flexibilit%c3%a4t&amp;id=615590&amp;d=complex_date_facet_enargus_fi_von/2010-2019&amp;d=complex_date_facet_enargus_fi_von/2020-2029&amp;m=2&amp;p=14&amp;v=10" TargetMode="External"/><Relationship Id="rId65" Type="http://schemas.openxmlformats.org/officeDocument/2006/relationships/hyperlink" Target="https://www.enargus.de/pub/bscw.cgi/?op=enargus.eps2&amp;y=1&amp;q=flexibilit%c3%a4t&amp;id=915619&amp;d=complex_date_facet_enargus_fi_von/2010-2019&amp;d=complex_date_facet_enargus_fi_von/2020-2029&amp;m=2&amp;p=15&amp;v=10" TargetMode="External"/><Relationship Id="rId73" Type="http://schemas.openxmlformats.org/officeDocument/2006/relationships/hyperlink" Target="https://www.enargus.de/pub/bscw.cgi/?op=enargus.eps2&amp;y=1&amp;q=flexibilit%c3%a4t&amp;id=400188&amp;d=complex_date_facet_enargus_fi_von/2010-2019&amp;d=complex_date_facet_enargus_fi_von/2020-2029&amp;m=2&amp;p=17&amp;v=10" TargetMode="External"/><Relationship Id="rId78" Type="http://schemas.openxmlformats.org/officeDocument/2006/relationships/hyperlink" Target="https://www.enargus.de/pub/bscw.cgi/?op=enargus.eps2&amp;y=1&amp;q=flexibilit%c3%a4t&amp;id=937344&amp;d=complex_date_facet_enargus_fi_von/2010-2019&amp;d=complex_date_facet_enargus_fi_von/2020-2029&amp;m=2&amp;p=18&amp;v=10" TargetMode="External"/><Relationship Id="rId81" Type="http://schemas.openxmlformats.org/officeDocument/2006/relationships/hyperlink" Target="https://www.enargus.de/pub/bscw.cgi/?op=enargus.eps2&amp;y=1&amp;q=flexibilit%c3%a4t&amp;id=431658&amp;d=complex_date_facet_enargus_fi_von/2010-2019&amp;d=complex_date_facet_enargus_fi_von/2020-2029&amp;m=2&amp;p=18&amp;v=10" TargetMode="External"/><Relationship Id="rId86" Type="http://schemas.openxmlformats.org/officeDocument/2006/relationships/hyperlink" Target="https://www.enargus.de/pub/bscw.cgi/?op=enargus.eps2&amp;y=1&amp;q=flexibilit%c3%a4t&amp;id=417412&amp;d=complex_date_facet_enargus_fi_von/2010-2019&amp;d=complex_date_facet_enargus_fi_von/2020-2029&amp;m=2&amp;p=19&amp;v=10" TargetMode="External"/><Relationship Id="rId4" Type="http://schemas.openxmlformats.org/officeDocument/2006/relationships/hyperlink" Target="https://www.enargus.de/pub/bscw.cgi/?op=enargus.eps2&amp;y=1&amp;q=flexibilit%c3%a4t&amp;id=672328&amp;d=complex_date_facet_enargus_fi_von/2010-2019&amp;d=complex_date_facet_enargus_fi_von/2020-2029&amp;m=2&amp;v=10" TargetMode="External"/><Relationship Id="rId9" Type="http://schemas.openxmlformats.org/officeDocument/2006/relationships/hyperlink" Target="https://www.enargus.de/pub/bscw.cgi/?op=enargus.eps2&amp;y=1&amp;q=flexibilit%c3%a4t&amp;id=1153654&amp;d=complex_date_facet_enargus_fi_von/2010-2019&amp;d=complex_date_facet_enargus_fi_von/2020-2029&amp;m=2&amp;p=1&amp;v=10" TargetMode="External"/><Relationship Id="rId13" Type="http://schemas.openxmlformats.org/officeDocument/2006/relationships/hyperlink" Target="https://www.enargus.de/pub/bscw.cgi/?op=enargus.eps2&amp;y=1&amp;q=flexibilit%c3%a4t&amp;id=545441&amp;d=complex_date_facet_enargus_fi_von/2010-2019&amp;d=complex_date_facet_enargus_fi_von/2020-2029&amp;m=2&amp;p=2&amp;v=10" TargetMode="External"/><Relationship Id="rId18" Type="http://schemas.openxmlformats.org/officeDocument/2006/relationships/hyperlink" Target="https://www.enargus.de/pub/bscw.cgi/?op=enargus.eps2&amp;y=1&amp;q=flexibilit%c3%a4t&amp;id=420593&amp;d=complex_date_facet_enargus_fi_von/2010-2019&amp;d=complex_date_facet_enargus_fi_von/2020-2029&amp;m=2&amp;p=3&amp;v=10" TargetMode="External"/><Relationship Id="rId39" Type="http://schemas.openxmlformats.org/officeDocument/2006/relationships/hyperlink" Target="https://www.enargus.de/pub/bscw.cgi/?op=enargus.eps2&amp;y=1&amp;q=flexibilit%c3%a4t&amp;id=953415&amp;d=complex_date_facet_enargus_fi_von/2010-2019&amp;d=complex_date_facet_enargus_fi_von/2020-2029&amp;m=2&amp;p=9&amp;v=10" TargetMode="External"/><Relationship Id="rId34" Type="http://schemas.openxmlformats.org/officeDocument/2006/relationships/hyperlink" Target="https://www.enargus.de/pub/bscw.cgi/?op=enargus.eps2&amp;y=1&amp;q=flexibilit%c3%a4t&amp;id=1211166&amp;d=complex_date_facet_enargus_fi_von/2010-2019&amp;d=complex_date_facet_enargus_fi_von/2020-2029&amp;m=2&amp;p=7&amp;v=10" TargetMode="External"/><Relationship Id="rId50" Type="http://schemas.openxmlformats.org/officeDocument/2006/relationships/hyperlink" Target="https://www.enargus.de/pub/bscw.cgi/?op=enargus.eps2&amp;y=1&amp;q=flexibilit%c3%a4t&amp;id=994195&amp;d=complex_date_facet_enargus_fi_von/2010-2019&amp;d=complex_date_facet_enargus_fi_von/2020-2029&amp;m=2&amp;p=12&amp;v=10" TargetMode="External"/><Relationship Id="rId55" Type="http://schemas.openxmlformats.org/officeDocument/2006/relationships/hyperlink" Target="https://www.enargus.de/pub/bscw.cgi/?op=enargus.eps2&amp;y=1&amp;q=flexibilit%c3%a4t&amp;id=320066&amp;d=complex_date_facet_enargus_fi_von/2010-2019&amp;d=complex_date_facet_enargus_fi_von/2020-2029&amp;m=2&amp;p=13&amp;v=10" TargetMode="External"/><Relationship Id="rId76" Type="http://schemas.openxmlformats.org/officeDocument/2006/relationships/hyperlink" Target="https://www.enargus.de/pub/bscw.cgi/?op=enargus.eps2&amp;y=1&amp;q=flexibilit%c3%a4t&amp;id=426859&amp;d=complex_date_facet_enargus_fi_von/2010-2019&amp;d=complex_date_facet_enargus_fi_von/2020-2029&amp;m=2&amp;p=18&amp;v=10" TargetMode="External"/><Relationship Id="rId7" Type="http://schemas.openxmlformats.org/officeDocument/2006/relationships/hyperlink" Target="https://www.enargus.de/pub/bscw.cgi/?op=enargus.eps2&amp;y=1&amp;q=flexibilit%c3%a4t&amp;id=543379&amp;d=complex_date_facet_enargus_fi_von/2010-2019&amp;d=complex_date_facet_enargus_fi_von/2020-2029&amp;m=2&amp;p=1&amp;v=10" TargetMode="External"/><Relationship Id="rId71" Type="http://schemas.openxmlformats.org/officeDocument/2006/relationships/hyperlink" Target="https://www.enargus.de/pub/bscw.cgi/?op=enargus.eps2&amp;y=1&amp;q=flexibilit%c3%a4t&amp;id=380846&amp;d=complex_date_facet_enargus_fi_von/2010-2019&amp;d=complex_date_facet_enargus_fi_von/2020-2029&amp;m=2&amp;p=16&amp;v=10" TargetMode="External"/><Relationship Id="rId2" Type="http://schemas.openxmlformats.org/officeDocument/2006/relationships/hyperlink" Target="https://www.enargus.de/pub/bscw.cgi/?op=enargus.eps2&amp;y=1&amp;q=flexibilit%c3%a4t&amp;id=1309482&amp;d=complex_date_facet_enargus_fi_von/2010-2019&amp;d=complex_date_facet_enargus_fi_von/2020-2029&amp;m=2&amp;v=10" TargetMode="External"/><Relationship Id="rId29" Type="http://schemas.openxmlformats.org/officeDocument/2006/relationships/hyperlink" Target="https://www.enargus.de/pub/bscw.cgi/?op=enargus.eps2&amp;y=1&amp;q=flexibilit%c3%a4t&amp;id=540900&amp;d=complex_date_facet_enargus_fi_von/2010-2019&amp;d=complex_date_facet_enargus_fi_von/2020-2029&amp;m=2&amp;p=6&amp;v=10" TargetMode="External"/><Relationship Id="rId24" Type="http://schemas.openxmlformats.org/officeDocument/2006/relationships/hyperlink" Target="https://www.enargus.de/pub/bscw.cgi/?op=enargus.eps2&amp;y=1&amp;q=flexibilit%c3%a4t&amp;id=620153&amp;d=complex_date_facet_enargus_fi_von/2010-2019&amp;d=complex_date_facet_enargus_fi_von/2020-2029&amp;m=2&amp;p=5&amp;v=10" TargetMode="External"/><Relationship Id="rId40" Type="http://schemas.openxmlformats.org/officeDocument/2006/relationships/hyperlink" Target="https://www.enargus.de/pub/bscw.cgi/?op=enargus.eps2&amp;y=1&amp;q=flexibilit%c3%a4t&amp;id=689409&amp;d=complex_date_facet_enargus_fi_von/2010-2019&amp;d=complex_date_facet_enargus_fi_von/2020-2029&amp;m=2&amp;p=9&amp;v=10" TargetMode="External"/><Relationship Id="rId45" Type="http://schemas.openxmlformats.org/officeDocument/2006/relationships/hyperlink" Target="https://www.enargus.de/pub/bscw.cgi/?op=enargus.eps2&amp;y=1&amp;q=flexibilit%c3%a4t&amp;id=1213669&amp;d=complex_date_facet_enargus_fi_von/2010-2019&amp;d=complex_date_facet_enargus_fi_von/2020-2029&amp;m=2&amp;p=11&amp;v=10" TargetMode="External"/><Relationship Id="rId66" Type="http://schemas.openxmlformats.org/officeDocument/2006/relationships/hyperlink" Target="https://www.enargus.de/pub/bscw.cgi/?op=enargus.eps2&amp;y=1&amp;q=flexibilit%c3%a4t&amp;id=520387&amp;d=complex_date_facet_enargus_fi_von/2010-2019&amp;d=complex_date_facet_enargus_fi_von/2020-2029&amp;m=2&amp;p=15&amp;v=10" TargetMode="External"/><Relationship Id="rId87" Type="http://schemas.openxmlformats.org/officeDocument/2006/relationships/printerSettings" Target="../printerSettings/printerSettings24.bin"/><Relationship Id="rId61" Type="http://schemas.openxmlformats.org/officeDocument/2006/relationships/hyperlink" Target="https://www.enargus.de/pub/bscw.cgi/?op=enargus.eps2&amp;y=1&amp;q=flexibilit%c3%a4t&amp;id=440456&amp;d=complex_date_facet_enargus_fi_von/2010-2019&amp;d=complex_date_facet_enargus_fi_von/2020-2029&amp;m=2&amp;p=14&amp;v=10" TargetMode="External"/><Relationship Id="rId82" Type="http://schemas.openxmlformats.org/officeDocument/2006/relationships/hyperlink" Target="https://www.enargus.de/pub/bscw.cgi/?op=enargus.eps2&amp;y=1&amp;q=flexibilit%c3%a4t&amp;id=427893&amp;d=complex_date_facet_enargus_fi_von/2010-2019&amp;d=complex_date_facet_enargus_fi_von/2020-2029&amp;m=2&amp;p=19&amp;v=10"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88B51-0491-4F73-9C98-6325BE127E5A}">
  <sheetPr codeName="Tabelle1">
    <tabColor theme="5" tint="0.79998168889431442"/>
  </sheetPr>
  <dimension ref="A1:M47"/>
  <sheetViews>
    <sheetView workbookViewId="0">
      <selection activeCell="B47" sqref="B47"/>
    </sheetView>
  </sheetViews>
  <sheetFormatPr baseColWidth="10" defaultColWidth="11" defaultRowHeight="14.25" x14ac:dyDescent="0.2"/>
  <cols>
    <col min="1" max="1" width="5.625" style="97" customWidth="1"/>
    <col min="2" max="16384" width="11" style="97"/>
  </cols>
  <sheetData>
    <row r="1" spans="1:9" ht="15" x14ac:dyDescent="0.25">
      <c r="A1" s="96" t="s">
        <v>1411</v>
      </c>
    </row>
    <row r="3" spans="1:9" ht="15" x14ac:dyDescent="0.25">
      <c r="A3" s="96" t="s">
        <v>970</v>
      </c>
      <c r="B3" s="96" t="s">
        <v>1413</v>
      </c>
    </row>
    <row r="4" spans="1:9" x14ac:dyDescent="0.2">
      <c r="B4" s="98" t="s">
        <v>1412</v>
      </c>
    </row>
    <row r="5" spans="1:9" ht="15.75" x14ac:dyDescent="0.25">
      <c r="B5" s="98" t="s">
        <v>1481</v>
      </c>
      <c r="I5" s="107" t="s">
        <v>1414</v>
      </c>
    </row>
    <row r="6" spans="1:9" x14ac:dyDescent="0.2">
      <c r="B6" s="98"/>
    </row>
    <row r="7" spans="1:9" ht="15" x14ac:dyDescent="0.25">
      <c r="A7" s="96" t="s">
        <v>971</v>
      </c>
      <c r="B7" s="96" t="s">
        <v>1415</v>
      </c>
    </row>
    <row r="8" spans="1:9" ht="15" x14ac:dyDescent="0.25">
      <c r="A8" s="96"/>
      <c r="B8" s="97" t="s">
        <v>1492</v>
      </c>
    </row>
    <row r="9" spans="1:9" ht="15" x14ac:dyDescent="0.25">
      <c r="A9" s="96"/>
      <c r="B9" s="97" t="s">
        <v>1493</v>
      </c>
    </row>
    <row r="10" spans="1:9" s="109" customFormat="1" ht="15" x14ac:dyDescent="0.25">
      <c r="B10" s="109" t="s">
        <v>1489</v>
      </c>
    </row>
    <row r="11" spans="1:9" ht="15" x14ac:dyDescent="0.25">
      <c r="B11" s="96"/>
    </row>
    <row r="12" spans="1:9" ht="15" x14ac:dyDescent="0.25">
      <c r="B12" s="104" t="s">
        <v>1416</v>
      </c>
    </row>
    <row r="13" spans="1:9" x14ac:dyDescent="0.2">
      <c r="B13" s="97" t="s">
        <v>1490</v>
      </c>
    </row>
    <row r="14" spans="1:9" ht="15" x14ac:dyDescent="0.25">
      <c r="A14" s="96"/>
      <c r="B14" s="105" t="s">
        <v>1463</v>
      </c>
      <c r="D14" s="97" t="s">
        <v>1417</v>
      </c>
    </row>
    <row r="15" spans="1:9" x14ac:dyDescent="0.2">
      <c r="B15" s="105" t="s">
        <v>1464</v>
      </c>
      <c r="D15" s="97" t="s">
        <v>1418</v>
      </c>
    </row>
    <row r="16" spans="1:9" x14ac:dyDescent="0.2">
      <c r="B16" s="105" t="s">
        <v>1465</v>
      </c>
      <c r="D16" s="97" t="s">
        <v>1458</v>
      </c>
    </row>
    <row r="17" spans="1:4" x14ac:dyDescent="0.2">
      <c r="B17" s="105" t="s">
        <v>1468</v>
      </c>
      <c r="D17" s="97" t="s">
        <v>1459</v>
      </c>
    </row>
    <row r="18" spans="1:4" ht="15" x14ac:dyDescent="0.25">
      <c r="A18" s="96"/>
      <c r="B18" s="105" t="s">
        <v>1466</v>
      </c>
      <c r="D18" s="97" t="s">
        <v>1460</v>
      </c>
    </row>
    <row r="19" spans="1:4" x14ac:dyDescent="0.2">
      <c r="B19" s="105" t="s">
        <v>1467</v>
      </c>
      <c r="D19" s="97" t="s">
        <v>1461</v>
      </c>
    </row>
    <row r="20" spans="1:4" x14ac:dyDescent="0.2">
      <c r="B20" s="98"/>
    </row>
    <row r="21" spans="1:4" ht="15" x14ac:dyDescent="0.25">
      <c r="B21" s="104" t="s">
        <v>1462</v>
      </c>
    </row>
    <row r="22" spans="1:4" x14ac:dyDescent="0.2">
      <c r="B22" s="103" t="s">
        <v>1491</v>
      </c>
    </row>
    <row r="23" spans="1:4" x14ac:dyDescent="0.2">
      <c r="B23" s="105" t="s">
        <v>1473</v>
      </c>
    </row>
    <row r="24" spans="1:4" ht="15" x14ac:dyDescent="0.25">
      <c r="A24" s="96"/>
      <c r="B24" s="105" t="s">
        <v>1469</v>
      </c>
    </row>
    <row r="25" spans="1:4" x14ac:dyDescent="0.2">
      <c r="B25" s="105" t="s">
        <v>1470</v>
      </c>
    </row>
    <row r="26" spans="1:4" x14ac:dyDescent="0.2">
      <c r="B26" s="105" t="s">
        <v>1471</v>
      </c>
    </row>
    <row r="27" spans="1:4" x14ac:dyDescent="0.2">
      <c r="B27" s="105" t="s">
        <v>1472</v>
      </c>
    </row>
    <row r="28" spans="1:4" x14ac:dyDescent="0.2">
      <c r="B28" s="105" t="s">
        <v>1474</v>
      </c>
    </row>
    <row r="29" spans="1:4" x14ac:dyDescent="0.2">
      <c r="B29" s="106" t="s">
        <v>1475</v>
      </c>
    </row>
    <row r="30" spans="1:4" x14ac:dyDescent="0.2">
      <c r="B30" s="106" t="s">
        <v>1476</v>
      </c>
    </row>
    <row r="31" spans="1:4" x14ac:dyDescent="0.2">
      <c r="B31" s="106" t="s">
        <v>1477</v>
      </c>
    </row>
    <row r="32" spans="1:4" x14ac:dyDescent="0.2">
      <c r="B32" s="106" t="s">
        <v>1732</v>
      </c>
    </row>
    <row r="33" spans="1:13" x14ac:dyDescent="0.2">
      <c r="B33" s="105" t="s">
        <v>1478</v>
      </c>
    </row>
    <row r="34" spans="1:13" x14ac:dyDescent="0.2">
      <c r="B34" s="105" t="s">
        <v>1479</v>
      </c>
    </row>
    <row r="35" spans="1:13" x14ac:dyDescent="0.2">
      <c r="B35" s="105" t="s">
        <v>1480</v>
      </c>
    </row>
    <row r="36" spans="1:13" x14ac:dyDescent="0.2">
      <c r="B36" s="105"/>
    </row>
    <row r="37" spans="1:13" x14ac:dyDescent="0.2">
      <c r="B37" s="108" t="s">
        <v>1494</v>
      </c>
    </row>
    <row r="38" spans="1:13" x14ac:dyDescent="0.2">
      <c r="B38" s="108" t="s">
        <v>1495</v>
      </c>
    </row>
    <row r="39" spans="1:13" x14ac:dyDescent="0.2">
      <c r="B39" s="98" t="s">
        <v>1496</v>
      </c>
    </row>
    <row r="40" spans="1:13" ht="15" x14ac:dyDescent="0.2">
      <c r="B40" s="98" t="s">
        <v>1498</v>
      </c>
      <c r="G40" s="107" t="s">
        <v>1497</v>
      </c>
      <c r="I40" s="97" t="s">
        <v>1499</v>
      </c>
    </row>
    <row r="41" spans="1:13" x14ac:dyDescent="0.2">
      <c r="B41" s="98"/>
    </row>
    <row r="42" spans="1:13" ht="15" x14ac:dyDescent="0.25">
      <c r="A42" s="96" t="s">
        <v>971</v>
      </c>
      <c r="B42" s="96" t="s">
        <v>1482</v>
      </c>
    </row>
    <row r="43" spans="1:13" x14ac:dyDescent="0.2">
      <c r="B43" s="97" t="s">
        <v>1485</v>
      </c>
    </row>
    <row r="44" spans="1:13" x14ac:dyDescent="0.2">
      <c r="B44" s="105" t="s">
        <v>1488</v>
      </c>
    </row>
    <row r="45" spans="1:13" x14ac:dyDescent="0.2">
      <c r="B45" s="105" t="s">
        <v>1487</v>
      </c>
    </row>
    <row r="46" spans="1:13" x14ac:dyDescent="0.2">
      <c r="B46" s="105" t="s">
        <v>1486</v>
      </c>
    </row>
    <row r="47" spans="1:13" ht="15.75" x14ac:dyDescent="0.25">
      <c r="B47" s="97" t="s">
        <v>1484</v>
      </c>
      <c r="M47" s="107" t="s">
        <v>1483</v>
      </c>
    </row>
  </sheetData>
  <hyperlinks>
    <hyperlink ref="I5" location="Inhalt!A1" display="Inhalt" xr:uid="{78CF6D2D-8965-4575-B2A6-42BA857FB24A}"/>
    <hyperlink ref="M47" location="Dokumentation_Methode!A1" display="Dokumentation_Methode" xr:uid="{8046618F-59C2-4331-81CA-C63C4BCAA438}"/>
    <hyperlink ref="G40" location="Gesamtueberblick!A1" display="Gesamtüberblick" xr:uid="{05528B81-B53D-4D93-839B-F0077842121A}"/>
  </hyperlink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23C5C-15DD-4AA0-8499-5E34CCFEEA6C}">
  <sheetPr codeName="Tabelle10">
    <tabColor theme="5" tint="0.79998168889431442"/>
  </sheetPr>
  <dimension ref="A1:D53"/>
  <sheetViews>
    <sheetView topLeftCell="A13" workbookViewId="0">
      <selection activeCell="B13" sqref="B13"/>
    </sheetView>
  </sheetViews>
  <sheetFormatPr baseColWidth="10" defaultColWidth="11" defaultRowHeight="14.25" x14ac:dyDescent="0.2"/>
  <cols>
    <col min="1" max="1" width="34.5" style="1" customWidth="1"/>
    <col min="2" max="4" width="27.625" style="1" customWidth="1"/>
    <col min="5" max="16384" width="11" style="1"/>
  </cols>
  <sheetData>
    <row r="1" spans="1:4" ht="15" x14ac:dyDescent="0.25">
      <c r="A1" s="2" t="s">
        <v>968</v>
      </c>
      <c r="B1" s="2" t="s">
        <v>872</v>
      </c>
      <c r="C1" s="2" t="s">
        <v>935</v>
      </c>
      <c r="D1" s="2" t="s">
        <v>1016</v>
      </c>
    </row>
    <row r="2" spans="1:4" x14ac:dyDescent="0.2">
      <c r="A2" s="1" t="s">
        <v>1057</v>
      </c>
      <c r="B2" s="1">
        <v>1</v>
      </c>
    </row>
    <row r="3" spans="1:4" x14ac:dyDescent="0.2">
      <c r="A3" s="1" t="s">
        <v>1058</v>
      </c>
      <c r="B3" s="1">
        <v>2</v>
      </c>
    </row>
    <row r="4" spans="1:4" x14ac:dyDescent="0.2">
      <c r="A4" s="1" t="s">
        <v>1059</v>
      </c>
      <c r="B4" s="1">
        <v>3</v>
      </c>
    </row>
    <row r="5" spans="1:4" x14ac:dyDescent="0.2">
      <c r="A5" s="1" t="s">
        <v>1060</v>
      </c>
      <c r="B5" s="1">
        <v>4</v>
      </c>
    </row>
    <row r="6" spans="1:4" x14ac:dyDescent="0.2">
      <c r="A6" s="1" t="s">
        <v>1061</v>
      </c>
      <c r="B6" s="1">
        <v>5</v>
      </c>
    </row>
    <row r="7" spans="1:4" x14ac:dyDescent="0.2">
      <c r="A7" s="1" t="s">
        <v>1062</v>
      </c>
      <c r="B7" s="1">
        <v>6</v>
      </c>
    </row>
    <row r="8" spans="1:4" x14ac:dyDescent="0.2">
      <c r="A8" s="1" t="s">
        <v>1063</v>
      </c>
      <c r="B8" s="1">
        <v>7</v>
      </c>
    </row>
    <row r="9" spans="1:4" x14ac:dyDescent="0.2">
      <c r="A9" s="1" t="s">
        <v>1064</v>
      </c>
      <c r="B9" s="1">
        <v>8</v>
      </c>
    </row>
    <row r="10" spans="1:4" x14ac:dyDescent="0.2">
      <c r="A10" s="1" t="s">
        <v>1049</v>
      </c>
      <c r="B10" s="1">
        <v>9</v>
      </c>
    </row>
    <row r="11" spans="1:4" x14ac:dyDescent="0.2">
      <c r="A11" s="1" t="s">
        <v>1033</v>
      </c>
      <c r="B11" s="1">
        <v>10</v>
      </c>
    </row>
    <row r="12" spans="1:4" x14ac:dyDescent="0.2">
      <c r="A12" s="1" t="s">
        <v>1046</v>
      </c>
      <c r="B12" s="1">
        <v>11</v>
      </c>
    </row>
    <row r="13" spans="1:4" x14ac:dyDescent="0.2">
      <c r="A13" s="1" t="s">
        <v>1065</v>
      </c>
      <c r="B13" s="1">
        <v>17</v>
      </c>
    </row>
    <row r="14" spans="1:4" x14ac:dyDescent="0.2">
      <c r="A14" s="1" t="s">
        <v>1066</v>
      </c>
      <c r="B14" s="1">
        <v>13</v>
      </c>
    </row>
    <row r="15" spans="1:4" x14ac:dyDescent="0.2">
      <c r="A15" s="1" t="s">
        <v>1050</v>
      </c>
      <c r="B15" s="1">
        <v>14</v>
      </c>
    </row>
    <row r="16" spans="1:4" x14ac:dyDescent="0.2">
      <c r="A16" s="1" t="s">
        <v>1068</v>
      </c>
      <c r="B16" s="1" t="s">
        <v>1089</v>
      </c>
    </row>
    <row r="17" spans="1:2" x14ac:dyDescent="0.2">
      <c r="A17" s="1" t="s">
        <v>1083</v>
      </c>
      <c r="B17" s="1" t="s">
        <v>1095</v>
      </c>
    </row>
    <row r="18" spans="1:2" x14ac:dyDescent="0.2">
      <c r="A18" s="1" t="s">
        <v>1086</v>
      </c>
      <c r="B18" s="1" t="s">
        <v>1096</v>
      </c>
    </row>
    <row r="19" spans="1:2" x14ac:dyDescent="0.2">
      <c r="A19" s="1" t="s">
        <v>1084</v>
      </c>
      <c r="B19" s="1">
        <v>16</v>
      </c>
    </row>
    <row r="20" spans="1:2" x14ac:dyDescent="0.2">
      <c r="A20" s="1" t="s">
        <v>1067</v>
      </c>
      <c r="B20" s="1" t="s">
        <v>1090</v>
      </c>
    </row>
    <row r="21" spans="1:2" x14ac:dyDescent="0.2">
      <c r="A21" s="1" t="s">
        <v>1085</v>
      </c>
      <c r="B21" s="1" t="s">
        <v>1091</v>
      </c>
    </row>
    <row r="22" spans="1:2" x14ac:dyDescent="0.2">
      <c r="A22" s="1" t="s">
        <v>1034</v>
      </c>
      <c r="B22" s="1">
        <v>17</v>
      </c>
    </row>
    <row r="23" spans="1:2" x14ac:dyDescent="0.2">
      <c r="A23" s="1" t="s">
        <v>1069</v>
      </c>
      <c r="B23" s="1">
        <v>11</v>
      </c>
    </row>
    <row r="24" spans="1:2" x14ac:dyDescent="0.2">
      <c r="A24" s="1" t="s">
        <v>1070</v>
      </c>
      <c r="B24" s="1">
        <v>13</v>
      </c>
    </row>
    <row r="25" spans="1:2" x14ac:dyDescent="0.2">
      <c r="A25" s="1" t="s">
        <v>1071</v>
      </c>
      <c r="B25" s="1" t="s">
        <v>1092</v>
      </c>
    </row>
    <row r="26" spans="1:2" x14ac:dyDescent="0.2">
      <c r="A26" s="1" t="s">
        <v>1072</v>
      </c>
      <c r="B26" s="1" t="s">
        <v>1096</v>
      </c>
    </row>
    <row r="27" spans="1:2" x14ac:dyDescent="0.2">
      <c r="A27" s="1" t="s">
        <v>1051</v>
      </c>
      <c r="B27" s="1">
        <v>18</v>
      </c>
    </row>
    <row r="28" spans="1:2" x14ac:dyDescent="0.2">
      <c r="A28" s="1" t="s">
        <v>1073</v>
      </c>
      <c r="B28" s="1">
        <v>10</v>
      </c>
    </row>
    <row r="29" spans="1:2" x14ac:dyDescent="0.2">
      <c r="A29" s="1" t="s">
        <v>1074</v>
      </c>
      <c r="B29" s="1" t="s">
        <v>1089</v>
      </c>
    </row>
    <row r="30" spans="1:2" x14ac:dyDescent="0.2">
      <c r="A30" s="1" t="s">
        <v>1075</v>
      </c>
      <c r="B30" s="1">
        <v>13</v>
      </c>
    </row>
    <row r="31" spans="1:2" x14ac:dyDescent="0.2">
      <c r="A31" s="1" t="s">
        <v>1071</v>
      </c>
      <c r="B31" s="1" t="s">
        <v>1092</v>
      </c>
    </row>
    <row r="32" spans="1:2" x14ac:dyDescent="0.2">
      <c r="A32" s="1" t="s">
        <v>1052</v>
      </c>
      <c r="B32" s="1">
        <v>11</v>
      </c>
    </row>
    <row r="33" spans="1:2" x14ac:dyDescent="0.2">
      <c r="A33" s="1" t="s">
        <v>400</v>
      </c>
      <c r="B33" s="1" t="s">
        <v>1093</v>
      </c>
    </row>
    <row r="34" spans="1:2" x14ac:dyDescent="0.2">
      <c r="A34" s="1" t="s">
        <v>1087</v>
      </c>
      <c r="B34" s="1">
        <v>10</v>
      </c>
    </row>
    <row r="35" spans="1:2" x14ac:dyDescent="0.2">
      <c r="A35" s="1" t="s">
        <v>1088</v>
      </c>
      <c r="B35" s="1">
        <v>11</v>
      </c>
    </row>
    <row r="36" spans="1:2" x14ac:dyDescent="0.2">
      <c r="A36" s="1" t="s">
        <v>1076</v>
      </c>
      <c r="B36" s="1">
        <v>17</v>
      </c>
    </row>
    <row r="37" spans="1:2" x14ac:dyDescent="0.2">
      <c r="A37" s="1" t="s">
        <v>1165</v>
      </c>
      <c r="B37" s="1">
        <v>12</v>
      </c>
    </row>
    <row r="38" spans="1:2" x14ac:dyDescent="0.2">
      <c r="A38" s="1" t="s">
        <v>1077</v>
      </c>
      <c r="B38" s="1">
        <v>17</v>
      </c>
    </row>
    <row r="39" spans="1:2" x14ac:dyDescent="0.2">
      <c r="A39" s="1" t="s">
        <v>1078</v>
      </c>
      <c r="B39" s="1" t="s">
        <v>1094</v>
      </c>
    </row>
    <row r="40" spans="1:2" x14ac:dyDescent="0.2">
      <c r="A40" s="1" t="s">
        <v>1053</v>
      </c>
      <c r="B40" s="1" t="s">
        <v>1092</v>
      </c>
    </row>
    <row r="41" spans="1:2" x14ac:dyDescent="0.2">
      <c r="A41" s="1" t="s">
        <v>1079</v>
      </c>
      <c r="B41" s="1">
        <v>20</v>
      </c>
    </row>
    <row r="42" spans="1:2" x14ac:dyDescent="0.2">
      <c r="A42" s="1" t="s">
        <v>1054</v>
      </c>
      <c r="B42" s="1">
        <v>14</v>
      </c>
    </row>
    <row r="43" spans="1:2" x14ac:dyDescent="0.2">
      <c r="A43" s="1" t="s">
        <v>799</v>
      </c>
      <c r="B43" s="1">
        <v>21</v>
      </c>
    </row>
    <row r="44" spans="1:2" x14ac:dyDescent="0.2">
      <c r="A44" s="1" t="s">
        <v>1024</v>
      </c>
      <c r="B44" s="1">
        <v>15</v>
      </c>
    </row>
    <row r="45" spans="1:2" x14ac:dyDescent="0.2">
      <c r="A45" s="1" t="s">
        <v>1030</v>
      </c>
      <c r="B45" s="1">
        <v>17</v>
      </c>
    </row>
    <row r="46" spans="1:2" x14ac:dyDescent="0.2">
      <c r="A46" s="1" t="s">
        <v>1029</v>
      </c>
      <c r="B46" s="1" t="s">
        <v>1095</v>
      </c>
    </row>
    <row r="47" spans="1:2" x14ac:dyDescent="0.2">
      <c r="A47" s="1" t="s">
        <v>1080</v>
      </c>
      <c r="B47" s="1" t="s">
        <v>1090</v>
      </c>
    </row>
    <row r="48" spans="1:2" x14ac:dyDescent="0.2">
      <c r="A48" s="1" t="s">
        <v>1068</v>
      </c>
      <c r="B48" s="1" t="s">
        <v>1089</v>
      </c>
    </row>
    <row r="49" spans="1:2" x14ac:dyDescent="0.2">
      <c r="A49" s="1" t="s">
        <v>1081</v>
      </c>
      <c r="B49" s="1">
        <v>15</v>
      </c>
    </row>
    <row r="50" spans="1:2" x14ac:dyDescent="0.2">
      <c r="A50" s="1" t="s">
        <v>1053</v>
      </c>
      <c r="B50" s="1" t="s">
        <v>1092</v>
      </c>
    </row>
    <row r="51" spans="1:2" x14ac:dyDescent="0.2">
      <c r="A51" s="1" t="s">
        <v>1055</v>
      </c>
      <c r="B51" s="1">
        <v>18</v>
      </c>
    </row>
    <row r="52" spans="1:2" x14ac:dyDescent="0.2">
      <c r="A52" s="1" t="s">
        <v>1082</v>
      </c>
      <c r="B52" s="1">
        <v>17</v>
      </c>
    </row>
    <row r="53" spans="1:2" x14ac:dyDescent="0.2">
      <c r="A53" s="1" t="s">
        <v>1056</v>
      </c>
      <c r="B53" s="1" t="s">
        <v>1090</v>
      </c>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EBCE-9A14-4EC0-9E02-BCE6A13323B5}">
  <sheetPr codeName="Tabelle11">
    <tabColor theme="5" tint="0.79998168889431442"/>
  </sheetPr>
  <dimension ref="A1:D39"/>
  <sheetViews>
    <sheetView workbookViewId="0">
      <selection activeCell="B6" sqref="B6"/>
    </sheetView>
  </sheetViews>
  <sheetFormatPr baseColWidth="10" defaultColWidth="11" defaultRowHeight="14.25" x14ac:dyDescent="0.2"/>
  <cols>
    <col min="1" max="1" width="42.25" style="1" customWidth="1"/>
    <col min="2" max="4" width="27.625" style="1" customWidth="1"/>
    <col min="5" max="16384" width="11" style="1"/>
  </cols>
  <sheetData>
    <row r="1" spans="1:4" ht="15" x14ac:dyDescent="0.25">
      <c r="A1" s="2" t="s">
        <v>1107</v>
      </c>
      <c r="B1" s="2" t="s">
        <v>872</v>
      </c>
      <c r="C1" s="2" t="s">
        <v>935</v>
      </c>
      <c r="D1" s="2" t="s">
        <v>1016</v>
      </c>
    </row>
    <row r="2" spans="1:4" x14ac:dyDescent="0.2">
      <c r="A2" s="1" t="s">
        <v>1117</v>
      </c>
      <c r="B2" s="1">
        <v>1</v>
      </c>
    </row>
    <row r="3" spans="1:4" x14ac:dyDescent="0.2">
      <c r="A3" s="1" t="s">
        <v>1116</v>
      </c>
      <c r="B3" s="1">
        <v>2</v>
      </c>
    </row>
    <row r="4" spans="1:4" x14ac:dyDescent="0.2">
      <c r="A4" s="1" t="s">
        <v>1118</v>
      </c>
      <c r="B4" s="1">
        <v>3</v>
      </c>
    </row>
    <row r="5" spans="1:4" x14ac:dyDescent="0.2">
      <c r="A5" s="1" t="s">
        <v>1119</v>
      </c>
      <c r="B5" s="1">
        <v>5</v>
      </c>
    </row>
    <row r="6" spans="1:4" x14ac:dyDescent="0.2">
      <c r="A6" s="1" t="s">
        <v>1078</v>
      </c>
      <c r="B6" s="1">
        <v>6</v>
      </c>
    </row>
    <row r="7" spans="1:4" x14ac:dyDescent="0.2">
      <c r="A7" s="1" t="s">
        <v>1120</v>
      </c>
      <c r="B7" s="1">
        <v>8</v>
      </c>
    </row>
    <row r="8" spans="1:4" x14ac:dyDescent="0.2">
      <c r="A8" s="1" t="s">
        <v>1121</v>
      </c>
      <c r="B8" s="1">
        <v>9</v>
      </c>
    </row>
    <row r="9" spans="1:4" x14ac:dyDescent="0.2">
      <c r="A9" s="1" t="s">
        <v>1109</v>
      </c>
      <c r="B9" s="1">
        <v>10</v>
      </c>
    </row>
    <row r="10" spans="1:4" x14ac:dyDescent="0.2">
      <c r="A10" s="1" t="s">
        <v>1122</v>
      </c>
      <c r="B10" s="1">
        <v>3</v>
      </c>
    </row>
    <row r="11" spans="1:4" x14ac:dyDescent="0.2">
      <c r="A11" s="1" t="s">
        <v>1123</v>
      </c>
      <c r="B11" s="1">
        <v>2</v>
      </c>
    </row>
    <row r="12" spans="1:4" x14ac:dyDescent="0.2">
      <c r="A12" s="1" t="s">
        <v>1124</v>
      </c>
      <c r="B12" s="1">
        <v>11</v>
      </c>
    </row>
    <row r="13" spans="1:4" x14ac:dyDescent="0.2">
      <c r="A13" s="1" t="s">
        <v>1125</v>
      </c>
      <c r="B13" s="1">
        <v>10</v>
      </c>
    </row>
    <row r="14" spans="1:4" x14ac:dyDescent="0.2">
      <c r="A14" s="1" t="s">
        <v>1126</v>
      </c>
      <c r="B14" s="1">
        <v>9</v>
      </c>
    </row>
    <row r="15" spans="1:4" x14ac:dyDescent="0.2">
      <c r="A15" s="1" t="s">
        <v>1127</v>
      </c>
      <c r="B15" s="1">
        <v>12</v>
      </c>
    </row>
    <row r="16" spans="1:4" x14ac:dyDescent="0.2">
      <c r="A16" s="1" t="s">
        <v>1128</v>
      </c>
      <c r="B16" s="1">
        <v>7</v>
      </c>
    </row>
    <row r="17" spans="1:2" x14ac:dyDescent="0.2">
      <c r="A17" s="1" t="s">
        <v>1110</v>
      </c>
      <c r="B17" s="1">
        <v>13</v>
      </c>
    </row>
    <row r="18" spans="1:2" x14ac:dyDescent="0.2">
      <c r="A18" s="1" t="s">
        <v>1073</v>
      </c>
      <c r="B18" s="1" t="s">
        <v>1141</v>
      </c>
    </row>
    <row r="19" spans="1:2" x14ac:dyDescent="0.2">
      <c r="A19" s="1" t="s">
        <v>1129</v>
      </c>
      <c r="B19" s="1">
        <v>4</v>
      </c>
    </row>
    <row r="20" spans="1:2" x14ac:dyDescent="0.2">
      <c r="A20" s="1" t="s">
        <v>1111</v>
      </c>
      <c r="B20" s="1" t="s">
        <v>1142</v>
      </c>
    </row>
    <row r="21" spans="1:2" x14ac:dyDescent="0.2">
      <c r="A21" s="1" t="s">
        <v>1069</v>
      </c>
      <c r="B21" s="1">
        <v>5</v>
      </c>
    </row>
    <row r="22" spans="1:2" x14ac:dyDescent="0.2">
      <c r="A22" s="1" t="s">
        <v>1070</v>
      </c>
      <c r="B22" s="1">
        <v>9</v>
      </c>
    </row>
    <row r="23" spans="1:2" x14ac:dyDescent="0.2">
      <c r="A23" s="1" t="s">
        <v>1071</v>
      </c>
      <c r="B23" s="1">
        <v>7</v>
      </c>
    </row>
    <row r="24" spans="1:2" x14ac:dyDescent="0.2">
      <c r="A24" s="1" t="s">
        <v>1130</v>
      </c>
      <c r="B24" s="1">
        <v>7</v>
      </c>
    </row>
    <row r="25" spans="1:2" x14ac:dyDescent="0.2">
      <c r="A25" s="1" t="s">
        <v>1046</v>
      </c>
      <c r="B25" s="1">
        <v>5</v>
      </c>
    </row>
    <row r="26" spans="1:2" x14ac:dyDescent="0.2">
      <c r="A26" s="1" t="s">
        <v>1112</v>
      </c>
      <c r="B26" s="1" t="s">
        <v>1140</v>
      </c>
    </row>
    <row r="27" spans="1:2" x14ac:dyDescent="0.2">
      <c r="A27" s="1" t="s">
        <v>1053</v>
      </c>
      <c r="B27" s="1">
        <v>7</v>
      </c>
    </row>
    <row r="28" spans="1:2" x14ac:dyDescent="0.2">
      <c r="A28" s="1" t="s">
        <v>1133</v>
      </c>
      <c r="B28" s="1">
        <v>14</v>
      </c>
    </row>
    <row r="29" spans="1:2" x14ac:dyDescent="0.2">
      <c r="A29" s="1" t="s">
        <v>1134</v>
      </c>
      <c r="B29" s="1">
        <v>13</v>
      </c>
    </row>
    <row r="30" spans="1:2" x14ac:dyDescent="0.2">
      <c r="A30" s="1" t="s">
        <v>1135</v>
      </c>
      <c r="B30" s="1">
        <v>15</v>
      </c>
    </row>
    <row r="31" spans="1:2" x14ac:dyDescent="0.2">
      <c r="A31" s="1" t="s">
        <v>1136</v>
      </c>
      <c r="B31" s="1">
        <v>16</v>
      </c>
    </row>
    <row r="32" spans="1:2" x14ac:dyDescent="0.2">
      <c r="A32" s="1" t="s">
        <v>1113</v>
      </c>
      <c r="B32" s="1">
        <v>17</v>
      </c>
    </row>
    <row r="33" spans="1:2" x14ac:dyDescent="0.2">
      <c r="A33" s="1" t="s">
        <v>1137</v>
      </c>
      <c r="B33" s="1" t="s">
        <v>1140</v>
      </c>
    </row>
    <row r="34" spans="1:2" x14ac:dyDescent="0.2">
      <c r="A34" s="1" t="s">
        <v>1143</v>
      </c>
      <c r="B34" s="1">
        <v>9</v>
      </c>
    </row>
    <row r="35" spans="1:2" x14ac:dyDescent="0.2">
      <c r="A35" s="1" t="s">
        <v>1115</v>
      </c>
      <c r="B35" s="1">
        <v>18</v>
      </c>
    </row>
    <row r="36" spans="1:2" x14ac:dyDescent="0.2">
      <c r="A36" s="1" t="s">
        <v>1114</v>
      </c>
      <c r="B36" s="1">
        <v>13</v>
      </c>
    </row>
    <row r="37" spans="1:2" x14ac:dyDescent="0.2">
      <c r="A37" s="1" t="s">
        <v>1139</v>
      </c>
      <c r="B37" s="1">
        <v>5</v>
      </c>
    </row>
    <row r="38" spans="1:2" x14ac:dyDescent="0.2">
      <c r="A38" s="1" t="s">
        <v>1138</v>
      </c>
      <c r="B38" s="1">
        <v>16</v>
      </c>
    </row>
    <row r="39" spans="1:2" x14ac:dyDescent="0.2">
      <c r="A39" s="1" t="s">
        <v>436</v>
      </c>
      <c r="B39" s="1">
        <v>14</v>
      </c>
    </row>
  </sheetData>
  <pageMargins left="0.7" right="0.7" top="0.78740157499999996" bottom="0.78740157499999996"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F2271-F06E-4ABF-B8B7-002177FAF9F4}">
  <sheetPr codeName="Tabelle12">
    <tabColor theme="7" tint="0.79998168889431442"/>
  </sheetPr>
  <dimension ref="A1:P103"/>
  <sheetViews>
    <sheetView topLeftCell="A2" workbookViewId="0">
      <selection activeCell="B2" sqref="B2:N2"/>
    </sheetView>
  </sheetViews>
  <sheetFormatPr baseColWidth="10" defaultColWidth="10.875" defaultRowHeight="15.75" x14ac:dyDescent="0.25"/>
  <cols>
    <col min="1" max="1" width="21.75" style="7" customWidth="1"/>
    <col min="2" max="6" width="5.875" style="7" customWidth="1"/>
    <col min="7" max="7" width="48.125" style="14" hidden="1" customWidth="1"/>
    <col min="8" max="14" width="5.875" style="7" customWidth="1"/>
    <col min="15" max="15" width="29.875" style="7" customWidth="1"/>
    <col min="16" max="16" width="14.125" style="7" hidden="1" customWidth="1"/>
    <col min="17" max="16384" width="10.875" style="7"/>
  </cols>
  <sheetData>
    <row r="1" spans="1:16" ht="39.75" hidden="1"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134.25" customHeight="1" x14ac:dyDescent="0.25">
      <c r="A2" s="3" t="s">
        <v>853</v>
      </c>
      <c r="B2" s="43" t="s">
        <v>848</v>
      </c>
      <c r="C2" s="43" t="s">
        <v>849</v>
      </c>
      <c r="D2" s="43" t="s">
        <v>1449</v>
      </c>
      <c r="E2" s="43" t="s">
        <v>1450</v>
      </c>
      <c r="F2" s="43" t="s">
        <v>136</v>
      </c>
      <c r="G2" s="43" t="s">
        <v>103</v>
      </c>
      <c r="H2" s="43" t="s">
        <v>100</v>
      </c>
      <c r="I2" s="43" t="s">
        <v>97</v>
      </c>
      <c r="J2" s="43" t="s">
        <v>98</v>
      </c>
      <c r="K2" s="43" t="s">
        <v>126</v>
      </c>
      <c r="L2" s="43" t="s">
        <v>1451</v>
      </c>
      <c r="M2" s="43" t="s">
        <v>124</v>
      </c>
      <c r="N2" s="43" t="s">
        <v>99</v>
      </c>
      <c r="O2" s="3" t="s">
        <v>127</v>
      </c>
      <c r="P2" s="3" t="s">
        <v>104</v>
      </c>
    </row>
    <row r="3" spans="1:16" x14ac:dyDescent="0.25">
      <c r="A3" s="6">
        <v>1</v>
      </c>
      <c r="B3" s="42" t="str">
        <f>VLOOKUP(Ueberblick4[[#This Row],[Bottom-Up-Abschätzung]],Dropdown!$A$2:$D$4,4,FALSE)</f>
        <v>X</v>
      </c>
      <c r="C3" s="42" t="str">
        <f>VLOOKUP(Ueberblick4[[#This Row],[Top-Down-Abschätzung]],Dropdown!$A$2:$D$4,4,FALSE)</f>
        <v>X</v>
      </c>
      <c r="D3" s="42" t="str">
        <f>VLOOKUP(Ueberblick4[[#This Row],[Kosten-Potenzial-Kurven]],Dropdown!$A$2:$D$4,4,FALSE)</f>
        <v>-</v>
      </c>
      <c r="E3" s="42" t="str">
        <f>VLOOKUP(Ueberblick4[[#This Row],[Analyse mehrerer Szenarien]],Dropdown!$A$2:$D$4,4,FALSE)</f>
        <v>X</v>
      </c>
      <c r="F3" s="42" t="str">
        <f>VLOOKUP(Ueberblick4[[#This Row],[Untersuchung von Fehlermaßen]],Dropdown!$A$2:$D$4,4,FALSE)</f>
        <v>-</v>
      </c>
      <c r="G3" s="42" t="e">
        <f>VLOOKUP(Ueberblick4[[#This Row],[Quellen Methodik]],Dropdown!$A$2:$D$4,4,FALSE)</f>
        <v>#N/A</v>
      </c>
      <c r="H3" s="42" t="str">
        <f>VLOOKUP(Ueberblick4[[#This Row],[Literaturanalyse]],Dropdown!$A$2:$D$4,4,FALSE)</f>
        <v>X</v>
      </c>
      <c r="I3" s="42" t="str">
        <f>VLOOKUP(Ueberblick4[[#This Row],[Auswertung von Statistiken]],Dropdown!$A$2:$D$4,4,FALSE)</f>
        <v>X</v>
      </c>
      <c r="J3" s="42" t="str">
        <f>VLOOKUP(Ueberblick4[[#This Row],[Expertenabschätzungen]],Dropdown!$A$2:$D$4,4,FALSE)</f>
        <v>-</v>
      </c>
      <c r="K3" s="42" t="str">
        <f>VLOOKUP(Ueberblick4[[#This Row],[(Online-)Umfragen]],Dropdown!$A$2:$D$4,4,FALSE)</f>
        <v>X</v>
      </c>
      <c r="L3" s="42" t="str">
        <f>VLOOKUP(Ueberblick4[[#This Row],[Unternehmensbefragungen]],Dropdown!$A$2:$D$4,4,FALSE)</f>
        <v>X</v>
      </c>
      <c r="M3" s="42" t="str">
        <f>VLOOKUP(Ueberblick4[[#This Row],[eigene Annahmen]],Dropdown!$A$2:$D$4,4,FALSE)</f>
        <v>(X)</v>
      </c>
      <c r="N3" s="42" t="str">
        <f>VLOOKUP(Ueberblick4[[#This Row],[eigene Erhebungen]],Dropdown!$A$2:$D$4,4,FALSE)</f>
        <v>-</v>
      </c>
      <c r="O3" s="42">
        <v>2010</v>
      </c>
      <c r="P3" s="8" t="s">
        <v>178</v>
      </c>
    </row>
    <row r="4" spans="1:16" x14ac:dyDescent="0.25">
      <c r="A4" s="6">
        <v>2</v>
      </c>
      <c r="B4" s="42" t="str">
        <f>VLOOKUP(Ueberblick4[[#This Row],[Bottom-Up-Abschätzung]],Dropdown!$A$2:$D$4,4,FALSE)</f>
        <v>X</v>
      </c>
      <c r="C4" s="42" t="str">
        <f>VLOOKUP(Ueberblick4[[#This Row],[Top-Down-Abschätzung]],Dropdown!$A$2:$D$4,4,FALSE)</f>
        <v>X</v>
      </c>
      <c r="D4" s="42" t="str">
        <f>VLOOKUP(Ueberblick4[[#This Row],[Kosten-Potenzial-Kurven]],Dropdown!$A$2:$D$4,4,FALSE)</f>
        <v>-</v>
      </c>
      <c r="E4" s="42" t="str">
        <f>VLOOKUP(Ueberblick4[[#This Row],[Analyse mehrerer Szenarien]],Dropdown!$A$2:$D$4,4,FALSE)</f>
        <v>X</v>
      </c>
      <c r="F4" s="42" t="str">
        <f>VLOOKUP(Ueberblick4[[#This Row],[Untersuchung von Fehlermaßen]],Dropdown!$A$2:$D$4,4,FALSE)</f>
        <v>-</v>
      </c>
      <c r="G4" s="42" t="str">
        <f>Ueberblick[[#This Row],[Quellen Methodik]]</f>
        <v>751-755</v>
      </c>
      <c r="H4" s="42" t="str">
        <f>VLOOKUP(Ueberblick4[[#This Row],[Literaturanalyse]],Dropdown!$A$2:$D$4,4,FALSE)</f>
        <v>X</v>
      </c>
      <c r="I4" s="42" t="str">
        <f>VLOOKUP(Ueberblick4[[#This Row],[Auswertung von Statistiken]],Dropdown!$A$2:$D$4,4,FALSE)</f>
        <v>X</v>
      </c>
      <c r="J4" s="42" t="str">
        <f>VLOOKUP(Ueberblick4[[#This Row],[Expertenabschätzungen]],Dropdown!$A$2:$D$4,4,FALSE)</f>
        <v>-</v>
      </c>
      <c r="K4" s="42" t="str">
        <f>VLOOKUP(Ueberblick4[[#This Row],[(Online-)Umfragen]],Dropdown!$A$2:$D$4,4,FALSE)</f>
        <v>-</v>
      </c>
      <c r="L4" s="42" t="str">
        <f>VLOOKUP(Ueberblick4[[#This Row],[Unternehmensbefragungen]],Dropdown!$A$2:$D$4,4,FALSE)</f>
        <v>-</v>
      </c>
      <c r="M4" s="42" t="str">
        <f>VLOOKUP(Ueberblick4[[#This Row],[eigene Annahmen]],Dropdown!$A$2:$D$4,4,FALSE)</f>
        <v>X</v>
      </c>
      <c r="N4" s="42" t="str">
        <f>VLOOKUP(Ueberblick4[[#This Row],[eigene Erhebungen]],Dropdown!$A$2:$D$4,4,FALSE)</f>
        <v>-</v>
      </c>
      <c r="O4" s="42" t="s">
        <v>813</v>
      </c>
      <c r="P4" s="8" t="s">
        <v>812</v>
      </c>
    </row>
    <row r="5" spans="1:16" s="11" customFormat="1" x14ac:dyDescent="0.25">
      <c r="A5" s="6">
        <v>3</v>
      </c>
      <c r="B5" s="42" t="str">
        <f>VLOOKUP(Ueberblick4[[#This Row],[Bottom-Up-Abschätzung]],Dropdown!$A$2:$D$4,4,FALSE)</f>
        <v>X</v>
      </c>
      <c r="C5" s="42" t="str">
        <f>VLOOKUP(Ueberblick4[[#This Row],[Top-Down-Abschätzung]],Dropdown!$A$2:$D$4,4,FALSE)</f>
        <v>X</v>
      </c>
      <c r="D5" s="42" t="str">
        <f>VLOOKUP(Ueberblick4[[#This Row],[Kosten-Potenzial-Kurven]],Dropdown!$A$2:$D$4,4,FALSE)</f>
        <v>-</v>
      </c>
      <c r="E5" s="42" t="str">
        <f>VLOOKUP(Ueberblick4[[#This Row],[Analyse mehrerer Szenarien]],Dropdown!$A$2:$D$4,4,FALSE)</f>
        <v>-</v>
      </c>
      <c r="F5" s="42" t="str">
        <f>VLOOKUP(Ueberblick4[[#This Row],[Untersuchung von Fehlermaßen]],Dropdown!$A$2:$D$4,4,FALSE)</f>
        <v>-</v>
      </c>
      <c r="G5" s="42" t="str">
        <f>Ueberblick[[#This Row],[Quellen Methodik]]</f>
        <v>S. 1; 3-4</v>
      </c>
      <c r="H5" s="42" t="str">
        <f>VLOOKUP(Ueberblick4[[#This Row],[Literaturanalyse]],Dropdown!$A$2:$D$4,4,FALSE)</f>
        <v>X</v>
      </c>
      <c r="I5" s="42" t="str">
        <f>VLOOKUP(Ueberblick4[[#This Row],[Auswertung von Statistiken]],Dropdown!$A$2:$D$4,4,FALSE)</f>
        <v>X</v>
      </c>
      <c r="J5" s="42" t="str">
        <f>VLOOKUP(Ueberblick4[[#This Row],[Expertenabschätzungen]],Dropdown!$A$2:$D$4,4,FALSE)</f>
        <v>-</v>
      </c>
      <c r="K5" s="42" t="str">
        <f>VLOOKUP(Ueberblick4[[#This Row],[(Online-)Umfragen]],Dropdown!$A$2:$D$4,4,FALSE)</f>
        <v>-</v>
      </c>
      <c r="L5" s="42" t="str">
        <f>VLOOKUP(Ueberblick4[[#This Row],[Unternehmensbefragungen]],Dropdown!$A$2:$D$4,4,FALSE)</f>
        <v>-</v>
      </c>
      <c r="M5" s="42" t="str">
        <f>VLOOKUP(Ueberblick4[[#This Row],[eigene Annahmen]],Dropdown!$A$2:$D$4,4,FALSE)</f>
        <v>X</v>
      </c>
      <c r="N5" s="42" t="str">
        <f>VLOOKUP(Ueberblick4[[#This Row],[eigene Erhebungen]],Dropdown!$A$2:$D$4,4,FALSE)</f>
        <v>-</v>
      </c>
      <c r="O5" s="42">
        <v>2011</v>
      </c>
      <c r="P5" s="8" t="s">
        <v>372</v>
      </c>
    </row>
    <row r="6" spans="1:16" s="11" customFormat="1" x14ac:dyDescent="0.25">
      <c r="A6" s="6">
        <v>4</v>
      </c>
      <c r="B6" s="42" t="str">
        <f>VLOOKUP(Ueberblick4[[#This Row],[Bottom-Up-Abschätzung]],Dropdown!$A$2:$D$4,4,FALSE)</f>
        <v>X</v>
      </c>
      <c r="C6" s="42" t="str">
        <f>VLOOKUP(Ueberblick4[[#This Row],[Top-Down-Abschätzung]],Dropdown!$A$2:$D$4,4,FALSE)</f>
        <v>X</v>
      </c>
      <c r="D6" s="42" t="str">
        <f>VLOOKUP(Ueberblick4[[#This Row],[Kosten-Potenzial-Kurven]],Dropdown!$A$2:$D$4,4,FALSE)</f>
        <v>-</v>
      </c>
      <c r="E6" s="42" t="str">
        <f>VLOOKUP(Ueberblick4[[#This Row],[Analyse mehrerer Szenarien]],Dropdown!$A$2:$D$4,4,FALSE)</f>
        <v>-</v>
      </c>
      <c r="F6" s="42" t="str">
        <f>VLOOKUP(Ueberblick4[[#This Row],[Untersuchung von Fehlermaßen]],Dropdown!$A$2:$D$4,4,FALSE)</f>
        <v>(X)</v>
      </c>
      <c r="G6" s="42" t="str">
        <f>Ueberblick[[#This Row],[Quellen Methodik]]</f>
        <v>S. 2-58</v>
      </c>
      <c r="H6" s="42" t="str">
        <f>VLOOKUP(Ueberblick4[[#This Row],[Literaturanalyse]],Dropdown!$A$2:$D$4,4,FALSE)</f>
        <v>X</v>
      </c>
      <c r="I6" s="42" t="str">
        <f>VLOOKUP(Ueberblick4[[#This Row],[Auswertung von Statistiken]],Dropdown!$A$2:$D$4,4,FALSE)</f>
        <v>X</v>
      </c>
      <c r="J6" s="42" t="str">
        <f>VLOOKUP(Ueberblick4[[#This Row],[Expertenabschätzungen]],Dropdown!$A$2:$D$4,4,FALSE)</f>
        <v>-</v>
      </c>
      <c r="K6" s="42" t="str">
        <f>VLOOKUP(Ueberblick4[[#This Row],[(Online-)Umfragen]],Dropdown!$A$2:$D$4,4,FALSE)</f>
        <v>-</v>
      </c>
      <c r="L6" s="42" t="str">
        <f>VLOOKUP(Ueberblick4[[#This Row],[Unternehmensbefragungen]],Dropdown!$A$2:$D$4,4,FALSE)</f>
        <v>-</v>
      </c>
      <c r="M6" s="42" t="str">
        <f>VLOOKUP(Ueberblick4[[#This Row],[eigene Annahmen]],Dropdown!$A$2:$D$4,4,FALSE)</f>
        <v>X</v>
      </c>
      <c r="N6" s="42" t="str">
        <f>VLOOKUP(Ueberblick4[[#This Row],[eigene Erhebungen]],Dropdown!$A$2:$D$4,4,FALSE)</f>
        <v>(X)</v>
      </c>
      <c r="O6" s="42" t="s">
        <v>301</v>
      </c>
      <c r="P6" s="8" t="s">
        <v>308</v>
      </c>
    </row>
    <row r="7" spans="1:16" s="11" customFormat="1" ht="25.5" x14ac:dyDescent="0.25">
      <c r="A7" s="6">
        <v>5</v>
      </c>
      <c r="B7" s="42" t="str">
        <f>VLOOKUP(Ueberblick4[[#This Row],[Bottom-Up-Abschätzung]],Dropdown!$A$2:$D$4,4,FALSE)</f>
        <v>X</v>
      </c>
      <c r="C7" s="42" t="str">
        <f>VLOOKUP(Ueberblick4[[#This Row],[Top-Down-Abschätzung]],Dropdown!$A$2:$D$4,4,FALSE)</f>
        <v>X</v>
      </c>
      <c r="D7" s="42" t="str">
        <f>VLOOKUP(Ueberblick4[[#This Row],[Kosten-Potenzial-Kurven]],Dropdown!$A$2:$D$4,4,FALSE)</f>
        <v>-</v>
      </c>
      <c r="E7" s="42" t="str">
        <f>VLOOKUP(Ueberblick4[[#This Row],[Analyse mehrerer Szenarien]],Dropdown!$A$2:$D$4,4,FALSE)</f>
        <v>-</v>
      </c>
      <c r="F7" s="42" t="str">
        <f>VLOOKUP(Ueberblick4[[#This Row],[Untersuchung von Fehlermaßen]],Dropdown!$A$2:$D$4,4,FALSE)</f>
        <v>-</v>
      </c>
      <c r="G7" s="42" t="str">
        <f>Ueberblick[[#This Row],[Quellen Methodik]]</f>
        <v>11-23; 65-70; 86-104; 135-414</v>
      </c>
      <c r="H7" s="42" t="str">
        <f>VLOOKUP(Ueberblick4[[#This Row],[Literaturanalyse]],Dropdown!$A$2:$D$4,4,FALSE)</f>
        <v>X</v>
      </c>
      <c r="I7" s="42" t="str">
        <f>VLOOKUP(Ueberblick4[[#This Row],[Auswertung von Statistiken]],Dropdown!$A$2:$D$4,4,FALSE)</f>
        <v>X</v>
      </c>
      <c r="J7" s="42" t="str">
        <f>VLOOKUP(Ueberblick4[[#This Row],[Expertenabschätzungen]],Dropdown!$A$2:$D$4,4,FALSE)</f>
        <v>-</v>
      </c>
      <c r="K7" s="42" t="str">
        <f>VLOOKUP(Ueberblick4[[#This Row],[(Online-)Umfragen]],Dropdown!$A$2:$D$4,4,FALSE)</f>
        <v>-</v>
      </c>
      <c r="L7" s="42" t="str">
        <f>VLOOKUP(Ueberblick4[[#This Row],[Unternehmensbefragungen]],Dropdown!$A$2:$D$4,4,FALSE)</f>
        <v>-</v>
      </c>
      <c r="M7" s="42" t="str">
        <f>VLOOKUP(Ueberblick4[[#This Row],[eigene Annahmen]],Dropdown!$A$2:$D$4,4,FALSE)</f>
        <v>X</v>
      </c>
      <c r="N7" s="42" t="str">
        <f>VLOOKUP(Ueberblick4[[#This Row],[eigene Erhebungen]],Dropdown!$A$2:$D$4,4,FALSE)</f>
        <v>-</v>
      </c>
      <c r="O7" s="45" t="s">
        <v>238</v>
      </c>
      <c r="P7" s="8" t="s">
        <v>254</v>
      </c>
    </row>
    <row r="8" spans="1:16" s="11" customFormat="1" x14ac:dyDescent="0.25">
      <c r="A8" s="6">
        <v>6</v>
      </c>
      <c r="B8" s="42" t="str">
        <f>VLOOKUP(Ueberblick4[[#This Row],[Bottom-Up-Abschätzung]],Dropdown!$A$2:$D$4,4,FALSE)</f>
        <v>X</v>
      </c>
      <c r="C8" s="42" t="str">
        <f>VLOOKUP(Ueberblick4[[#This Row],[Top-Down-Abschätzung]],Dropdown!$A$2:$D$4,4,FALSE)</f>
        <v>X</v>
      </c>
      <c r="D8" s="42" t="str">
        <f>VLOOKUP(Ueberblick4[[#This Row],[Kosten-Potenzial-Kurven]],Dropdown!$A$2:$D$4,4,FALSE)</f>
        <v>-</v>
      </c>
      <c r="E8" s="42" t="str">
        <f>VLOOKUP(Ueberblick4[[#This Row],[Analyse mehrerer Szenarien]],Dropdown!$A$2:$D$4,4,FALSE)</f>
        <v>X</v>
      </c>
      <c r="F8" s="42" t="str">
        <f>VLOOKUP(Ueberblick4[[#This Row],[Untersuchung von Fehlermaßen]],Dropdown!$A$2:$D$4,4,FALSE)</f>
        <v>-</v>
      </c>
      <c r="G8" s="42" t="str">
        <f>Ueberblick[[#This Row],[Quellen Methodik]]</f>
        <v>S. 2-19; 80-93</v>
      </c>
      <c r="H8" s="42" t="str">
        <f>VLOOKUP(Ueberblick4[[#This Row],[Literaturanalyse]],Dropdown!$A$2:$D$4,4,FALSE)</f>
        <v>X</v>
      </c>
      <c r="I8" s="42" t="str">
        <f>VLOOKUP(Ueberblick4[[#This Row],[Auswertung von Statistiken]],Dropdown!$A$2:$D$4,4,FALSE)</f>
        <v>-</v>
      </c>
      <c r="J8" s="42" t="str">
        <f>VLOOKUP(Ueberblick4[[#This Row],[Expertenabschätzungen]],Dropdown!$A$2:$D$4,4,FALSE)</f>
        <v>-</v>
      </c>
      <c r="K8" s="42" t="str">
        <f>VLOOKUP(Ueberblick4[[#This Row],[(Online-)Umfragen]],Dropdown!$A$2:$D$4,4,FALSE)</f>
        <v>-</v>
      </c>
      <c r="L8" s="42" t="str">
        <f>VLOOKUP(Ueberblick4[[#This Row],[Unternehmensbefragungen]],Dropdown!$A$2:$D$4,4,FALSE)</f>
        <v>-</v>
      </c>
      <c r="M8" s="42" t="str">
        <f>VLOOKUP(Ueberblick4[[#This Row],[eigene Annahmen]],Dropdown!$A$2:$D$4,4,FALSE)</f>
        <v>X</v>
      </c>
      <c r="N8" s="42" t="str">
        <f>VLOOKUP(Ueberblick4[[#This Row],[eigene Erhebungen]],Dropdown!$A$2:$D$4,4,FALSE)</f>
        <v>-</v>
      </c>
      <c r="O8" s="42" t="s">
        <v>154</v>
      </c>
      <c r="P8" s="17" t="s">
        <v>362</v>
      </c>
    </row>
    <row r="9" spans="1:16" x14ac:dyDescent="0.25">
      <c r="A9" s="6">
        <v>7</v>
      </c>
      <c r="B9" s="42" t="str">
        <f>VLOOKUP(Ueberblick4[[#This Row],[Bottom-Up-Abschätzung]],Dropdown!$A$2:$D$4,4,FALSE)</f>
        <v>X</v>
      </c>
      <c r="C9" s="42" t="str">
        <f>VLOOKUP(Ueberblick4[[#This Row],[Top-Down-Abschätzung]],Dropdown!$A$2:$D$4,4,FALSE)</f>
        <v>X</v>
      </c>
      <c r="D9" s="42" t="str">
        <f>VLOOKUP(Ueberblick4[[#This Row],[Kosten-Potenzial-Kurven]],Dropdown!$A$2:$D$4,4,FALSE)</f>
        <v>-</v>
      </c>
      <c r="E9" s="42" t="str">
        <f>VLOOKUP(Ueberblick4[[#This Row],[Analyse mehrerer Szenarien]],Dropdown!$A$2:$D$4,4,FALSE)</f>
        <v>-</v>
      </c>
      <c r="F9" s="42" t="str">
        <f>VLOOKUP(Ueberblick4[[#This Row],[Untersuchung von Fehlermaßen]],Dropdown!$A$2:$D$4,4,FALSE)</f>
        <v>-</v>
      </c>
      <c r="G9" s="42" t="str">
        <f>Ueberblick[[#This Row],[Quellen Methodik]]</f>
        <v>S. 32; 35</v>
      </c>
      <c r="H9" s="42" t="str">
        <f>VLOOKUP(Ueberblick4[[#This Row],[Literaturanalyse]],Dropdown!$A$2:$D$4,4,FALSE)</f>
        <v>X</v>
      </c>
      <c r="I9" s="42" t="str">
        <f>VLOOKUP(Ueberblick4[[#This Row],[Auswertung von Statistiken]],Dropdown!$A$2:$D$4,4,FALSE)</f>
        <v>-</v>
      </c>
      <c r="J9" s="42" t="str">
        <f>VLOOKUP(Ueberblick4[[#This Row],[Expertenabschätzungen]],Dropdown!$A$2:$D$4,4,FALSE)</f>
        <v>-</v>
      </c>
      <c r="K9" s="42" t="str">
        <f>VLOOKUP(Ueberblick4[[#This Row],[(Online-)Umfragen]],Dropdown!$A$2:$D$4,4,FALSE)</f>
        <v>-</v>
      </c>
      <c r="L9" s="42" t="str">
        <f>VLOOKUP(Ueberblick4[[#This Row],[Unternehmensbefragungen]],Dropdown!$A$2:$D$4,4,FALSE)</f>
        <v>-</v>
      </c>
      <c r="M9" s="42" t="str">
        <f>VLOOKUP(Ueberblick4[[#This Row],[eigene Annahmen]],Dropdown!$A$2:$D$4,4,FALSE)</f>
        <v>X</v>
      </c>
      <c r="N9" s="42" t="str">
        <f>VLOOKUP(Ueberblick4[[#This Row],[eigene Erhebungen]],Dropdown!$A$2:$D$4,4,FALSE)</f>
        <v>-</v>
      </c>
      <c r="O9" s="44" t="s">
        <v>421</v>
      </c>
      <c r="P9" s="17" t="s">
        <v>354</v>
      </c>
    </row>
    <row r="10" spans="1:16" x14ac:dyDescent="0.25">
      <c r="A10" s="6">
        <v>8</v>
      </c>
      <c r="B10" s="42" t="str">
        <f>VLOOKUP(Ueberblick4[[#This Row],[Bottom-Up-Abschätzung]],Dropdown!$A$2:$D$4,4,FALSE)</f>
        <v>X</v>
      </c>
      <c r="C10" s="42" t="str">
        <f>VLOOKUP(Ueberblick4[[#This Row],[Top-Down-Abschätzung]],Dropdown!$A$2:$D$4,4,FALSE)</f>
        <v>X</v>
      </c>
      <c r="D10" s="42" t="str">
        <f>VLOOKUP(Ueberblick4[[#This Row],[Kosten-Potenzial-Kurven]],Dropdown!$A$2:$D$4,4,FALSE)</f>
        <v>X</v>
      </c>
      <c r="E10" s="42" t="str">
        <f>VLOOKUP(Ueberblick4[[#This Row],[Analyse mehrerer Szenarien]],Dropdown!$A$2:$D$4,4,FALSE)</f>
        <v>-</v>
      </c>
      <c r="F10" s="42" t="str">
        <f>VLOOKUP(Ueberblick4[[#This Row],[Untersuchung von Fehlermaßen]],Dropdown!$A$2:$D$4,4,FALSE)</f>
        <v>-</v>
      </c>
      <c r="G10" s="42" t="str">
        <f>Ueberblick[[#This Row],[Quellen Methodik]]</f>
        <v>13-52</v>
      </c>
      <c r="H10" s="42" t="str">
        <f>VLOOKUP(Ueberblick4[[#This Row],[Literaturanalyse]],Dropdown!$A$2:$D$4,4,FALSE)</f>
        <v>X</v>
      </c>
      <c r="I10" s="42" t="str">
        <f>VLOOKUP(Ueberblick4[[#This Row],[Auswertung von Statistiken]],Dropdown!$A$2:$D$4,4,FALSE)</f>
        <v>X</v>
      </c>
      <c r="J10" s="42" t="str">
        <f>VLOOKUP(Ueberblick4[[#This Row],[Expertenabschätzungen]],Dropdown!$A$2:$D$4,4,FALSE)</f>
        <v>X</v>
      </c>
      <c r="K10" s="42" t="str">
        <f>VLOOKUP(Ueberblick4[[#This Row],[(Online-)Umfragen]],Dropdown!$A$2:$D$4,4,FALSE)</f>
        <v>-</v>
      </c>
      <c r="L10" s="42" t="str">
        <f>VLOOKUP(Ueberblick4[[#This Row],[Unternehmensbefragungen]],Dropdown!$A$2:$D$4,4,FALSE)</f>
        <v>X</v>
      </c>
      <c r="M10" s="42" t="str">
        <f>VLOOKUP(Ueberblick4[[#This Row],[eigene Annahmen]],Dropdown!$A$2:$D$4,4,FALSE)</f>
        <v>X</v>
      </c>
      <c r="N10" s="42" t="str">
        <f>VLOOKUP(Ueberblick4[[#This Row],[eigene Erhebungen]],Dropdown!$A$2:$D$4,4,FALSE)</f>
        <v>X</v>
      </c>
      <c r="O10" s="42" t="s">
        <v>280</v>
      </c>
      <c r="P10" s="8" t="s">
        <v>285</v>
      </c>
    </row>
    <row r="11" spans="1:16" s="11" customFormat="1" x14ac:dyDescent="0.25">
      <c r="A11" s="6">
        <v>9</v>
      </c>
      <c r="B11" s="42" t="str">
        <f>VLOOKUP(Ueberblick4[[#This Row],[Bottom-Up-Abschätzung]],Dropdown!$A$2:$D$4,4,FALSE)</f>
        <v>X</v>
      </c>
      <c r="C11" s="42" t="str">
        <f>VLOOKUP(Ueberblick4[[#This Row],[Top-Down-Abschätzung]],Dropdown!$A$2:$D$4,4,FALSE)</f>
        <v>X</v>
      </c>
      <c r="D11" s="42" t="str">
        <f>VLOOKUP(Ueberblick4[[#This Row],[Kosten-Potenzial-Kurven]],Dropdown!$A$2:$D$4,4,FALSE)</f>
        <v>-</v>
      </c>
      <c r="E11" s="42" t="str">
        <f>VLOOKUP(Ueberblick4[[#This Row],[Analyse mehrerer Szenarien]],Dropdown!$A$2:$D$4,4,FALSE)</f>
        <v>X</v>
      </c>
      <c r="F11" s="42" t="str">
        <f>VLOOKUP(Ueberblick4[[#This Row],[Untersuchung von Fehlermaßen]],Dropdown!$A$2:$D$4,4,FALSE)</f>
        <v>-</v>
      </c>
      <c r="G11" s="42" t="str">
        <f>Ueberblick[[#This Row],[Quellen Methodik]]</f>
        <v>5-7; 37-54; 58-84; 85-95</v>
      </c>
      <c r="H11" s="42" t="str">
        <f>VLOOKUP(Ueberblick4[[#This Row],[Literaturanalyse]],Dropdown!$A$2:$D$4,4,FALSE)</f>
        <v>X</v>
      </c>
      <c r="I11" s="42" t="str">
        <f>VLOOKUP(Ueberblick4[[#This Row],[Auswertung von Statistiken]],Dropdown!$A$2:$D$4,4,FALSE)</f>
        <v>X</v>
      </c>
      <c r="J11" s="42" t="str">
        <f>VLOOKUP(Ueberblick4[[#This Row],[Expertenabschätzungen]],Dropdown!$A$2:$D$4,4,FALSE)</f>
        <v>-</v>
      </c>
      <c r="K11" s="42" t="str">
        <f>VLOOKUP(Ueberblick4[[#This Row],[(Online-)Umfragen]],Dropdown!$A$2:$D$4,4,FALSE)</f>
        <v>-</v>
      </c>
      <c r="L11" s="42" t="str">
        <f>VLOOKUP(Ueberblick4[[#This Row],[Unternehmensbefragungen]],Dropdown!$A$2:$D$4,4,FALSE)</f>
        <v>(X)</v>
      </c>
      <c r="M11" s="42" t="str">
        <f>VLOOKUP(Ueberblick4[[#This Row],[eigene Annahmen]],Dropdown!$A$2:$D$4,4,FALSE)</f>
        <v>X</v>
      </c>
      <c r="N11" s="42" t="str">
        <f>VLOOKUP(Ueberblick4[[#This Row],[eigene Erhebungen]],Dropdown!$A$2:$D$4,4,FALSE)</f>
        <v>-</v>
      </c>
      <c r="O11" s="42" t="s">
        <v>397</v>
      </c>
      <c r="P11" s="8" t="s">
        <v>398</v>
      </c>
    </row>
    <row r="12" spans="1:16" s="11" customFormat="1" x14ac:dyDescent="0.25">
      <c r="A12" s="6">
        <v>10</v>
      </c>
      <c r="B12" s="42" t="str">
        <f>VLOOKUP(Ueberblick4[[#This Row],[Bottom-Up-Abschätzung]],Dropdown!$A$2:$D$4,4,FALSE)</f>
        <v>X</v>
      </c>
      <c r="C12" s="42" t="str">
        <f>VLOOKUP(Ueberblick4[[#This Row],[Top-Down-Abschätzung]],Dropdown!$A$2:$D$4,4,FALSE)</f>
        <v>X</v>
      </c>
      <c r="D12" s="42" t="str">
        <f>VLOOKUP(Ueberblick4[[#This Row],[Kosten-Potenzial-Kurven]],Dropdown!$A$2:$D$4,4,FALSE)</f>
        <v>-</v>
      </c>
      <c r="E12" s="42" t="str">
        <f>VLOOKUP(Ueberblick4[[#This Row],[Analyse mehrerer Szenarien]],Dropdown!$A$2:$D$4,4,FALSE)</f>
        <v>X</v>
      </c>
      <c r="F12" s="42" t="str">
        <f>VLOOKUP(Ueberblick4[[#This Row],[Untersuchung von Fehlermaßen]],Dropdown!$A$2:$D$4,4,FALSE)</f>
        <v>-</v>
      </c>
      <c r="G12" s="42" t="str">
        <f>Ueberblick[[#This Row],[Quellen Methodik]]</f>
        <v>S. 6-8</v>
      </c>
      <c r="H12" s="42" t="str">
        <f>VLOOKUP(Ueberblick4[[#This Row],[Literaturanalyse]],Dropdown!$A$2:$D$4,4,FALSE)</f>
        <v>X</v>
      </c>
      <c r="I12" s="42" t="str">
        <f>VLOOKUP(Ueberblick4[[#This Row],[Auswertung von Statistiken]],Dropdown!$A$2:$D$4,4,FALSE)</f>
        <v>-</v>
      </c>
      <c r="J12" s="42" t="str">
        <f>VLOOKUP(Ueberblick4[[#This Row],[Expertenabschätzungen]],Dropdown!$A$2:$D$4,4,FALSE)</f>
        <v>X</v>
      </c>
      <c r="K12" s="42" t="str">
        <f>VLOOKUP(Ueberblick4[[#This Row],[(Online-)Umfragen]],Dropdown!$A$2:$D$4,4,FALSE)</f>
        <v>-</v>
      </c>
      <c r="L12" s="42" t="str">
        <f>VLOOKUP(Ueberblick4[[#This Row],[Unternehmensbefragungen]],Dropdown!$A$2:$D$4,4,FALSE)</f>
        <v>-</v>
      </c>
      <c r="M12" s="42" t="str">
        <f>VLOOKUP(Ueberblick4[[#This Row],[eigene Annahmen]],Dropdown!$A$2:$D$4,4,FALSE)</f>
        <v>X</v>
      </c>
      <c r="N12" s="42" t="str">
        <f>VLOOKUP(Ueberblick4[[#This Row],[eigene Erhebungen]],Dropdown!$A$2:$D$4,4,FALSE)</f>
        <v>-</v>
      </c>
      <c r="O12" s="46" t="s">
        <v>390</v>
      </c>
      <c r="P12" s="22" t="s">
        <v>391</v>
      </c>
    </row>
    <row r="13" spans="1:16" x14ac:dyDescent="0.25">
      <c r="A13" s="6">
        <v>11</v>
      </c>
      <c r="B13" s="42" t="str">
        <f>VLOOKUP(Ueberblick4[[#This Row],[Bottom-Up-Abschätzung]],Dropdown!$A$2:$D$4,4,FALSE)</f>
        <v>X</v>
      </c>
      <c r="C13" s="42" t="str">
        <f>VLOOKUP(Ueberblick4[[#This Row],[Top-Down-Abschätzung]],Dropdown!$A$2:$D$4,4,FALSE)</f>
        <v>X</v>
      </c>
      <c r="D13" s="42" t="str">
        <f>VLOOKUP(Ueberblick4[[#This Row],[Kosten-Potenzial-Kurven]],Dropdown!$A$2:$D$4,4,FALSE)</f>
        <v>X</v>
      </c>
      <c r="E13" s="42" t="str">
        <f>VLOOKUP(Ueberblick4[[#This Row],[Analyse mehrerer Szenarien]],Dropdown!$A$2:$D$4,4,FALSE)</f>
        <v>-</v>
      </c>
      <c r="F13" s="42" t="str">
        <f>VLOOKUP(Ueberblick4[[#This Row],[Untersuchung von Fehlermaßen]],Dropdown!$A$2:$D$4,4,FALSE)</f>
        <v>(X)</v>
      </c>
      <c r="G13" s="42" t="str">
        <f>Ueberblick[[#This Row],[Quellen Methodik]]</f>
        <v>S. 23-34</v>
      </c>
      <c r="H13" s="42" t="str">
        <f>VLOOKUP(Ueberblick4[[#This Row],[Literaturanalyse]],Dropdown!$A$2:$D$4,4,FALSE)</f>
        <v>(X)</v>
      </c>
      <c r="I13" s="42" t="str">
        <f>VLOOKUP(Ueberblick4[[#This Row],[Auswertung von Statistiken]],Dropdown!$A$2:$D$4,4,FALSE)</f>
        <v>X</v>
      </c>
      <c r="J13" s="42" t="str">
        <f>VLOOKUP(Ueberblick4[[#This Row],[Expertenabschätzungen]],Dropdown!$A$2:$D$4,4,FALSE)</f>
        <v>X</v>
      </c>
      <c r="K13" s="42" t="str">
        <f>VLOOKUP(Ueberblick4[[#This Row],[(Online-)Umfragen]],Dropdown!$A$2:$D$4,4,FALSE)</f>
        <v>-</v>
      </c>
      <c r="L13" s="42" t="str">
        <f>VLOOKUP(Ueberblick4[[#This Row],[Unternehmensbefragungen]],Dropdown!$A$2:$D$4,4,FALSE)</f>
        <v>X</v>
      </c>
      <c r="M13" s="42" t="str">
        <f>VLOOKUP(Ueberblick4[[#This Row],[eigene Annahmen]],Dropdown!$A$2:$D$4,4,FALSE)</f>
        <v>X</v>
      </c>
      <c r="N13" s="42" t="str">
        <f>VLOOKUP(Ueberblick4[[#This Row],[eigene Erhebungen]],Dropdown!$A$2:$D$4,4,FALSE)</f>
        <v>-</v>
      </c>
      <c r="O13" s="42" t="s">
        <v>120</v>
      </c>
      <c r="P13" s="8" t="s">
        <v>121</v>
      </c>
    </row>
    <row r="14" spans="1:16" s="11" customFormat="1" x14ac:dyDescent="0.25">
      <c r="A14" s="6">
        <v>12</v>
      </c>
      <c r="B14" s="42" t="str">
        <f>VLOOKUP(Ueberblick4[[#This Row],[Bottom-Up-Abschätzung]],Dropdown!$A$2:$D$4,4,FALSE)</f>
        <v>X</v>
      </c>
      <c r="C14" s="42" t="str">
        <f>VLOOKUP(Ueberblick4[[#This Row],[Top-Down-Abschätzung]],Dropdown!$A$2:$D$4,4,FALSE)</f>
        <v>X</v>
      </c>
      <c r="D14" s="42" t="str">
        <f>VLOOKUP(Ueberblick4[[#This Row],[Kosten-Potenzial-Kurven]],Dropdown!$A$2:$D$4,4,FALSE)</f>
        <v>-</v>
      </c>
      <c r="E14" s="42" t="str">
        <f>VLOOKUP(Ueberblick4[[#This Row],[Analyse mehrerer Szenarien]],Dropdown!$A$2:$D$4,4,FALSE)</f>
        <v>-</v>
      </c>
      <c r="F14" s="42" t="str">
        <f>VLOOKUP(Ueberblick4[[#This Row],[Untersuchung von Fehlermaßen]],Dropdown!$A$2:$D$4,4,FALSE)</f>
        <v>-</v>
      </c>
      <c r="G14" s="42" t="str">
        <f>Ueberblick[[#This Row],[Quellen Methodik]]</f>
        <v>22-23, 31, 44, 54-60</v>
      </c>
      <c r="H14" s="42" t="str">
        <f>VLOOKUP(Ueberblick4[[#This Row],[Literaturanalyse]],Dropdown!$A$2:$D$4,4,FALSE)</f>
        <v>X</v>
      </c>
      <c r="I14" s="42" t="str">
        <f>VLOOKUP(Ueberblick4[[#This Row],[Auswertung von Statistiken]],Dropdown!$A$2:$D$4,4,FALSE)</f>
        <v>X</v>
      </c>
      <c r="J14" s="42" t="str">
        <f>VLOOKUP(Ueberblick4[[#This Row],[Expertenabschätzungen]],Dropdown!$A$2:$D$4,4,FALSE)</f>
        <v>-</v>
      </c>
      <c r="K14" s="42" t="str">
        <f>VLOOKUP(Ueberblick4[[#This Row],[(Online-)Umfragen]],Dropdown!$A$2:$D$4,4,FALSE)</f>
        <v>X</v>
      </c>
      <c r="L14" s="42" t="str">
        <f>VLOOKUP(Ueberblick4[[#This Row],[Unternehmensbefragungen]],Dropdown!$A$2:$D$4,4,FALSE)</f>
        <v>X</v>
      </c>
      <c r="M14" s="42" t="str">
        <f>VLOOKUP(Ueberblick4[[#This Row],[eigene Annahmen]],Dropdown!$A$2:$D$4,4,FALSE)</f>
        <v>X</v>
      </c>
      <c r="N14" s="42" t="str">
        <f>VLOOKUP(Ueberblick4[[#This Row],[eigene Erhebungen]],Dropdown!$A$2:$D$4,4,FALSE)</f>
        <v>-</v>
      </c>
      <c r="O14" s="42">
        <v>2013</v>
      </c>
      <c r="P14" s="8">
        <v>22</v>
      </c>
    </row>
    <row r="15" spans="1:16" x14ac:dyDescent="0.25">
      <c r="A15" s="6">
        <v>13</v>
      </c>
      <c r="B15" s="42" t="str">
        <f>VLOOKUP(Ueberblick4[[#This Row],[Bottom-Up-Abschätzung]],Dropdown!$A$2:$D$4,4,FALSE)</f>
        <v>-</v>
      </c>
      <c r="C15" s="42" t="str">
        <f>VLOOKUP(Ueberblick4[[#This Row],[Top-Down-Abschätzung]],Dropdown!$A$2:$D$4,4,FALSE)</f>
        <v>X</v>
      </c>
      <c r="D15" s="42" t="str">
        <f>VLOOKUP(Ueberblick4[[#This Row],[Kosten-Potenzial-Kurven]],Dropdown!$A$2:$D$4,4,FALSE)</f>
        <v>-</v>
      </c>
      <c r="E15" s="42" t="str">
        <f>VLOOKUP(Ueberblick4[[#This Row],[Analyse mehrerer Szenarien]],Dropdown!$A$2:$D$4,4,FALSE)</f>
        <v>-</v>
      </c>
      <c r="F15" s="42" t="str">
        <f>VLOOKUP(Ueberblick4[[#This Row],[Untersuchung von Fehlermaßen]],Dropdown!$A$2:$D$4,4,FALSE)</f>
        <v>-</v>
      </c>
      <c r="G15" s="42" t="str">
        <f>Ueberblick[[#This Row],[Quellen Methodik]]</f>
        <v>S. 11-14; 27-28</v>
      </c>
      <c r="H15" s="42" t="str">
        <f>VLOOKUP(Ueberblick4[[#This Row],[Literaturanalyse]],Dropdown!$A$2:$D$4,4,FALSE)</f>
        <v>X</v>
      </c>
      <c r="I15" s="42" t="str">
        <f>VLOOKUP(Ueberblick4[[#This Row],[Auswertung von Statistiken]],Dropdown!$A$2:$D$4,4,FALSE)</f>
        <v>-</v>
      </c>
      <c r="J15" s="42" t="str">
        <f>VLOOKUP(Ueberblick4[[#This Row],[Expertenabschätzungen]],Dropdown!$A$2:$D$4,4,FALSE)</f>
        <v>-</v>
      </c>
      <c r="K15" s="42" t="str">
        <f>VLOOKUP(Ueberblick4[[#This Row],[(Online-)Umfragen]],Dropdown!$A$2:$D$4,4,FALSE)</f>
        <v>-</v>
      </c>
      <c r="L15" s="42" t="str">
        <f>VLOOKUP(Ueberblick4[[#This Row],[Unternehmensbefragungen]],Dropdown!$A$2:$D$4,4,FALSE)</f>
        <v>-</v>
      </c>
      <c r="M15" s="42" t="str">
        <f>VLOOKUP(Ueberblick4[[#This Row],[eigene Annahmen]],Dropdown!$A$2:$D$4,4,FALSE)</f>
        <v>X</v>
      </c>
      <c r="N15" s="42" t="str">
        <f>VLOOKUP(Ueberblick4[[#This Row],[eigene Erhebungen]],Dropdown!$A$2:$D$4,4,FALSE)</f>
        <v>-</v>
      </c>
      <c r="O15" s="42" t="s">
        <v>334</v>
      </c>
      <c r="P15" s="8" t="s">
        <v>322</v>
      </c>
    </row>
    <row r="16" spans="1:16" s="11" customFormat="1" ht="25.5" x14ac:dyDescent="0.25">
      <c r="A16" s="6">
        <v>14</v>
      </c>
      <c r="B16" s="42" t="str">
        <f>VLOOKUP(Ueberblick4[[#This Row],[Bottom-Up-Abschätzung]],Dropdown!$A$2:$D$4,4,FALSE)</f>
        <v>X</v>
      </c>
      <c r="C16" s="42" t="str">
        <f>VLOOKUP(Ueberblick4[[#This Row],[Top-Down-Abschätzung]],Dropdown!$A$2:$D$4,4,FALSE)</f>
        <v>X</v>
      </c>
      <c r="D16" s="42" t="str">
        <f>VLOOKUP(Ueberblick4[[#This Row],[Kosten-Potenzial-Kurven]],Dropdown!$A$2:$D$4,4,FALSE)</f>
        <v>-</v>
      </c>
      <c r="E16" s="42" t="str">
        <f>VLOOKUP(Ueberblick4[[#This Row],[Analyse mehrerer Szenarien]],Dropdown!$A$2:$D$4,4,FALSE)</f>
        <v>X</v>
      </c>
      <c r="F16" s="42" t="str">
        <f>VLOOKUP(Ueberblick4[[#This Row],[Untersuchung von Fehlermaßen]],Dropdown!$A$2:$D$4,4,FALSE)</f>
        <v>-</v>
      </c>
      <c r="G16" s="42" t="str">
        <f>Ueberblick[[#This Row],[Quellen Methodik]]</f>
        <v>S. 4-7; 16; 41-43; 44-45; 47-61; 75-80; 81-123; 126-127</v>
      </c>
      <c r="H16" s="42" t="str">
        <f>VLOOKUP(Ueberblick4[[#This Row],[Literaturanalyse]],Dropdown!$A$2:$D$4,4,FALSE)</f>
        <v>X</v>
      </c>
      <c r="I16" s="42" t="str">
        <f>VLOOKUP(Ueberblick4[[#This Row],[Auswertung von Statistiken]],Dropdown!$A$2:$D$4,4,FALSE)</f>
        <v>X</v>
      </c>
      <c r="J16" s="42" t="str">
        <f>VLOOKUP(Ueberblick4[[#This Row],[Expertenabschätzungen]],Dropdown!$A$2:$D$4,4,FALSE)</f>
        <v>-</v>
      </c>
      <c r="K16" s="42" t="str">
        <f>VLOOKUP(Ueberblick4[[#This Row],[(Online-)Umfragen]],Dropdown!$A$2:$D$4,4,FALSE)</f>
        <v>-</v>
      </c>
      <c r="L16" s="42" t="str">
        <f>VLOOKUP(Ueberblick4[[#This Row],[Unternehmensbefragungen]],Dropdown!$A$2:$D$4,4,FALSE)</f>
        <v>-</v>
      </c>
      <c r="M16" s="42" t="str">
        <f>VLOOKUP(Ueberblick4[[#This Row],[eigene Annahmen]],Dropdown!$A$2:$D$4,4,FALSE)</f>
        <v>X</v>
      </c>
      <c r="N16" s="42" t="str">
        <f>VLOOKUP(Ueberblick4[[#This Row],[eigene Erhebungen]],Dropdown!$A$2:$D$4,4,FALSE)</f>
        <v>-</v>
      </c>
      <c r="O16" s="45" t="s">
        <v>449</v>
      </c>
      <c r="P16" s="8" t="s">
        <v>446</v>
      </c>
    </row>
    <row r="17" spans="1:16" x14ac:dyDescent="0.25">
      <c r="A17" s="6">
        <v>15</v>
      </c>
      <c r="B17" s="42" t="str">
        <f>VLOOKUP(Ueberblick4[[#This Row],[Bottom-Up-Abschätzung]],Dropdown!$A$2:$D$4,4,FALSE)</f>
        <v>X</v>
      </c>
      <c r="C17" s="42" t="str">
        <f>VLOOKUP(Ueberblick4[[#This Row],[Top-Down-Abschätzung]],Dropdown!$A$2:$D$4,4,FALSE)</f>
        <v>X</v>
      </c>
      <c r="D17" s="42" t="str">
        <f>VLOOKUP(Ueberblick4[[#This Row],[Kosten-Potenzial-Kurven]],Dropdown!$A$2:$D$4,4,FALSE)</f>
        <v>-</v>
      </c>
      <c r="E17" s="42" t="str">
        <f>VLOOKUP(Ueberblick4[[#This Row],[Analyse mehrerer Szenarien]],Dropdown!$A$2:$D$4,4,FALSE)</f>
        <v>(X)</v>
      </c>
      <c r="F17" s="42" t="str">
        <f>VLOOKUP(Ueberblick4[[#This Row],[Untersuchung von Fehlermaßen]],Dropdown!$A$2:$D$4,4,FALSE)</f>
        <v>-</v>
      </c>
      <c r="G17" s="42" t="str">
        <f>Ueberblick[[#This Row],[Quellen Methodik]]</f>
        <v>97-99; 216-225</v>
      </c>
      <c r="H17" s="42" t="str">
        <f>VLOOKUP(Ueberblick4[[#This Row],[Literaturanalyse]],Dropdown!$A$2:$D$4,4,FALSE)</f>
        <v>X</v>
      </c>
      <c r="I17" s="42" t="str">
        <f>VLOOKUP(Ueberblick4[[#This Row],[Auswertung von Statistiken]],Dropdown!$A$2:$D$4,4,FALSE)</f>
        <v>(X)</v>
      </c>
      <c r="J17" s="42" t="str">
        <f>VLOOKUP(Ueberblick4[[#This Row],[Expertenabschätzungen]],Dropdown!$A$2:$D$4,4,FALSE)</f>
        <v>-</v>
      </c>
      <c r="K17" s="42" t="str">
        <f>VLOOKUP(Ueberblick4[[#This Row],[(Online-)Umfragen]],Dropdown!$A$2:$D$4,4,FALSE)</f>
        <v>-</v>
      </c>
      <c r="L17" s="42" t="str">
        <f>VLOOKUP(Ueberblick4[[#This Row],[Unternehmensbefragungen]],Dropdown!$A$2:$D$4,4,FALSE)</f>
        <v>X</v>
      </c>
      <c r="M17" s="42" t="str">
        <f>VLOOKUP(Ueberblick4[[#This Row],[eigene Annahmen]],Dropdown!$A$2:$D$4,4,FALSE)</f>
        <v>-</v>
      </c>
      <c r="N17" s="42" t="str">
        <f>VLOOKUP(Ueberblick4[[#This Row],[eigene Erhebungen]],Dropdown!$A$2:$D$4,4,FALSE)</f>
        <v>-</v>
      </c>
      <c r="O17" s="42" t="s">
        <v>237</v>
      </c>
      <c r="P17" s="8">
        <v>87</v>
      </c>
    </row>
    <row r="18" spans="1:16" s="11" customFormat="1" x14ac:dyDescent="0.25">
      <c r="A18" s="6">
        <v>16</v>
      </c>
      <c r="B18" s="42" t="str">
        <f>VLOOKUP(Ueberblick4[[#This Row],[Bottom-Up-Abschätzung]],Dropdown!$A$2:$D$4,4,FALSE)</f>
        <v>X</v>
      </c>
      <c r="C18" s="42" t="str">
        <f>VLOOKUP(Ueberblick4[[#This Row],[Top-Down-Abschätzung]],Dropdown!$A$2:$D$4,4,FALSE)</f>
        <v>X</v>
      </c>
      <c r="D18" s="42" t="str">
        <f>VLOOKUP(Ueberblick4[[#This Row],[Kosten-Potenzial-Kurven]],Dropdown!$A$2:$D$4,4,FALSE)</f>
        <v>-</v>
      </c>
      <c r="E18" s="42" t="str">
        <f>VLOOKUP(Ueberblick4[[#This Row],[Analyse mehrerer Szenarien]],Dropdown!$A$2:$D$4,4,FALSE)</f>
        <v>-</v>
      </c>
      <c r="F18" s="42" t="str">
        <f>VLOOKUP(Ueberblick4[[#This Row],[Untersuchung von Fehlermaßen]],Dropdown!$A$2:$D$4,4,FALSE)</f>
        <v>-</v>
      </c>
      <c r="G18" s="42" t="str">
        <f>Ueberblick[[#This Row],[Quellen Methodik]]</f>
        <v>S. 15-16; 39-40; 46-48; 59-60</v>
      </c>
      <c r="H18" s="42" t="str">
        <f>VLOOKUP(Ueberblick4[[#This Row],[Literaturanalyse]],Dropdown!$A$2:$D$4,4,FALSE)</f>
        <v>X</v>
      </c>
      <c r="I18" s="42" t="str">
        <f>VLOOKUP(Ueberblick4[[#This Row],[Auswertung von Statistiken]],Dropdown!$A$2:$D$4,4,FALSE)</f>
        <v>-</v>
      </c>
      <c r="J18" s="42" t="str">
        <f>VLOOKUP(Ueberblick4[[#This Row],[Expertenabschätzungen]],Dropdown!$A$2:$D$4,4,FALSE)</f>
        <v>-</v>
      </c>
      <c r="K18" s="42" t="str">
        <f>VLOOKUP(Ueberblick4[[#This Row],[(Online-)Umfragen]],Dropdown!$A$2:$D$4,4,FALSE)</f>
        <v>-</v>
      </c>
      <c r="L18" s="42" t="str">
        <f>VLOOKUP(Ueberblick4[[#This Row],[Unternehmensbefragungen]],Dropdown!$A$2:$D$4,4,FALSE)</f>
        <v>-</v>
      </c>
      <c r="M18" s="42" t="str">
        <f>VLOOKUP(Ueberblick4[[#This Row],[eigene Annahmen]],Dropdown!$A$2:$D$4,4,FALSE)</f>
        <v>-</v>
      </c>
      <c r="N18" s="42" t="str">
        <f>VLOOKUP(Ueberblick4[[#This Row],[eigene Erhebungen]],Dropdown!$A$2:$D$4,4,FALSE)</f>
        <v>-</v>
      </c>
      <c r="O18" s="42" t="s">
        <v>334</v>
      </c>
      <c r="P18" s="8" t="s">
        <v>333</v>
      </c>
    </row>
    <row r="19" spans="1:16" x14ac:dyDescent="0.25">
      <c r="A19" s="6">
        <v>17</v>
      </c>
      <c r="B19" s="42" t="str">
        <f>VLOOKUP(Ueberblick4[[#This Row],[Bottom-Up-Abschätzung]],Dropdown!$A$2:$D$4,4,FALSE)</f>
        <v>X</v>
      </c>
      <c r="C19" s="42" t="str">
        <f>VLOOKUP(Ueberblick4[[#This Row],[Top-Down-Abschätzung]],Dropdown!$A$2:$D$4,4,FALSE)</f>
        <v>X</v>
      </c>
      <c r="D19" s="42" t="str">
        <f>VLOOKUP(Ueberblick4[[#This Row],[Kosten-Potenzial-Kurven]],Dropdown!$A$2:$D$4,4,FALSE)</f>
        <v>-</v>
      </c>
      <c r="E19" s="42" t="str">
        <f>VLOOKUP(Ueberblick4[[#This Row],[Analyse mehrerer Szenarien]],Dropdown!$A$2:$D$4,4,FALSE)</f>
        <v>X</v>
      </c>
      <c r="F19" s="42" t="str">
        <f>VLOOKUP(Ueberblick4[[#This Row],[Untersuchung von Fehlermaßen]],Dropdown!$A$2:$D$4,4,FALSE)</f>
        <v>-</v>
      </c>
      <c r="G19" s="42" t="str">
        <f>Ueberblick[[#This Row],[Quellen Methodik]]</f>
        <v>S. 410-425</v>
      </c>
      <c r="H19" s="42" t="str">
        <f>VLOOKUP(Ueberblick4[[#This Row],[Literaturanalyse]],Dropdown!$A$2:$D$4,4,FALSE)</f>
        <v>X</v>
      </c>
      <c r="I19" s="42" t="str">
        <f>VLOOKUP(Ueberblick4[[#This Row],[Auswertung von Statistiken]],Dropdown!$A$2:$D$4,4,FALSE)</f>
        <v>X</v>
      </c>
      <c r="J19" s="42" t="str">
        <f>VLOOKUP(Ueberblick4[[#This Row],[Expertenabschätzungen]],Dropdown!$A$2:$D$4,4,FALSE)</f>
        <v>-</v>
      </c>
      <c r="K19" s="42" t="str">
        <f>VLOOKUP(Ueberblick4[[#This Row],[(Online-)Umfragen]],Dropdown!$A$2:$D$4,4,FALSE)</f>
        <v>-</v>
      </c>
      <c r="L19" s="42" t="str">
        <f>VLOOKUP(Ueberblick4[[#This Row],[Unternehmensbefragungen]],Dropdown!$A$2:$D$4,4,FALSE)</f>
        <v>X</v>
      </c>
      <c r="M19" s="42" t="str">
        <f>VLOOKUP(Ueberblick4[[#This Row],[eigene Annahmen]],Dropdown!$A$2:$D$4,4,FALSE)</f>
        <v>-</v>
      </c>
      <c r="N19" s="42" t="str">
        <f>VLOOKUP(Ueberblick4[[#This Row],[eigene Erhebungen]],Dropdown!$A$2:$D$4,4,FALSE)</f>
        <v>-</v>
      </c>
      <c r="O19" s="42" t="s">
        <v>163</v>
      </c>
      <c r="P19" s="8" t="s">
        <v>164</v>
      </c>
    </row>
    <row r="20" spans="1:16" s="11" customFormat="1" x14ac:dyDescent="0.25">
      <c r="A20" s="6">
        <v>18</v>
      </c>
      <c r="B20" s="42" t="str">
        <f>VLOOKUP(Ueberblick4[[#This Row],[Bottom-Up-Abschätzung]],Dropdown!$A$2:$D$4,4,FALSE)</f>
        <v>X</v>
      </c>
      <c r="C20" s="42" t="str">
        <f>VLOOKUP(Ueberblick4[[#This Row],[Top-Down-Abschätzung]],Dropdown!$A$2:$D$4,4,FALSE)</f>
        <v>X</v>
      </c>
      <c r="D20" s="42" t="str">
        <f>VLOOKUP(Ueberblick4[[#This Row],[Kosten-Potenzial-Kurven]],Dropdown!$A$2:$D$4,4,FALSE)</f>
        <v>-</v>
      </c>
      <c r="E20" s="42" t="str">
        <f>VLOOKUP(Ueberblick4[[#This Row],[Analyse mehrerer Szenarien]],Dropdown!$A$2:$D$4,4,FALSE)</f>
        <v>X</v>
      </c>
      <c r="F20" s="42" t="str">
        <f>VLOOKUP(Ueberblick4[[#This Row],[Untersuchung von Fehlermaßen]],Dropdown!$A$2:$D$4,4,FALSE)</f>
        <v>-</v>
      </c>
      <c r="G20" s="42" t="str">
        <f>Ueberblick[[#This Row],[Quellen Methodik]]</f>
        <v>S. 434-437</v>
      </c>
      <c r="H20" s="42" t="str">
        <f>VLOOKUP(Ueberblick4[[#This Row],[Literaturanalyse]],Dropdown!$A$2:$D$4,4,FALSE)</f>
        <v>X</v>
      </c>
      <c r="I20" s="42" t="str">
        <f>VLOOKUP(Ueberblick4[[#This Row],[Auswertung von Statistiken]],Dropdown!$A$2:$D$4,4,FALSE)</f>
        <v>X</v>
      </c>
      <c r="J20" s="42" t="str">
        <f>VLOOKUP(Ueberblick4[[#This Row],[Expertenabschätzungen]],Dropdown!$A$2:$D$4,4,FALSE)</f>
        <v>-</v>
      </c>
      <c r="K20" s="42" t="str">
        <f>VLOOKUP(Ueberblick4[[#This Row],[(Online-)Umfragen]],Dropdown!$A$2:$D$4,4,FALSE)</f>
        <v>-</v>
      </c>
      <c r="L20" s="42" t="str">
        <f>VLOOKUP(Ueberblick4[[#This Row],[Unternehmensbefragungen]],Dropdown!$A$2:$D$4,4,FALSE)</f>
        <v>X</v>
      </c>
      <c r="M20" s="42" t="str">
        <f>VLOOKUP(Ueberblick4[[#This Row],[eigene Annahmen]],Dropdown!$A$2:$D$4,4,FALSE)</f>
        <v>-</v>
      </c>
      <c r="N20" s="42" t="str">
        <f>VLOOKUP(Ueberblick4[[#This Row],[eigene Erhebungen]],Dropdown!$A$2:$D$4,4,FALSE)</f>
        <v>-</v>
      </c>
      <c r="O20" s="42" t="s">
        <v>173</v>
      </c>
      <c r="P20" s="8">
        <v>434</v>
      </c>
    </row>
    <row r="21" spans="1:16" x14ac:dyDescent="0.25">
      <c r="A21" s="6">
        <v>19</v>
      </c>
      <c r="B21" s="42" t="str">
        <f>VLOOKUP(Ueberblick4[[#This Row],[Bottom-Up-Abschätzung]],Dropdown!$A$2:$D$4,4,FALSE)</f>
        <v>X</v>
      </c>
      <c r="C21" s="42" t="str">
        <f>VLOOKUP(Ueberblick4[[#This Row],[Top-Down-Abschätzung]],Dropdown!$A$2:$D$4,4,FALSE)</f>
        <v>X</v>
      </c>
      <c r="D21" s="42" t="str">
        <f>VLOOKUP(Ueberblick4[[#This Row],[Kosten-Potenzial-Kurven]],Dropdown!$A$2:$D$4,4,FALSE)</f>
        <v>X</v>
      </c>
      <c r="E21" s="42" t="str">
        <f>VLOOKUP(Ueberblick4[[#This Row],[Analyse mehrerer Szenarien]],Dropdown!$A$2:$D$4,4,FALSE)</f>
        <v>X</v>
      </c>
      <c r="F21" s="42" t="str">
        <f>VLOOKUP(Ueberblick4[[#This Row],[Untersuchung von Fehlermaßen]],Dropdown!$A$2:$D$4,4,FALSE)</f>
        <v>-</v>
      </c>
      <c r="G21" s="42" t="str">
        <f>Ueberblick[[#This Row],[Quellen Methodik]]</f>
        <v>1-6; 88-94; 128-131; 137-139; 185-203; 206-209; 228-232</v>
      </c>
      <c r="H21" s="42" t="str">
        <f>VLOOKUP(Ueberblick4[[#This Row],[Literaturanalyse]],Dropdown!$A$2:$D$4,4,FALSE)</f>
        <v>X</v>
      </c>
      <c r="I21" s="42" t="str">
        <f>VLOOKUP(Ueberblick4[[#This Row],[Auswertung von Statistiken]],Dropdown!$A$2:$D$4,4,FALSE)</f>
        <v>X</v>
      </c>
      <c r="J21" s="42" t="str">
        <f>VLOOKUP(Ueberblick4[[#This Row],[Expertenabschätzungen]],Dropdown!$A$2:$D$4,4,FALSE)</f>
        <v>X</v>
      </c>
      <c r="K21" s="42" t="str">
        <f>VLOOKUP(Ueberblick4[[#This Row],[(Online-)Umfragen]],Dropdown!$A$2:$D$4,4,FALSE)</f>
        <v>X</v>
      </c>
      <c r="L21" s="42" t="str">
        <f>VLOOKUP(Ueberblick4[[#This Row],[Unternehmensbefragungen]],Dropdown!$A$2:$D$4,4,FALSE)</f>
        <v>X</v>
      </c>
      <c r="M21" s="42" t="str">
        <f>VLOOKUP(Ueberblick4[[#This Row],[eigene Annahmen]],Dropdown!$A$2:$D$4,4,FALSE)</f>
        <v>X</v>
      </c>
      <c r="N21" s="42" t="str">
        <f>VLOOKUP(Ueberblick4[[#This Row],[eigene Erhebungen]],Dropdown!$A$2:$D$4,4,FALSE)</f>
        <v>X</v>
      </c>
      <c r="O21" s="42" t="s">
        <v>270</v>
      </c>
      <c r="P21" s="8">
        <v>186</v>
      </c>
    </row>
    <row r="22" spans="1:16" s="11" customFormat="1" x14ac:dyDescent="0.25">
      <c r="A22" s="6">
        <v>20</v>
      </c>
      <c r="B22" s="42" t="str">
        <f>VLOOKUP(Ueberblick4[[#This Row],[Bottom-Up-Abschätzung]],Dropdown!$A$2:$D$4,4,FALSE)</f>
        <v>X</v>
      </c>
      <c r="C22" s="42" t="str">
        <f>VLOOKUP(Ueberblick4[[#This Row],[Top-Down-Abschätzung]],Dropdown!$A$2:$D$4,4,FALSE)</f>
        <v>X</v>
      </c>
      <c r="D22" s="42" t="str">
        <f>VLOOKUP(Ueberblick4[[#This Row],[Kosten-Potenzial-Kurven]],Dropdown!$A$2:$D$4,4,FALSE)</f>
        <v>X</v>
      </c>
      <c r="E22" s="42" t="str">
        <f>VLOOKUP(Ueberblick4[[#This Row],[Analyse mehrerer Szenarien]],Dropdown!$A$2:$D$4,4,FALSE)</f>
        <v>-</v>
      </c>
      <c r="F22" s="42" t="str">
        <f>VLOOKUP(Ueberblick4[[#This Row],[Untersuchung von Fehlermaßen]],Dropdown!$A$2:$D$4,4,FALSE)</f>
        <v>-</v>
      </c>
      <c r="G22" s="42" t="str">
        <f>Ueberblick[[#This Row],[Quellen Methodik]]</f>
        <v>52-57</v>
      </c>
      <c r="H22" s="42" t="str">
        <f>VLOOKUP(Ueberblick4[[#This Row],[Literaturanalyse]],Dropdown!$A$2:$D$4,4,FALSE)</f>
        <v>X</v>
      </c>
      <c r="I22" s="42" t="str">
        <f>VLOOKUP(Ueberblick4[[#This Row],[Auswertung von Statistiken]],Dropdown!$A$2:$D$4,4,FALSE)</f>
        <v>X</v>
      </c>
      <c r="J22" s="42" t="str">
        <f>VLOOKUP(Ueberblick4[[#This Row],[Expertenabschätzungen]],Dropdown!$A$2:$D$4,4,FALSE)</f>
        <v>-</v>
      </c>
      <c r="K22" s="42" t="str">
        <f>VLOOKUP(Ueberblick4[[#This Row],[(Online-)Umfragen]],Dropdown!$A$2:$D$4,4,FALSE)</f>
        <v>-</v>
      </c>
      <c r="L22" s="42" t="str">
        <f>VLOOKUP(Ueberblick4[[#This Row],[Unternehmensbefragungen]],Dropdown!$A$2:$D$4,4,FALSE)</f>
        <v>-</v>
      </c>
      <c r="M22" s="42" t="str">
        <f>VLOOKUP(Ueberblick4[[#This Row],[eigene Annahmen]],Dropdown!$A$2:$D$4,4,FALSE)</f>
        <v>(X)</v>
      </c>
      <c r="N22" s="42" t="str">
        <f>VLOOKUP(Ueberblick4[[#This Row],[eigene Erhebungen]],Dropdown!$A$2:$D$4,4,FALSE)</f>
        <v>-</v>
      </c>
      <c r="O22" s="42" t="s">
        <v>199</v>
      </c>
      <c r="P22" s="8">
        <v>77</v>
      </c>
    </row>
    <row r="23" spans="1:16" x14ac:dyDescent="0.25">
      <c r="A23" s="6">
        <v>21</v>
      </c>
      <c r="B23" s="42" t="str">
        <f>VLOOKUP(Ueberblick4[[#This Row],[Bottom-Up-Abschätzung]],Dropdown!$A$2:$D$4,4,FALSE)</f>
        <v>-</v>
      </c>
      <c r="C23" s="42" t="str">
        <f>VLOOKUP(Ueberblick4[[#This Row],[Top-Down-Abschätzung]],Dropdown!$A$2:$D$4,4,FALSE)</f>
        <v>X</v>
      </c>
      <c r="D23" s="42" t="str">
        <f>VLOOKUP(Ueberblick4[[#This Row],[Kosten-Potenzial-Kurven]],Dropdown!$A$2:$D$4,4,FALSE)</f>
        <v>-</v>
      </c>
      <c r="E23" s="42" t="str">
        <f>VLOOKUP(Ueberblick4[[#This Row],[Analyse mehrerer Szenarien]],Dropdown!$A$2:$D$4,4,FALSE)</f>
        <v>-</v>
      </c>
      <c r="F23" s="42" t="str">
        <f>VLOOKUP(Ueberblick4[[#This Row],[Untersuchung von Fehlermaßen]],Dropdown!$A$2:$D$4,4,FALSE)</f>
        <v>-</v>
      </c>
      <c r="G23" s="42" t="str">
        <f>Ueberblick[[#This Row],[Quellen Methodik]]</f>
        <v>12-32</v>
      </c>
      <c r="H23" s="42" t="str">
        <f>VLOOKUP(Ueberblick4[[#This Row],[Literaturanalyse]],Dropdown!$A$2:$D$4,4,FALSE)</f>
        <v>(X)</v>
      </c>
      <c r="I23" s="42" t="str">
        <f>VLOOKUP(Ueberblick4[[#This Row],[Auswertung von Statistiken]],Dropdown!$A$2:$D$4,4,FALSE)</f>
        <v>-</v>
      </c>
      <c r="J23" s="42" t="str">
        <f>VLOOKUP(Ueberblick4[[#This Row],[Expertenabschätzungen]],Dropdown!$A$2:$D$4,4,FALSE)</f>
        <v>X</v>
      </c>
      <c r="K23" s="42" t="str">
        <f>VLOOKUP(Ueberblick4[[#This Row],[(Online-)Umfragen]],Dropdown!$A$2:$D$4,4,FALSE)</f>
        <v>-</v>
      </c>
      <c r="L23" s="42" t="str">
        <f>VLOOKUP(Ueberblick4[[#This Row],[Unternehmensbefragungen]],Dropdown!$A$2:$D$4,4,FALSE)</f>
        <v>-</v>
      </c>
      <c r="M23" s="42" t="str">
        <f>VLOOKUP(Ueberblick4[[#This Row],[eigene Annahmen]],Dropdown!$A$2:$D$4,4,FALSE)</f>
        <v>(X)</v>
      </c>
      <c r="N23" s="42" t="str">
        <f>VLOOKUP(Ueberblick4[[#This Row],[eigene Erhebungen]],Dropdown!$A$2:$D$4,4,FALSE)</f>
        <v>-</v>
      </c>
      <c r="O23" s="42" t="s">
        <v>154</v>
      </c>
      <c r="P23" s="8">
        <v>14</v>
      </c>
    </row>
    <row r="24" spans="1:16" s="11" customFormat="1" ht="25.5" x14ac:dyDescent="0.25">
      <c r="A24" s="6">
        <v>22</v>
      </c>
      <c r="B24" s="42" t="str">
        <f>VLOOKUP(Ueberblick4[[#This Row],[Bottom-Up-Abschätzung]],Dropdown!$A$2:$D$4,4,FALSE)</f>
        <v>X</v>
      </c>
      <c r="C24" s="42" t="str">
        <f>VLOOKUP(Ueberblick4[[#This Row],[Top-Down-Abschätzung]],Dropdown!$A$2:$D$4,4,FALSE)</f>
        <v>X</v>
      </c>
      <c r="D24" s="42" t="str">
        <f>VLOOKUP(Ueberblick4[[#This Row],[Kosten-Potenzial-Kurven]],Dropdown!$A$2:$D$4,4,FALSE)</f>
        <v>-</v>
      </c>
      <c r="E24" s="42" t="str">
        <f>VLOOKUP(Ueberblick4[[#This Row],[Analyse mehrerer Szenarien]],Dropdown!$A$2:$D$4,4,FALSE)</f>
        <v>-</v>
      </c>
      <c r="F24" s="42" t="str">
        <f>VLOOKUP(Ueberblick4[[#This Row],[Untersuchung von Fehlermaßen]],Dropdown!$A$2:$D$4,4,FALSE)</f>
        <v>-</v>
      </c>
      <c r="G24" s="42" t="str">
        <f>Ueberblick[[#This Row],[Quellen Methodik]]</f>
        <v>47-57, 89-91</v>
      </c>
      <c r="H24" s="42" t="str">
        <f>VLOOKUP(Ueberblick4[[#This Row],[Literaturanalyse]],Dropdown!$A$2:$D$4,4,FALSE)</f>
        <v>X</v>
      </c>
      <c r="I24" s="42" t="str">
        <f>VLOOKUP(Ueberblick4[[#This Row],[Auswertung von Statistiken]],Dropdown!$A$2:$D$4,4,FALSE)</f>
        <v>X</v>
      </c>
      <c r="J24" s="42" t="str">
        <f>VLOOKUP(Ueberblick4[[#This Row],[Expertenabschätzungen]],Dropdown!$A$2:$D$4,4,FALSE)</f>
        <v>-</v>
      </c>
      <c r="K24" s="42" t="str">
        <f>VLOOKUP(Ueberblick4[[#This Row],[(Online-)Umfragen]],Dropdown!$A$2:$D$4,4,FALSE)</f>
        <v>-</v>
      </c>
      <c r="L24" s="42" t="str">
        <f>VLOOKUP(Ueberblick4[[#This Row],[Unternehmensbefragungen]],Dropdown!$A$2:$D$4,4,FALSE)</f>
        <v>-</v>
      </c>
      <c r="M24" s="42" t="str">
        <f>VLOOKUP(Ueberblick4[[#This Row],[eigene Annahmen]],Dropdown!$A$2:$D$4,4,FALSE)</f>
        <v>X</v>
      </c>
      <c r="N24" s="42" t="str">
        <f>VLOOKUP(Ueberblick4[[#This Row],[eigene Erhebungen]],Dropdown!$A$2:$D$4,4,FALSE)</f>
        <v>-</v>
      </c>
      <c r="O24" s="45" t="s">
        <v>238</v>
      </c>
      <c r="P24" s="8" t="s">
        <v>236</v>
      </c>
    </row>
    <row r="25" spans="1:16" x14ac:dyDescent="0.25">
      <c r="A25" s="6">
        <v>23</v>
      </c>
      <c r="B25" s="42" t="str">
        <f>VLOOKUP(Ueberblick4[[#This Row],[Bottom-Up-Abschätzung]],Dropdown!$A$2:$D$4,4,FALSE)</f>
        <v>X</v>
      </c>
      <c r="C25" s="42" t="str">
        <f>VLOOKUP(Ueberblick4[[#This Row],[Top-Down-Abschätzung]],Dropdown!$A$2:$D$4,4,FALSE)</f>
        <v>X</v>
      </c>
      <c r="D25" s="42" t="str">
        <f>VLOOKUP(Ueberblick4[[#This Row],[Kosten-Potenzial-Kurven]],Dropdown!$A$2:$D$4,4,FALSE)</f>
        <v>-</v>
      </c>
      <c r="E25" s="42" t="str">
        <f>VLOOKUP(Ueberblick4[[#This Row],[Analyse mehrerer Szenarien]],Dropdown!$A$2:$D$4,4,FALSE)</f>
        <v>-</v>
      </c>
      <c r="F25" s="42" t="str">
        <f>VLOOKUP(Ueberblick4[[#This Row],[Untersuchung von Fehlermaßen]],Dropdown!$A$2:$D$4,4,FALSE)</f>
        <v>-</v>
      </c>
      <c r="G25" s="42" t="str">
        <f>Ueberblick[[#This Row],[Quellen Methodik]]</f>
        <v>38-45; 48-53; 62-69; 73-97; 104-116; 119-121; 168-169</v>
      </c>
      <c r="H25" s="42" t="str">
        <f>VLOOKUP(Ueberblick4[[#This Row],[Literaturanalyse]],Dropdown!$A$2:$D$4,4,FALSE)</f>
        <v>X</v>
      </c>
      <c r="I25" s="42" t="str">
        <f>VLOOKUP(Ueberblick4[[#This Row],[Auswertung von Statistiken]],Dropdown!$A$2:$D$4,4,FALSE)</f>
        <v>X</v>
      </c>
      <c r="J25" s="42" t="str">
        <f>VLOOKUP(Ueberblick4[[#This Row],[Expertenabschätzungen]],Dropdown!$A$2:$D$4,4,FALSE)</f>
        <v>-</v>
      </c>
      <c r="K25" s="42" t="str">
        <f>VLOOKUP(Ueberblick4[[#This Row],[(Online-)Umfragen]],Dropdown!$A$2:$D$4,4,FALSE)</f>
        <v>-</v>
      </c>
      <c r="L25" s="42" t="str">
        <f>VLOOKUP(Ueberblick4[[#This Row],[Unternehmensbefragungen]],Dropdown!$A$2:$D$4,4,FALSE)</f>
        <v>-</v>
      </c>
      <c r="M25" s="42" t="str">
        <f>VLOOKUP(Ueberblick4[[#This Row],[eigene Annahmen]],Dropdown!$A$2:$D$4,4,FALSE)</f>
        <v>X</v>
      </c>
      <c r="N25" s="42" t="str">
        <f>VLOOKUP(Ueberblick4[[#This Row],[eigene Erhebungen]],Dropdown!$A$2:$D$4,4,FALSE)</f>
        <v>-</v>
      </c>
      <c r="O25" s="42">
        <v>1996</v>
      </c>
      <c r="P25" s="8">
        <v>49</v>
      </c>
    </row>
    <row r="26" spans="1:16" s="11" customFormat="1" x14ac:dyDescent="0.25">
      <c r="A26" s="6">
        <v>24</v>
      </c>
      <c r="B26" s="42" t="str">
        <f>VLOOKUP(Ueberblick4[[#This Row],[Bottom-Up-Abschätzung]],Dropdown!$A$2:$D$4,4,FALSE)</f>
        <v>X</v>
      </c>
      <c r="C26" s="42" t="str">
        <f>VLOOKUP(Ueberblick4[[#This Row],[Top-Down-Abschätzung]],Dropdown!$A$2:$D$4,4,FALSE)</f>
        <v>X</v>
      </c>
      <c r="D26" s="42" t="str">
        <f>VLOOKUP(Ueberblick4[[#This Row],[Kosten-Potenzial-Kurven]],Dropdown!$A$2:$D$4,4,FALSE)</f>
        <v>X</v>
      </c>
      <c r="E26" s="42" t="str">
        <f>VLOOKUP(Ueberblick4[[#This Row],[Analyse mehrerer Szenarien]],Dropdown!$A$2:$D$4,4,FALSE)</f>
        <v>X</v>
      </c>
      <c r="F26" s="42" t="str">
        <f>VLOOKUP(Ueberblick4[[#This Row],[Untersuchung von Fehlermaßen]],Dropdown!$A$2:$D$4,4,FALSE)</f>
        <v>X</v>
      </c>
      <c r="G26" s="42" t="str">
        <f>Ueberblick[[#This Row],[Quellen Methodik]]</f>
        <v>22-31; 46-63; 73-76; 77-87; 93</v>
      </c>
      <c r="H26" s="42" t="str">
        <f>VLOOKUP(Ueberblick4[[#This Row],[Literaturanalyse]],Dropdown!$A$2:$D$4,4,FALSE)</f>
        <v>X</v>
      </c>
      <c r="I26" s="42" t="str">
        <f>VLOOKUP(Ueberblick4[[#This Row],[Auswertung von Statistiken]],Dropdown!$A$2:$D$4,4,FALSE)</f>
        <v>X</v>
      </c>
      <c r="J26" s="42" t="str">
        <f>VLOOKUP(Ueberblick4[[#This Row],[Expertenabschätzungen]],Dropdown!$A$2:$D$4,4,FALSE)</f>
        <v>X</v>
      </c>
      <c r="K26" s="42" t="str">
        <f>VLOOKUP(Ueberblick4[[#This Row],[(Online-)Umfragen]],Dropdown!$A$2:$D$4,4,FALSE)</f>
        <v>-</v>
      </c>
      <c r="L26" s="42" t="str">
        <f>VLOOKUP(Ueberblick4[[#This Row],[Unternehmensbefragungen]],Dropdown!$A$2:$D$4,4,FALSE)</f>
        <v>X</v>
      </c>
      <c r="M26" s="42" t="str">
        <f>VLOOKUP(Ueberblick4[[#This Row],[eigene Annahmen]],Dropdown!$A$2:$D$4,4,FALSE)</f>
        <v>X</v>
      </c>
      <c r="N26" s="42" t="str">
        <f>VLOOKUP(Ueberblick4[[#This Row],[eigene Erhebungen]],Dropdown!$A$2:$D$4,4,FALSE)</f>
        <v>X</v>
      </c>
      <c r="O26" s="42"/>
      <c r="P26" s="8" t="s">
        <v>291</v>
      </c>
    </row>
    <row r="27" spans="1:16" s="11" customFormat="1" x14ac:dyDescent="0.25">
      <c r="A27" s="6">
        <v>25</v>
      </c>
      <c r="B27" s="42" t="str">
        <f>VLOOKUP(Ueberblick4[[#This Row],[Bottom-Up-Abschätzung]],Dropdown!$A$2:$D$4,4,FALSE)</f>
        <v>-</v>
      </c>
      <c r="C27" s="42" t="str">
        <f>VLOOKUP(Ueberblick4[[#This Row],[Top-Down-Abschätzung]],Dropdown!$A$2:$D$4,4,FALSE)</f>
        <v>X</v>
      </c>
      <c r="D27" s="42" t="str">
        <f>VLOOKUP(Ueberblick4[[#This Row],[Kosten-Potenzial-Kurven]],Dropdown!$A$2:$D$4,4,FALSE)</f>
        <v>-</v>
      </c>
      <c r="E27" s="42" t="str">
        <f>VLOOKUP(Ueberblick4[[#This Row],[Analyse mehrerer Szenarien]],Dropdown!$A$2:$D$4,4,FALSE)</f>
        <v>X</v>
      </c>
      <c r="F27" s="42" t="str">
        <f>VLOOKUP(Ueberblick4[[#This Row],[Untersuchung von Fehlermaßen]],Dropdown!$A$2:$D$4,4,FALSE)</f>
        <v>-</v>
      </c>
      <c r="G27" s="42" t="str">
        <f>Ueberblick[[#This Row],[Quellen Methodik]]</f>
        <v>8-10; 26-28; 38</v>
      </c>
      <c r="H27" s="42" t="str">
        <f>VLOOKUP(Ueberblick4[[#This Row],[Literaturanalyse]],Dropdown!$A$2:$D$4,4,FALSE)</f>
        <v>X</v>
      </c>
      <c r="I27" s="42" t="str">
        <f>VLOOKUP(Ueberblick4[[#This Row],[Auswertung von Statistiken]],Dropdown!$A$2:$D$4,4,FALSE)</f>
        <v>X</v>
      </c>
      <c r="J27" s="42" t="str">
        <f>VLOOKUP(Ueberblick4[[#This Row],[Expertenabschätzungen]],Dropdown!$A$2:$D$4,4,FALSE)</f>
        <v>-</v>
      </c>
      <c r="K27" s="42" t="str">
        <f>VLOOKUP(Ueberblick4[[#This Row],[(Online-)Umfragen]],Dropdown!$A$2:$D$4,4,FALSE)</f>
        <v>-</v>
      </c>
      <c r="L27" s="42" t="str">
        <f>VLOOKUP(Ueberblick4[[#This Row],[Unternehmensbefragungen]],Dropdown!$A$2:$D$4,4,FALSE)</f>
        <v>-</v>
      </c>
      <c r="M27" s="42" t="str">
        <f>VLOOKUP(Ueberblick4[[#This Row],[eigene Annahmen]],Dropdown!$A$2:$D$4,4,FALSE)</f>
        <v>X</v>
      </c>
      <c r="N27" s="42" t="str">
        <f>VLOOKUP(Ueberblick4[[#This Row],[eigene Erhebungen]],Dropdown!$A$2:$D$4,4,FALSE)</f>
        <v>-</v>
      </c>
      <c r="O27" s="42" t="s">
        <v>249</v>
      </c>
      <c r="P27" s="8" t="s">
        <v>250</v>
      </c>
    </row>
    <row r="28" spans="1:16" x14ac:dyDescent="0.25">
      <c r="A28" s="18" t="s">
        <v>854</v>
      </c>
      <c r="B28" s="44">
        <f>Ueberblick4[[#Totals],[Bottom-Up-Abschätzung]]</f>
        <v>22</v>
      </c>
      <c r="C28" s="44">
        <f>Ueberblick4[[#Totals],[Top-Down-Abschätzung]]</f>
        <v>25</v>
      </c>
      <c r="D28" s="44">
        <f>Ueberblick4[[#Totals],[Kosten-Potenzial-Kurven]]</f>
        <v>5</v>
      </c>
      <c r="E28" s="44">
        <f>Ueberblick4[[#Totals],[Analyse mehrerer Szenarien]]</f>
        <v>11.5</v>
      </c>
      <c r="F28" s="44">
        <f>Ueberblick4[[#Totals],[Untersuchung von Fehlermaßen]]</f>
        <v>2</v>
      </c>
      <c r="G28" s="44"/>
      <c r="H28" s="44">
        <f>Ueberblick4[[#Totals],[Literaturanalyse]]</f>
        <v>24</v>
      </c>
      <c r="I28" s="44">
        <f>Ueberblick4[[#Totals],[Auswertung von Statistiken]]</f>
        <v>18.5</v>
      </c>
      <c r="J28" s="44">
        <f>Ueberblick4[[#Totals],[Expertenabschätzungen]]</f>
        <v>6</v>
      </c>
      <c r="K28" s="44">
        <f>Ueberblick4[[#Totals],[(Online-)Umfragen]]</f>
        <v>3</v>
      </c>
      <c r="L28" s="44">
        <f>Ueberblick4[[#Totals],[Unternehmensbefragungen]]</f>
        <v>9.5</v>
      </c>
      <c r="M28" s="44">
        <f>Ueberblick4[[#Totals],[eigene Annahmen]]</f>
        <v>19.5</v>
      </c>
      <c r="N28" s="44">
        <f>Ueberblick4[[#Totals],[eigene Erhebungen]]</f>
        <v>3.5</v>
      </c>
      <c r="O28" s="17"/>
      <c r="P28" s="17"/>
    </row>
    <row r="29" spans="1:16" x14ac:dyDescent="0.25">
      <c r="G29" s="7"/>
    </row>
    <row r="30" spans="1:16" x14ac:dyDescent="0.25">
      <c r="G30" s="7"/>
    </row>
    <row r="31" spans="1:16" x14ac:dyDescent="0.25">
      <c r="G31" s="7"/>
    </row>
    <row r="32" spans="1:16" x14ac:dyDescent="0.25">
      <c r="G32" s="7"/>
    </row>
    <row r="33" spans="7:7" x14ac:dyDescent="0.25">
      <c r="G33" s="7"/>
    </row>
    <row r="34" spans="7:7" x14ac:dyDescent="0.25">
      <c r="G34" s="7"/>
    </row>
    <row r="35" spans="7:7" x14ac:dyDescent="0.25">
      <c r="G35" s="7"/>
    </row>
    <row r="36" spans="7:7" x14ac:dyDescent="0.25">
      <c r="G36" s="7"/>
    </row>
    <row r="37" spans="7:7" x14ac:dyDescent="0.25">
      <c r="G37" s="7"/>
    </row>
    <row r="38" spans="7:7" x14ac:dyDescent="0.25">
      <c r="G38" s="7"/>
    </row>
    <row r="39" spans="7:7" x14ac:dyDescent="0.25">
      <c r="G39" s="7"/>
    </row>
    <row r="40" spans="7:7" x14ac:dyDescent="0.25">
      <c r="G40" s="7"/>
    </row>
    <row r="41" spans="7:7" x14ac:dyDescent="0.25">
      <c r="G41" s="7"/>
    </row>
    <row r="42" spans="7:7" x14ac:dyDescent="0.25">
      <c r="G42" s="7"/>
    </row>
    <row r="43" spans="7:7" x14ac:dyDescent="0.25">
      <c r="G43" s="7"/>
    </row>
    <row r="44" spans="7:7" x14ac:dyDescent="0.25">
      <c r="G44" s="7"/>
    </row>
    <row r="45" spans="7:7" x14ac:dyDescent="0.25">
      <c r="G45" s="7"/>
    </row>
    <row r="46" spans="7:7" x14ac:dyDescent="0.25">
      <c r="G46" s="7"/>
    </row>
    <row r="47" spans="7:7" x14ac:dyDescent="0.25">
      <c r="G47" s="7"/>
    </row>
    <row r="48" spans="7:7"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sheetData>
  <pageMargins left="0.7" right="0.7" top="0.78740157499999996" bottom="0.78740157499999996"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914BD-E737-47A0-B1E9-04384A8A0816}">
  <sheetPr codeName="Tabelle13">
    <tabColor theme="7" tint="0.79998168889431442"/>
  </sheetPr>
  <dimension ref="A1:B72"/>
  <sheetViews>
    <sheetView workbookViewId="0">
      <selection activeCell="A2" sqref="A2:A17"/>
    </sheetView>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1210</v>
      </c>
      <c r="B1" s="77" t="s">
        <v>872</v>
      </c>
    </row>
    <row r="2" spans="1:2" x14ac:dyDescent="0.2">
      <c r="A2" s="74" t="s">
        <v>1297</v>
      </c>
      <c r="B2" s="78">
        <v>1</v>
      </c>
    </row>
    <row r="3" spans="1:2" x14ac:dyDescent="0.2">
      <c r="A3" s="74" t="s">
        <v>1286</v>
      </c>
      <c r="B3" s="78">
        <v>2</v>
      </c>
    </row>
    <row r="4" spans="1:2" x14ac:dyDescent="0.2">
      <c r="A4" s="74" t="s">
        <v>1298</v>
      </c>
      <c r="B4" s="78">
        <v>3</v>
      </c>
    </row>
    <row r="5" spans="1:2" x14ac:dyDescent="0.2">
      <c r="A5" s="74" t="s">
        <v>1253</v>
      </c>
      <c r="B5" s="78">
        <v>4</v>
      </c>
    </row>
    <row r="6" spans="1:2" ht="25.5" x14ac:dyDescent="0.2">
      <c r="A6" s="74" t="s">
        <v>1287</v>
      </c>
      <c r="B6" s="78">
        <v>5</v>
      </c>
    </row>
    <row r="7" spans="1:2" x14ac:dyDescent="0.2">
      <c r="A7" s="74" t="s">
        <v>1288</v>
      </c>
      <c r="B7" s="78">
        <v>6</v>
      </c>
    </row>
    <row r="8" spans="1:2" x14ac:dyDescent="0.2">
      <c r="A8" s="74" t="s">
        <v>1295</v>
      </c>
      <c r="B8" s="78">
        <v>7</v>
      </c>
    </row>
    <row r="9" spans="1:2" x14ac:dyDescent="0.2">
      <c r="A9" s="74" t="s">
        <v>1289</v>
      </c>
      <c r="B9" s="78">
        <v>8</v>
      </c>
    </row>
    <row r="10" spans="1:2" x14ac:dyDescent="0.2">
      <c r="A10" s="74" t="s">
        <v>1290</v>
      </c>
      <c r="B10" s="78">
        <v>9</v>
      </c>
    </row>
    <row r="11" spans="1:2" x14ac:dyDescent="0.2">
      <c r="A11" s="74" t="s">
        <v>1291</v>
      </c>
      <c r="B11" s="78">
        <v>10</v>
      </c>
    </row>
    <row r="12" spans="1:2" x14ac:dyDescent="0.2">
      <c r="A12" s="74" t="s">
        <v>1299</v>
      </c>
      <c r="B12" s="78">
        <v>11</v>
      </c>
    </row>
    <row r="13" spans="1:2" ht="25.5" x14ac:dyDescent="0.2">
      <c r="A13" s="74" t="s">
        <v>1292</v>
      </c>
      <c r="B13" s="78">
        <v>12</v>
      </c>
    </row>
    <row r="14" spans="1:2" x14ac:dyDescent="0.2">
      <c r="A14" s="74" t="s">
        <v>1293</v>
      </c>
      <c r="B14" s="78">
        <v>13</v>
      </c>
    </row>
    <row r="15" spans="1:2" x14ac:dyDescent="0.2">
      <c r="A15" s="74" t="s">
        <v>1294</v>
      </c>
      <c r="B15" s="78">
        <v>14</v>
      </c>
    </row>
    <row r="16" spans="1:2" x14ac:dyDescent="0.2">
      <c r="A16" s="74" t="s">
        <v>1296</v>
      </c>
      <c r="B16" s="78">
        <v>15</v>
      </c>
    </row>
    <row r="17" spans="1:2" x14ac:dyDescent="0.2">
      <c r="A17" s="74" t="s">
        <v>1300</v>
      </c>
      <c r="B17" s="78">
        <v>16</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row r="48" spans="1:2" ht="15.75" x14ac:dyDescent="0.25">
      <c r="A48"/>
      <c r="B48"/>
    </row>
    <row r="49" spans="1:2" ht="15.75" x14ac:dyDescent="0.25">
      <c r="A49"/>
      <c r="B49"/>
    </row>
    <row r="50" spans="1:2" ht="15.75" x14ac:dyDescent="0.25">
      <c r="A50"/>
      <c r="B50"/>
    </row>
    <row r="51" spans="1:2" ht="15.75" x14ac:dyDescent="0.25">
      <c r="A51"/>
      <c r="B51"/>
    </row>
    <row r="52" spans="1:2" ht="15.75" x14ac:dyDescent="0.25">
      <c r="A52"/>
      <c r="B52"/>
    </row>
    <row r="53" spans="1:2" ht="15.75" x14ac:dyDescent="0.25">
      <c r="A53"/>
      <c r="B53"/>
    </row>
    <row r="54" spans="1:2" ht="15.75" x14ac:dyDescent="0.25">
      <c r="A54"/>
      <c r="B54"/>
    </row>
    <row r="55" spans="1:2" ht="15.75" x14ac:dyDescent="0.25">
      <c r="A55"/>
      <c r="B55"/>
    </row>
    <row r="56" spans="1:2" ht="15.75" x14ac:dyDescent="0.25">
      <c r="A56"/>
      <c r="B56"/>
    </row>
    <row r="57" spans="1:2" ht="15.75" x14ac:dyDescent="0.25">
      <c r="A57"/>
      <c r="B57"/>
    </row>
    <row r="58" spans="1:2" ht="15.75" x14ac:dyDescent="0.25">
      <c r="A58"/>
      <c r="B58"/>
    </row>
    <row r="59" spans="1:2" ht="15.75" x14ac:dyDescent="0.25">
      <c r="A59"/>
      <c r="B59"/>
    </row>
    <row r="60" spans="1:2" ht="15.75" x14ac:dyDescent="0.25">
      <c r="A60"/>
      <c r="B60"/>
    </row>
    <row r="61" spans="1:2" ht="15.75" x14ac:dyDescent="0.25">
      <c r="A61"/>
      <c r="B61"/>
    </row>
    <row r="62" spans="1:2" ht="15.75" x14ac:dyDescent="0.25">
      <c r="A62"/>
      <c r="B62"/>
    </row>
    <row r="63" spans="1:2" ht="15.75" x14ac:dyDescent="0.25">
      <c r="A63"/>
      <c r="B63"/>
    </row>
    <row r="64" spans="1:2" ht="15.75" x14ac:dyDescent="0.25">
      <c r="A64"/>
      <c r="B64"/>
    </row>
    <row r="65" spans="1:2" ht="15.75" x14ac:dyDescent="0.25">
      <c r="A65"/>
      <c r="B65"/>
    </row>
    <row r="66" spans="1:2" ht="15.75" x14ac:dyDescent="0.25">
      <c r="A66"/>
      <c r="B66"/>
    </row>
    <row r="67" spans="1:2" ht="15.75" x14ac:dyDescent="0.25">
      <c r="A67"/>
      <c r="B67"/>
    </row>
    <row r="68" spans="1:2" ht="15.75" x14ac:dyDescent="0.25">
      <c r="A68"/>
      <c r="B68"/>
    </row>
    <row r="69" spans="1:2" ht="15.75" x14ac:dyDescent="0.25">
      <c r="A69"/>
      <c r="B69"/>
    </row>
    <row r="70" spans="1:2" ht="15.75" x14ac:dyDescent="0.25">
      <c r="A70"/>
      <c r="B70"/>
    </row>
    <row r="71" spans="1:2" ht="15.75" x14ac:dyDescent="0.25">
      <c r="A71"/>
      <c r="B71"/>
    </row>
    <row r="72" spans="1:2" ht="15.75" x14ac:dyDescent="0.25">
      <c r="A72"/>
      <c r="B72"/>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0586-1BEC-421A-81F5-2DAE8D2B55E2}">
  <sheetPr codeName="Tabelle14">
    <tabColor theme="7" tint="0.79998168889431442"/>
  </sheetPr>
  <dimension ref="A1:B72"/>
  <sheetViews>
    <sheetView topLeftCell="A58" workbookViewId="0"/>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1211</v>
      </c>
      <c r="B1" s="77" t="s">
        <v>872</v>
      </c>
    </row>
    <row r="2" spans="1:2" ht="25.5" x14ac:dyDescent="0.2">
      <c r="A2" s="74" t="s">
        <v>1212</v>
      </c>
      <c r="B2" s="78">
        <v>1</v>
      </c>
    </row>
    <row r="3" spans="1:2" ht="25.5" x14ac:dyDescent="0.2">
      <c r="A3" s="74" t="s">
        <v>1213</v>
      </c>
      <c r="B3" s="78">
        <v>2</v>
      </c>
    </row>
    <row r="4" spans="1:2" ht="25.5" x14ac:dyDescent="0.2">
      <c r="A4" s="74" t="s">
        <v>1214</v>
      </c>
      <c r="B4" s="78">
        <v>3</v>
      </c>
    </row>
    <row r="5" spans="1:2" ht="38.25" x14ac:dyDescent="0.2">
      <c r="A5" s="74" t="s">
        <v>1215</v>
      </c>
      <c r="B5" s="78">
        <v>4</v>
      </c>
    </row>
    <row r="6" spans="1:2" x14ac:dyDescent="0.2">
      <c r="A6" s="74" t="s">
        <v>1216</v>
      </c>
      <c r="B6" s="78">
        <v>5</v>
      </c>
    </row>
    <row r="7" spans="1:2" x14ac:dyDescent="0.2">
      <c r="A7" s="74" t="s">
        <v>1217</v>
      </c>
      <c r="B7" s="78">
        <v>6</v>
      </c>
    </row>
    <row r="8" spans="1:2" ht="25.5" x14ac:dyDescent="0.2">
      <c r="A8" s="74" t="s">
        <v>1218</v>
      </c>
      <c r="B8" s="78">
        <v>4</v>
      </c>
    </row>
    <row r="9" spans="1:2" ht="25.5" x14ac:dyDescent="0.2">
      <c r="A9" s="74" t="s">
        <v>1220</v>
      </c>
      <c r="B9" s="78">
        <v>7</v>
      </c>
    </row>
    <row r="10" spans="1:2" x14ac:dyDescent="0.2">
      <c r="A10" s="74" t="s">
        <v>1219</v>
      </c>
      <c r="B10" s="78">
        <v>3</v>
      </c>
    </row>
    <row r="11" spans="1:2" x14ac:dyDescent="0.2">
      <c r="A11" s="74" t="s">
        <v>1263</v>
      </c>
      <c r="B11" s="78">
        <v>4</v>
      </c>
    </row>
    <row r="12" spans="1:2" x14ac:dyDescent="0.2">
      <c r="A12" s="74" t="s">
        <v>1262</v>
      </c>
      <c r="B12" s="78">
        <v>5</v>
      </c>
    </row>
    <row r="13" spans="1:2" ht="38.25" x14ac:dyDescent="0.2">
      <c r="A13" s="74" t="s">
        <v>1221</v>
      </c>
      <c r="B13" s="78">
        <v>3</v>
      </c>
    </row>
    <row r="14" spans="1:2" x14ac:dyDescent="0.2">
      <c r="A14" s="74" t="s">
        <v>1222</v>
      </c>
      <c r="B14" s="78">
        <v>3</v>
      </c>
    </row>
    <row r="15" spans="1:2" x14ac:dyDescent="0.2">
      <c r="A15" s="74" t="s">
        <v>1223</v>
      </c>
      <c r="B15" s="78">
        <v>5</v>
      </c>
    </row>
    <row r="16" spans="1:2" ht="25.5" x14ac:dyDescent="0.2">
      <c r="A16" s="74" t="s">
        <v>1224</v>
      </c>
      <c r="B16" s="78">
        <v>8</v>
      </c>
    </row>
    <row r="17" spans="1:2" ht="25.5" x14ac:dyDescent="0.2">
      <c r="A17" s="74" t="s">
        <v>1225</v>
      </c>
      <c r="B17" s="78">
        <v>2</v>
      </c>
    </row>
    <row r="18" spans="1:2" x14ac:dyDescent="0.2">
      <c r="A18" s="74" t="s">
        <v>1226</v>
      </c>
      <c r="B18" s="78">
        <v>5</v>
      </c>
    </row>
    <row r="19" spans="1:2" x14ac:dyDescent="0.2">
      <c r="A19" s="74" t="s">
        <v>1227</v>
      </c>
      <c r="B19" s="78">
        <v>9</v>
      </c>
    </row>
    <row r="20" spans="1:2" ht="25.5" x14ac:dyDescent="0.2">
      <c r="A20" s="74" t="s">
        <v>1265</v>
      </c>
      <c r="B20" s="78">
        <v>5</v>
      </c>
    </row>
    <row r="21" spans="1:2" x14ac:dyDescent="0.2">
      <c r="A21" s="74" t="s">
        <v>1264</v>
      </c>
      <c r="B21" s="78">
        <v>10</v>
      </c>
    </row>
    <row r="22" spans="1:2" x14ac:dyDescent="0.2">
      <c r="A22" s="74" t="s">
        <v>1231</v>
      </c>
      <c r="B22" s="78">
        <v>5</v>
      </c>
    </row>
    <row r="23" spans="1:2" x14ac:dyDescent="0.2">
      <c r="A23" s="74" t="s">
        <v>1228</v>
      </c>
      <c r="B23" s="78">
        <v>11</v>
      </c>
    </row>
    <row r="24" spans="1:2" ht="25.5" x14ac:dyDescent="0.2">
      <c r="A24" s="74" t="s">
        <v>1229</v>
      </c>
      <c r="B24" s="78">
        <v>10</v>
      </c>
    </row>
    <row r="25" spans="1:2" ht="25.5" x14ac:dyDescent="0.2">
      <c r="A25" s="74" t="s">
        <v>1230</v>
      </c>
      <c r="B25" s="78">
        <v>3</v>
      </c>
    </row>
    <row r="26" spans="1:2" ht="25.5" x14ac:dyDescent="0.2">
      <c r="A26" s="74" t="s">
        <v>1266</v>
      </c>
      <c r="B26" s="78">
        <v>2</v>
      </c>
    </row>
    <row r="27" spans="1:2" ht="25.5" x14ac:dyDescent="0.2">
      <c r="A27" s="74" t="s">
        <v>1267</v>
      </c>
      <c r="B27" s="78">
        <v>12</v>
      </c>
    </row>
    <row r="28" spans="1:2" ht="25.5" x14ac:dyDescent="0.2">
      <c r="A28" s="74" t="s">
        <v>1242</v>
      </c>
      <c r="B28" s="78">
        <v>8</v>
      </c>
    </row>
    <row r="29" spans="1:2" x14ac:dyDescent="0.2">
      <c r="A29" s="75" t="s">
        <v>1232</v>
      </c>
      <c r="B29" s="78">
        <v>1</v>
      </c>
    </row>
    <row r="30" spans="1:2" ht="25.5" x14ac:dyDescent="0.2">
      <c r="A30" s="74" t="s">
        <v>1233</v>
      </c>
      <c r="B30" s="78">
        <v>3</v>
      </c>
    </row>
    <row r="31" spans="1:2" x14ac:dyDescent="0.2">
      <c r="A31" s="74" t="s">
        <v>1243</v>
      </c>
      <c r="B31" s="78">
        <v>4</v>
      </c>
    </row>
    <row r="32" spans="1:2" x14ac:dyDescent="0.2">
      <c r="A32" s="74" t="s">
        <v>1244</v>
      </c>
      <c r="B32" s="78">
        <v>11</v>
      </c>
    </row>
    <row r="33" spans="1:2" ht="38.25" x14ac:dyDescent="0.2">
      <c r="A33" s="74" t="s">
        <v>1234</v>
      </c>
      <c r="B33" s="78">
        <v>10</v>
      </c>
    </row>
    <row r="34" spans="1:2" ht="25.5" x14ac:dyDescent="0.2">
      <c r="A34" s="74" t="s">
        <v>1245</v>
      </c>
      <c r="B34" s="78">
        <v>3</v>
      </c>
    </row>
    <row r="35" spans="1:2" x14ac:dyDescent="0.2">
      <c r="A35" s="74" t="s">
        <v>1246</v>
      </c>
      <c r="B35" s="78">
        <v>13</v>
      </c>
    </row>
    <row r="36" spans="1:2" ht="25.5" x14ac:dyDescent="0.2">
      <c r="A36" s="74" t="s">
        <v>320</v>
      </c>
      <c r="B36" s="78">
        <v>7</v>
      </c>
    </row>
    <row r="37" spans="1:2" ht="25.5" x14ac:dyDescent="0.2">
      <c r="A37" s="74" t="s">
        <v>1268</v>
      </c>
      <c r="B37" s="78">
        <v>5</v>
      </c>
    </row>
    <row r="38" spans="1:2" x14ac:dyDescent="0.2">
      <c r="A38" s="74" t="s">
        <v>1247</v>
      </c>
      <c r="B38" s="78">
        <v>6</v>
      </c>
    </row>
    <row r="39" spans="1:2" x14ac:dyDescent="0.2">
      <c r="A39" s="74" t="s">
        <v>1248</v>
      </c>
      <c r="B39" s="78">
        <v>10</v>
      </c>
    </row>
    <row r="40" spans="1:2" x14ac:dyDescent="0.2">
      <c r="A40" s="74" t="s">
        <v>1249</v>
      </c>
      <c r="B40" s="78">
        <v>3</v>
      </c>
    </row>
    <row r="41" spans="1:2" x14ac:dyDescent="0.2">
      <c r="A41" s="74" t="s">
        <v>1269</v>
      </c>
      <c r="B41" s="78">
        <v>1</v>
      </c>
    </row>
    <row r="42" spans="1:2" x14ac:dyDescent="0.2">
      <c r="A42" s="74" t="s">
        <v>1270</v>
      </c>
      <c r="B42" s="78">
        <v>3</v>
      </c>
    </row>
    <row r="43" spans="1:2" ht="25.5" x14ac:dyDescent="0.2">
      <c r="A43" s="74" t="s">
        <v>1250</v>
      </c>
      <c r="B43" s="78">
        <v>14</v>
      </c>
    </row>
    <row r="44" spans="1:2" ht="51" x14ac:dyDescent="0.2">
      <c r="A44" s="74" t="s">
        <v>1272</v>
      </c>
      <c r="B44" s="78">
        <v>2</v>
      </c>
    </row>
    <row r="45" spans="1:2" ht="25.5" x14ac:dyDescent="0.2">
      <c r="A45" s="74" t="s">
        <v>1271</v>
      </c>
      <c r="B45" s="78">
        <v>1</v>
      </c>
    </row>
    <row r="46" spans="1:2" x14ac:dyDescent="0.2">
      <c r="A46" s="74" t="s">
        <v>1251</v>
      </c>
      <c r="B46" s="78">
        <v>7</v>
      </c>
    </row>
    <row r="47" spans="1:2" ht="38.25" x14ac:dyDescent="0.2">
      <c r="A47" s="74" t="s">
        <v>1273</v>
      </c>
      <c r="B47" s="78">
        <v>15</v>
      </c>
    </row>
    <row r="48" spans="1:2" x14ac:dyDescent="0.2">
      <c r="A48" s="74" t="s">
        <v>1252</v>
      </c>
      <c r="B48" s="78">
        <v>16</v>
      </c>
    </row>
    <row r="49" spans="1:2" ht="25.5" x14ac:dyDescent="0.2">
      <c r="A49" s="74" t="s">
        <v>329</v>
      </c>
      <c r="B49" s="78">
        <v>2</v>
      </c>
    </row>
    <row r="50" spans="1:2" ht="25.5" x14ac:dyDescent="0.2">
      <c r="A50" s="74" t="s">
        <v>1235</v>
      </c>
      <c r="B50" s="78">
        <v>3</v>
      </c>
    </row>
    <row r="51" spans="1:2" x14ac:dyDescent="0.2">
      <c r="A51" s="74" t="s">
        <v>1253</v>
      </c>
      <c r="B51" s="78">
        <v>4</v>
      </c>
    </row>
    <row r="52" spans="1:2" ht="25.5" x14ac:dyDescent="0.2">
      <c r="A52" s="74" t="s">
        <v>1279</v>
      </c>
      <c r="B52" s="78">
        <v>3</v>
      </c>
    </row>
    <row r="53" spans="1:2" x14ac:dyDescent="0.2">
      <c r="A53" s="74" t="s">
        <v>1280</v>
      </c>
      <c r="B53" s="78">
        <v>2</v>
      </c>
    </row>
    <row r="54" spans="1:2" ht="25.5" x14ac:dyDescent="0.2">
      <c r="A54" s="74" t="s">
        <v>1282</v>
      </c>
      <c r="B54" s="78">
        <v>5</v>
      </c>
    </row>
    <row r="55" spans="1:2" x14ac:dyDescent="0.2">
      <c r="A55" s="74" t="s">
        <v>1228</v>
      </c>
      <c r="B55" s="78">
        <v>11</v>
      </c>
    </row>
    <row r="56" spans="1:2" ht="25.5" x14ac:dyDescent="0.2">
      <c r="A56" s="74" t="s">
        <v>1236</v>
      </c>
      <c r="B56" s="78">
        <v>10</v>
      </c>
    </row>
    <row r="57" spans="1:2" ht="25.5" x14ac:dyDescent="0.2">
      <c r="A57" s="74" t="s">
        <v>1254</v>
      </c>
      <c r="B57" s="78">
        <v>4</v>
      </c>
    </row>
    <row r="58" spans="1:2" ht="25.5" x14ac:dyDescent="0.2">
      <c r="A58" s="74" t="s">
        <v>1285</v>
      </c>
      <c r="B58" s="78">
        <v>5</v>
      </c>
    </row>
    <row r="59" spans="1:2" x14ac:dyDescent="0.2">
      <c r="A59" s="74" t="s">
        <v>1283</v>
      </c>
      <c r="B59" s="78">
        <v>6</v>
      </c>
    </row>
    <row r="60" spans="1:2" x14ac:dyDescent="0.2">
      <c r="A60" s="74" t="s">
        <v>1284</v>
      </c>
      <c r="B60" s="78">
        <v>3</v>
      </c>
    </row>
    <row r="61" spans="1:2" x14ac:dyDescent="0.2">
      <c r="A61" s="74" t="s">
        <v>1255</v>
      </c>
      <c r="B61" s="78">
        <v>11</v>
      </c>
    </row>
    <row r="62" spans="1:2" ht="38.25" x14ac:dyDescent="0.2">
      <c r="A62" s="74" t="s">
        <v>1237</v>
      </c>
      <c r="B62" s="78">
        <v>12</v>
      </c>
    </row>
    <row r="63" spans="1:2" ht="25.5" x14ac:dyDescent="0.2">
      <c r="A63" s="74" t="s">
        <v>1256</v>
      </c>
      <c r="B63" s="78">
        <v>4</v>
      </c>
    </row>
    <row r="64" spans="1:2" ht="38.25" x14ac:dyDescent="0.2">
      <c r="A64" s="74" t="s">
        <v>1238</v>
      </c>
      <c r="B64" s="78">
        <v>12</v>
      </c>
    </row>
    <row r="65" spans="1:2" ht="25.5" x14ac:dyDescent="0.2">
      <c r="A65" s="74" t="s">
        <v>1257</v>
      </c>
      <c r="B65" s="78">
        <v>12</v>
      </c>
    </row>
    <row r="66" spans="1:2" x14ac:dyDescent="0.2">
      <c r="A66" s="74" t="s">
        <v>1258</v>
      </c>
      <c r="B66" s="78">
        <v>12</v>
      </c>
    </row>
    <row r="67" spans="1:2" ht="25.5" x14ac:dyDescent="0.2">
      <c r="A67" s="74" t="s">
        <v>1239</v>
      </c>
      <c r="B67" s="78">
        <v>12</v>
      </c>
    </row>
    <row r="68" spans="1:2" x14ac:dyDescent="0.2">
      <c r="A68" s="74" t="s">
        <v>1259</v>
      </c>
      <c r="B68" s="78">
        <v>12</v>
      </c>
    </row>
    <row r="69" spans="1:2" ht="25.5" x14ac:dyDescent="0.2">
      <c r="A69" s="74" t="s">
        <v>1240</v>
      </c>
      <c r="B69" s="78">
        <v>5</v>
      </c>
    </row>
    <row r="70" spans="1:2" ht="25.5" x14ac:dyDescent="0.2">
      <c r="A70" s="74" t="s">
        <v>1241</v>
      </c>
      <c r="B70" s="78">
        <v>3</v>
      </c>
    </row>
    <row r="71" spans="1:2" x14ac:dyDescent="0.2">
      <c r="A71" s="76" t="s">
        <v>1260</v>
      </c>
      <c r="B71" s="78">
        <v>5</v>
      </c>
    </row>
    <row r="72" spans="1:2" x14ac:dyDescent="0.2">
      <c r="A72" s="78" t="s">
        <v>1261</v>
      </c>
      <c r="B72" s="78">
        <v>2</v>
      </c>
    </row>
  </sheetData>
  <pageMargins left="0.7" right="0.7" top="0.78740157499999996" bottom="0.78740157499999996" header="0.3" footer="0.3"/>
  <tableParts count="1">
    <tablePart r:id="rId1"/>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B44C3-2517-4726-B675-DCB0BC43F807}">
  <sheetPr codeName="Tabelle15">
    <tabColor theme="7" tint="0.79998168889431442"/>
  </sheetPr>
  <dimension ref="A1:R28"/>
  <sheetViews>
    <sheetView topLeftCell="A11" zoomScale="85" zoomScaleNormal="85" workbookViewId="0">
      <selection activeCell="S27" sqref="S27"/>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3" t="s">
        <v>1301</v>
      </c>
      <c r="C2" s="43" t="s">
        <v>1286</v>
      </c>
      <c r="D2" s="43" t="s">
        <v>1303</v>
      </c>
      <c r="E2" s="43" t="s">
        <v>1304</v>
      </c>
      <c r="F2" s="43" t="s">
        <v>1305</v>
      </c>
      <c r="G2" s="43" t="s">
        <v>1288</v>
      </c>
      <c r="H2" s="43" t="s">
        <v>1306</v>
      </c>
      <c r="I2" s="43" t="s">
        <v>1307</v>
      </c>
      <c r="J2" s="43" t="s">
        <v>1308</v>
      </c>
      <c r="K2" s="43" t="s">
        <v>1309</v>
      </c>
      <c r="L2" s="43" t="s">
        <v>1310</v>
      </c>
      <c r="M2" s="43" t="s">
        <v>1311</v>
      </c>
      <c r="N2" s="43" t="s">
        <v>1312</v>
      </c>
      <c r="O2" s="43" t="s">
        <v>1313</v>
      </c>
      <c r="P2" s="43" t="s">
        <v>1314</v>
      </c>
      <c r="Q2" s="43" t="s">
        <v>1315</v>
      </c>
      <c r="R2" s="3" t="s">
        <v>116</v>
      </c>
    </row>
    <row r="3" spans="1:18" x14ac:dyDescent="0.25">
      <c r="A3" s="6" t="s">
        <v>12</v>
      </c>
      <c r="B3" s="8">
        <v>1</v>
      </c>
      <c r="C3" s="8">
        <v>1</v>
      </c>
      <c r="D3" s="8"/>
      <c r="E3" s="8"/>
      <c r="F3" s="8"/>
      <c r="G3" s="8"/>
      <c r="H3" s="8"/>
      <c r="I3" s="8"/>
      <c r="J3" s="8"/>
      <c r="K3" s="8"/>
      <c r="L3" s="8"/>
      <c r="M3" s="8"/>
      <c r="N3" s="8"/>
      <c r="O3" s="8"/>
      <c r="P3" s="8"/>
      <c r="Q3" s="8"/>
      <c r="R3" s="8" t="s">
        <v>191</v>
      </c>
    </row>
    <row r="4" spans="1:18" ht="25.5" x14ac:dyDescent="0.25">
      <c r="A4" s="6" t="s">
        <v>347</v>
      </c>
      <c r="B4" s="8"/>
      <c r="C4" s="8"/>
      <c r="D4" s="8">
        <v>1</v>
      </c>
      <c r="E4" s="8">
        <v>1</v>
      </c>
      <c r="F4" s="8">
        <v>1</v>
      </c>
      <c r="G4" s="8">
        <v>1</v>
      </c>
      <c r="H4" s="8"/>
      <c r="I4" s="8"/>
      <c r="J4" s="8"/>
      <c r="K4" s="8"/>
      <c r="L4" s="8"/>
      <c r="M4" s="8"/>
      <c r="N4" s="8"/>
      <c r="O4" s="8"/>
      <c r="P4" s="8"/>
      <c r="Q4" s="8"/>
      <c r="R4" s="8" t="s">
        <v>815</v>
      </c>
    </row>
    <row r="5" spans="1:18" s="11" customFormat="1" ht="25.5" x14ac:dyDescent="0.25">
      <c r="A5" s="6" t="s">
        <v>348</v>
      </c>
      <c r="B5" s="8"/>
      <c r="C5" s="8"/>
      <c r="D5" s="8">
        <v>1</v>
      </c>
      <c r="E5" s="8">
        <v>1</v>
      </c>
      <c r="F5" s="8"/>
      <c r="G5" s="8"/>
      <c r="H5" s="8"/>
      <c r="I5" s="8"/>
      <c r="J5" s="8"/>
      <c r="K5" s="8"/>
      <c r="L5" s="8"/>
      <c r="M5" s="8"/>
      <c r="N5" s="8"/>
      <c r="O5" s="8"/>
      <c r="P5" s="8"/>
      <c r="Q5" s="8"/>
      <c r="R5" s="8" t="s">
        <v>375</v>
      </c>
    </row>
    <row r="6" spans="1:18" s="11" customFormat="1" ht="25.5" x14ac:dyDescent="0.25">
      <c r="A6" s="6" t="s">
        <v>183</v>
      </c>
      <c r="B6" s="8"/>
      <c r="C6" s="8"/>
      <c r="D6" s="8">
        <v>1</v>
      </c>
      <c r="E6" s="8">
        <v>1</v>
      </c>
      <c r="F6" s="8">
        <v>1</v>
      </c>
      <c r="G6" s="8"/>
      <c r="H6" s="8">
        <v>1</v>
      </c>
      <c r="I6" s="8"/>
      <c r="J6" s="8"/>
      <c r="K6" s="8"/>
      <c r="L6" s="8"/>
      <c r="M6" s="8"/>
      <c r="N6" s="8"/>
      <c r="O6" s="8"/>
      <c r="P6" s="8"/>
      <c r="Q6" s="8"/>
      <c r="R6" s="8" t="s">
        <v>306</v>
      </c>
    </row>
    <row r="7" spans="1:18" s="11" customFormat="1" ht="25.5" x14ac:dyDescent="0.25">
      <c r="A7" s="6" t="s">
        <v>258</v>
      </c>
      <c r="B7" s="8"/>
      <c r="C7" s="8">
        <v>1</v>
      </c>
      <c r="D7" s="8">
        <v>1</v>
      </c>
      <c r="E7" s="8"/>
      <c r="F7" s="8">
        <v>1</v>
      </c>
      <c r="G7" s="8">
        <v>1</v>
      </c>
      <c r="H7" s="8"/>
      <c r="I7" s="8">
        <v>1</v>
      </c>
      <c r="J7" s="8"/>
      <c r="K7" s="8">
        <v>1</v>
      </c>
      <c r="L7" s="8"/>
      <c r="M7" s="8"/>
      <c r="N7" s="8"/>
      <c r="O7" s="8"/>
      <c r="P7" s="8"/>
      <c r="Q7" s="8"/>
      <c r="R7" s="8" t="s">
        <v>263</v>
      </c>
    </row>
    <row r="8" spans="1:18" s="11" customFormat="1" ht="25.5" x14ac:dyDescent="0.25">
      <c r="A8" s="18" t="s">
        <v>355</v>
      </c>
      <c r="B8" s="79"/>
      <c r="C8" s="79">
        <v>1</v>
      </c>
      <c r="D8" s="79"/>
      <c r="E8" s="79"/>
      <c r="F8" s="79">
        <v>1</v>
      </c>
      <c r="G8" s="79"/>
      <c r="H8" s="79"/>
      <c r="I8" s="79"/>
      <c r="J8" s="79"/>
      <c r="K8" s="79"/>
      <c r="L8" s="79"/>
      <c r="M8" s="79"/>
      <c r="N8" s="79"/>
      <c r="O8" s="79"/>
      <c r="P8" s="79"/>
      <c r="Q8" s="79"/>
      <c r="R8" s="17" t="s">
        <v>361</v>
      </c>
    </row>
    <row r="9" spans="1:18" ht="25.5" x14ac:dyDescent="0.25">
      <c r="A9" s="18" t="s">
        <v>431</v>
      </c>
      <c r="B9" s="79"/>
      <c r="C9" s="79"/>
      <c r="D9" s="79"/>
      <c r="E9" s="79"/>
      <c r="F9" s="79"/>
      <c r="G9" s="79"/>
      <c r="H9" s="79"/>
      <c r="I9" s="79"/>
      <c r="J9" s="79">
        <v>1</v>
      </c>
      <c r="K9" s="79"/>
      <c r="L9" s="79"/>
      <c r="M9" s="79"/>
      <c r="N9" s="79"/>
      <c r="O9" s="79"/>
      <c r="P9" s="79"/>
      <c r="Q9" s="79"/>
      <c r="R9" s="17" t="s">
        <v>419</v>
      </c>
    </row>
    <row r="10" spans="1:18" x14ac:dyDescent="0.25">
      <c r="A10" s="6" t="s">
        <v>410</v>
      </c>
      <c r="B10" s="8"/>
      <c r="C10" s="8"/>
      <c r="D10" s="8">
        <v>1</v>
      </c>
      <c r="E10" s="8"/>
      <c r="F10" s="8">
        <v>1</v>
      </c>
      <c r="G10" s="8"/>
      <c r="H10" s="8"/>
      <c r="I10" s="8"/>
      <c r="J10" s="8"/>
      <c r="K10" s="8">
        <v>1</v>
      </c>
      <c r="L10" s="8">
        <v>1</v>
      </c>
      <c r="M10" s="8"/>
      <c r="N10" s="8"/>
      <c r="O10" s="8"/>
      <c r="P10" s="8"/>
      <c r="Q10" s="8"/>
      <c r="R10" s="8" t="s">
        <v>284</v>
      </c>
    </row>
    <row r="11" spans="1:18" s="11" customFormat="1" x14ac:dyDescent="0.25">
      <c r="A11" s="6" t="s">
        <v>393</v>
      </c>
      <c r="B11" s="8"/>
      <c r="C11" s="8">
        <v>1</v>
      </c>
      <c r="D11" s="8"/>
      <c r="E11" s="8"/>
      <c r="F11" s="8"/>
      <c r="G11" s="8"/>
      <c r="H11" s="8"/>
      <c r="I11" s="8">
        <v>1</v>
      </c>
      <c r="J11" s="8"/>
      <c r="K11" s="8"/>
      <c r="L11" s="8"/>
      <c r="M11" s="8">
        <v>1</v>
      </c>
      <c r="N11" s="8"/>
      <c r="O11" s="8"/>
      <c r="P11" s="8"/>
      <c r="Q11" s="8"/>
      <c r="R11" s="8" t="s">
        <v>396</v>
      </c>
    </row>
    <row r="12" spans="1:18" s="11" customFormat="1" ht="51" x14ac:dyDescent="0.25">
      <c r="A12" s="21" t="s">
        <v>380</v>
      </c>
      <c r="B12" s="8">
        <v>1</v>
      </c>
      <c r="C12" s="8"/>
      <c r="D12" s="8"/>
      <c r="E12" s="8"/>
      <c r="F12" s="8"/>
      <c r="G12" s="8"/>
      <c r="H12" s="8"/>
      <c r="I12" s="8"/>
      <c r="J12" s="8"/>
      <c r="K12" s="8"/>
      <c r="L12" s="8"/>
      <c r="M12" s="8"/>
      <c r="N12" s="8"/>
      <c r="O12" s="8"/>
      <c r="P12" s="8"/>
      <c r="Q12" s="8"/>
      <c r="R12" s="8" t="s">
        <v>385</v>
      </c>
    </row>
    <row r="13" spans="1:18" ht="25.5" x14ac:dyDescent="0.25">
      <c r="A13" s="6" t="s">
        <v>95</v>
      </c>
      <c r="B13" s="8"/>
      <c r="C13" s="8"/>
      <c r="D13" s="8">
        <v>1</v>
      </c>
      <c r="E13" s="8">
        <v>1</v>
      </c>
      <c r="F13" s="8"/>
      <c r="G13" s="8"/>
      <c r="H13" s="8"/>
      <c r="I13" s="8"/>
      <c r="J13" s="8"/>
      <c r="K13" s="8"/>
      <c r="L13" s="8">
        <v>1</v>
      </c>
      <c r="M13" s="8"/>
      <c r="N13" s="8"/>
      <c r="O13" s="8"/>
      <c r="P13" s="8"/>
      <c r="Q13" s="8"/>
      <c r="R13" s="8" t="s">
        <v>117</v>
      </c>
    </row>
    <row r="14" spans="1:18" s="11" customFormat="1" ht="63.75" x14ac:dyDescent="0.25">
      <c r="A14" s="6" t="s">
        <v>1709</v>
      </c>
      <c r="B14" s="8"/>
      <c r="C14" s="8"/>
      <c r="D14" s="8">
        <v>1</v>
      </c>
      <c r="E14" s="8"/>
      <c r="F14" s="8"/>
      <c r="G14" s="8"/>
      <c r="H14" s="8"/>
      <c r="I14" s="8"/>
      <c r="J14" s="8"/>
      <c r="K14" s="8">
        <v>1</v>
      </c>
      <c r="L14" s="8"/>
      <c r="M14" s="8"/>
      <c r="N14" s="8">
        <v>1</v>
      </c>
      <c r="O14" s="8"/>
      <c r="P14" s="8"/>
      <c r="Q14" s="8"/>
      <c r="R14" s="8" t="s">
        <v>212</v>
      </c>
    </row>
    <row r="15" spans="1:18" ht="25.5" x14ac:dyDescent="0.25">
      <c r="A15" s="6" t="s">
        <v>179</v>
      </c>
      <c r="B15" s="8"/>
      <c r="C15" s="8"/>
      <c r="D15" s="8"/>
      <c r="E15" s="8"/>
      <c r="F15" s="8"/>
      <c r="G15" s="8"/>
      <c r="H15" s="8"/>
      <c r="I15" s="8">
        <v>1</v>
      </c>
      <c r="J15" s="8"/>
      <c r="K15" s="8"/>
      <c r="L15" s="8"/>
      <c r="M15" s="8"/>
      <c r="N15" s="8"/>
      <c r="O15" s="8"/>
      <c r="P15" s="8"/>
      <c r="Q15" s="8"/>
      <c r="R15" s="8">
        <v>32</v>
      </c>
    </row>
    <row r="16" spans="1:18" s="11" customFormat="1" ht="25.5" x14ac:dyDescent="0.25">
      <c r="A16" s="6" t="s">
        <v>341</v>
      </c>
      <c r="B16" s="8">
        <v>1</v>
      </c>
      <c r="C16" s="8">
        <v>1</v>
      </c>
      <c r="D16" s="8">
        <v>1</v>
      </c>
      <c r="E16" s="8"/>
      <c r="F16" s="8">
        <v>1</v>
      </c>
      <c r="G16" s="8">
        <v>1</v>
      </c>
      <c r="H16" s="8">
        <v>1</v>
      </c>
      <c r="I16" s="8"/>
      <c r="J16" s="8"/>
      <c r="K16" s="8">
        <v>1</v>
      </c>
      <c r="L16" s="8">
        <v>1</v>
      </c>
      <c r="M16" s="8"/>
      <c r="N16" s="8"/>
      <c r="O16" s="8">
        <v>1</v>
      </c>
      <c r="P16" s="8">
        <v>1</v>
      </c>
      <c r="Q16" s="8">
        <v>1</v>
      </c>
      <c r="R16" s="8" t="s">
        <v>795</v>
      </c>
    </row>
    <row r="17" spans="1:18" ht="25.5" x14ac:dyDescent="0.25">
      <c r="A17" s="6" t="s">
        <v>22</v>
      </c>
      <c r="B17" s="8"/>
      <c r="C17" s="8"/>
      <c r="D17" s="8"/>
      <c r="E17" s="8"/>
      <c r="F17" s="8"/>
      <c r="G17" s="8"/>
      <c r="H17" s="8"/>
      <c r="I17" s="8">
        <v>1</v>
      </c>
      <c r="J17" s="8"/>
      <c r="K17" s="8">
        <v>1</v>
      </c>
      <c r="L17" s="8"/>
      <c r="M17" s="8"/>
      <c r="N17" s="8"/>
      <c r="O17" s="8"/>
      <c r="P17" s="8"/>
      <c r="Q17" s="8"/>
      <c r="R17" s="8" t="s">
        <v>242</v>
      </c>
    </row>
    <row r="18" spans="1:18" s="11" customFormat="1" ht="25.5" x14ac:dyDescent="0.25">
      <c r="A18" s="6" t="s">
        <v>188</v>
      </c>
      <c r="B18" s="8"/>
      <c r="C18" s="8">
        <v>1</v>
      </c>
      <c r="D18" s="8"/>
      <c r="E18" s="8"/>
      <c r="F18" s="8"/>
      <c r="G18" s="8"/>
      <c r="H18" s="8"/>
      <c r="I18" s="8"/>
      <c r="J18" s="8"/>
      <c r="K18" s="8"/>
      <c r="L18" s="8"/>
      <c r="M18" s="8"/>
      <c r="N18" s="8"/>
      <c r="O18" s="8">
        <v>1</v>
      </c>
      <c r="P18" s="8"/>
      <c r="Q18" s="8"/>
      <c r="R18" s="8" t="s">
        <v>333</v>
      </c>
    </row>
    <row r="19" spans="1:18" ht="38.25" x14ac:dyDescent="0.25">
      <c r="A19" s="6" t="s">
        <v>133</v>
      </c>
      <c r="B19" s="8"/>
      <c r="C19" s="8"/>
      <c r="D19" s="8">
        <v>1</v>
      </c>
      <c r="E19" s="8">
        <v>1</v>
      </c>
      <c r="F19" s="8"/>
      <c r="G19" s="8"/>
      <c r="H19" s="8"/>
      <c r="I19" s="8"/>
      <c r="J19" s="8"/>
      <c r="K19" s="8"/>
      <c r="L19" s="8"/>
      <c r="M19" s="8"/>
      <c r="N19" s="8"/>
      <c r="O19" s="8"/>
      <c r="P19" s="8"/>
      <c r="Q19" s="8"/>
      <c r="R19" s="8" t="s">
        <v>147</v>
      </c>
    </row>
    <row r="20" spans="1:18" s="11" customFormat="1" ht="25.5" x14ac:dyDescent="0.25">
      <c r="A20" s="6" t="s">
        <v>10</v>
      </c>
      <c r="B20" s="8"/>
      <c r="C20" s="8"/>
      <c r="D20" s="8">
        <v>1</v>
      </c>
      <c r="E20" s="8">
        <v>1</v>
      </c>
      <c r="F20" s="8"/>
      <c r="G20" s="8"/>
      <c r="H20" s="8"/>
      <c r="I20" s="8"/>
      <c r="J20" s="8"/>
      <c r="K20" s="8"/>
      <c r="L20" s="8"/>
      <c r="M20" s="8"/>
      <c r="N20" s="8"/>
      <c r="O20" s="8"/>
      <c r="P20" s="8"/>
      <c r="Q20" s="8"/>
      <c r="R20" s="8" t="s">
        <v>172</v>
      </c>
    </row>
    <row r="21" spans="1:18" ht="38.25" x14ac:dyDescent="0.25">
      <c r="A21" s="6" t="s">
        <v>832</v>
      </c>
      <c r="B21" s="8"/>
      <c r="C21" s="8">
        <v>1</v>
      </c>
      <c r="D21" s="8">
        <v>1</v>
      </c>
      <c r="E21" s="8"/>
      <c r="F21" s="8">
        <v>1</v>
      </c>
      <c r="G21" s="8"/>
      <c r="H21" s="8"/>
      <c r="I21" s="8"/>
      <c r="J21" s="8"/>
      <c r="K21" s="8">
        <v>1</v>
      </c>
      <c r="L21" s="8">
        <v>1</v>
      </c>
      <c r="M21" s="8"/>
      <c r="N21" s="8"/>
      <c r="O21" s="8"/>
      <c r="P21" s="8"/>
      <c r="Q21" s="8"/>
      <c r="R21" s="8" t="s">
        <v>279</v>
      </c>
    </row>
    <row r="22" spans="1:18" s="11" customFormat="1" x14ac:dyDescent="0.25">
      <c r="A22" s="6" t="s">
        <v>16</v>
      </c>
      <c r="B22" s="8"/>
      <c r="C22" s="8"/>
      <c r="D22" s="8"/>
      <c r="E22" s="8">
        <v>1</v>
      </c>
      <c r="F22" s="8"/>
      <c r="G22" s="8"/>
      <c r="H22" s="8"/>
      <c r="I22" s="8"/>
      <c r="J22" s="8"/>
      <c r="K22" s="8">
        <v>1</v>
      </c>
      <c r="L22" s="8"/>
      <c r="M22" s="8"/>
      <c r="N22" s="8"/>
      <c r="O22" s="8"/>
      <c r="P22" s="8"/>
      <c r="Q22" s="8"/>
      <c r="R22" s="8" t="s">
        <v>207</v>
      </c>
    </row>
    <row r="23" spans="1:18" ht="25.5" x14ac:dyDescent="0.25">
      <c r="A23" s="6" t="s">
        <v>7</v>
      </c>
      <c r="B23" s="8"/>
      <c r="C23" s="8"/>
      <c r="D23" s="8"/>
      <c r="E23" s="8"/>
      <c r="F23" s="8"/>
      <c r="G23" s="8"/>
      <c r="H23" s="8"/>
      <c r="I23" s="8"/>
      <c r="J23" s="8"/>
      <c r="K23" s="8"/>
      <c r="L23" s="8"/>
      <c r="M23" s="8"/>
      <c r="N23" s="8"/>
      <c r="O23" s="8"/>
      <c r="P23" s="8"/>
      <c r="Q23" s="8"/>
      <c r="R23" s="8" t="s">
        <v>131</v>
      </c>
    </row>
    <row r="24" spans="1:18" s="11" customFormat="1" ht="25.5" x14ac:dyDescent="0.25">
      <c r="A24" s="6" t="s">
        <v>18</v>
      </c>
      <c r="B24" s="8"/>
      <c r="C24" s="8"/>
      <c r="D24" s="8"/>
      <c r="E24" s="8"/>
      <c r="F24" s="8">
        <v>1</v>
      </c>
      <c r="G24" s="8">
        <v>1</v>
      </c>
      <c r="H24" s="8"/>
      <c r="I24" s="8"/>
      <c r="J24" s="8"/>
      <c r="K24" s="8"/>
      <c r="L24" s="8">
        <v>1</v>
      </c>
      <c r="M24" s="8"/>
      <c r="N24" s="8"/>
      <c r="O24" s="8"/>
      <c r="P24" s="8"/>
      <c r="Q24" s="8"/>
      <c r="R24" s="8" t="s">
        <v>225</v>
      </c>
    </row>
    <row r="25" spans="1:18" ht="38.25" x14ac:dyDescent="0.25">
      <c r="A25" s="6" t="s">
        <v>338</v>
      </c>
      <c r="B25" s="8"/>
      <c r="C25" s="8"/>
      <c r="D25" s="8"/>
      <c r="E25" s="8">
        <v>1</v>
      </c>
      <c r="F25" s="8"/>
      <c r="G25" s="8"/>
      <c r="H25" s="8"/>
      <c r="I25" s="8"/>
      <c r="J25" s="8"/>
      <c r="K25" s="8"/>
      <c r="L25" s="8"/>
      <c r="M25" s="8">
        <v>1</v>
      </c>
      <c r="N25" s="8"/>
      <c r="O25" s="8"/>
      <c r="P25" s="8"/>
      <c r="Q25" s="8"/>
      <c r="R25" s="8" t="s">
        <v>806</v>
      </c>
    </row>
    <row r="26" spans="1:18" s="11" customFormat="1" ht="38.25" x14ac:dyDescent="0.25">
      <c r="A26" s="6" t="s">
        <v>351</v>
      </c>
      <c r="B26" s="8"/>
      <c r="C26" s="8"/>
      <c r="D26" s="8">
        <v>1</v>
      </c>
      <c r="E26" s="8"/>
      <c r="F26" s="8">
        <v>1</v>
      </c>
      <c r="G26" s="8"/>
      <c r="H26" s="8"/>
      <c r="I26" s="8"/>
      <c r="J26" s="8"/>
      <c r="K26" s="8"/>
      <c r="L26" s="8"/>
      <c r="M26" s="8"/>
      <c r="N26" s="8"/>
      <c r="O26" s="8"/>
      <c r="P26" s="8"/>
      <c r="Q26" s="8"/>
      <c r="R26" s="8">
        <v>55</v>
      </c>
    </row>
    <row r="27" spans="1:18" s="11" customFormat="1" ht="51" x14ac:dyDescent="0.25">
      <c r="A27" s="6" t="s">
        <v>24</v>
      </c>
      <c r="B27" s="8"/>
      <c r="C27" s="8">
        <v>1</v>
      </c>
      <c r="D27" s="8">
        <v>1</v>
      </c>
      <c r="E27" s="8"/>
      <c r="F27" s="8">
        <v>1</v>
      </c>
      <c r="G27" s="8">
        <v>1</v>
      </c>
      <c r="H27" s="8"/>
      <c r="I27" s="8"/>
      <c r="J27" s="8"/>
      <c r="K27" s="8"/>
      <c r="L27" s="8"/>
      <c r="M27" s="8"/>
      <c r="N27" s="8"/>
      <c r="O27" s="8"/>
      <c r="P27" s="8"/>
      <c r="Q27" s="8"/>
      <c r="R27" s="8" t="s">
        <v>250</v>
      </c>
    </row>
    <row r="28" spans="1:18" x14ac:dyDescent="0.25">
      <c r="A28" s="18" t="s">
        <v>854</v>
      </c>
      <c r="B28" s="18">
        <f>SUBTOTAL(109,Ueberblick428[StV / Leistungen])</f>
        <v>3</v>
      </c>
      <c r="C28" s="18">
        <f>SUBTOTAL(109,Ueberblick428[Durchdringungsraten])</f>
        <v>8</v>
      </c>
      <c r="D28" s="18">
        <f>SUBTOTAL(109,Ueberblick428[Profile / Zeitverfügbarkeit])</f>
        <v>13</v>
      </c>
      <c r="E28" s="18">
        <f>SUBTOTAL(109,Ueberblick428[flex. Leistung])</f>
        <v>8</v>
      </c>
      <c r="F28" s="18">
        <f>SUBTOTAL(109,Ueberblick428[Zeitdauern])</f>
        <v>10</v>
      </c>
      <c r="G28" s="18">
        <f>SUBTOTAL(109,Ueberblick428[Abrufhäufigkeit])</f>
        <v>5</v>
      </c>
      <c r="H28" s="18">
        <f>SUBTOTAL(109,Ueberblick428[spez. Leistung / Verbräuche])</f>
        <v>2</v>
      </c>
      <c r="I28" s="18">
        <f>SUBTOTAL(109,Ueberblick428[(soziale) Akzeptanz])</f>
        <v>4</v>
      </c>
      <c r="J28" s="18">
        <f>SUBTOTAL(109,Ueberblick428[Prozesseignung])</f>
        <v>1</v>
      </c>
      <c r="K28" s="18">
        <f>SUBTOTAL(109,Ueberblick428[Kosten(entwicklung)])</f>
        <v>7</v>
      </c>
      <c r="L28" s="18">
        <f>SUBTOTAL(109,Ueberblick428[Potenzialentwicklung])</f>
        <v>5</v>
      </c>
      <c r="M28" s="18">
        <f>SUBTOTAL(109,Ueberblick428[Simulationsdaten])</f>
        <v>2</v>
      </c>
      <c r="N28" s="18">
        <f>SUBTOTAL(109,Ueberblick428[Erheblichkeitsschwelle])</f>
        <v>1</v>
      </c>
      <c r="O28" s="18">
        <f>SUBTOTAL(109,Ueberblick428[Annahmen Elektormobilität])</f>
        <v>2</v>
      </c>
      <c r="P28" s="18">
        <f>SUBTOTAL(109,Ueberblick428[Symmetrieannahme])</f>
        <v>1</v>
      </c>
      <c r="Q28" s="18">
        <f>SUBTOTAL(109,Ueberblick428[Bereitstellungsalternative])</f>
        <v>1</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9EE46-49BA-4C10-B366-1B4DDE322837}">
  <sheetPr codeName="Tabelle16">
    <tabColor theme="7" tint="0.79998168889431442"/>
  </sheetPr>
  <dimension ref="A1:R28"/>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3" t="s">
        <v>1301</v>
      </c>
      <c r="C2" s="43" t="s">
        <v>1286</v>
      </c>
      <c r="D2" s="43" t="s">
        <v>1303</v>
      </c>
      <c r="E2" s="43" t="s">
        <v>1304</v>
      </c>
      <c r="F2" s="43" t="s">
        <v>1305</v>
      </c>
      <c r="G2" s="43" t="s">
        <v>1288</v>
      </c>
      <c r="H2" s="43" t="s">
        <v>1306</v>
      </c>
      <c r="I2" s="43" t="s">
        <v>1307</v>
      </c>
      <c r="J2" s="43" t="s">
        <v>1308</v>
      </c>
      <c r="K2" s="43" t="s">
        <v>1309</v>
      </c>
      <c r="L2" s="43" t="s">
        <v>1310</v>
      </c>
      <c r="M2" s="43" t="s">
        <v>1311</v>
      </c>
      <c r="N2" s="43" t="s">
        <v>1312</v>
      </c>
      <c r="O2" s="43" t="s">
        <v>1313</v>
      </c>
      <c r="P2" s="43" t="s">
        <v>1314</v>
      </c>
      <c r="Q2" s="43" t="s">
        <v>1315</v>
      </c>
      <c r="R2" s="3" t="s">
        <v>116</v>
      </c>
    </row>
    <row r="3" spans="1:18" x14ac:dyDescent="0.25">
      <c r="A3" s="6" t="s">
        <v>12</v>
      </c>
      <c r="B3" s="42" t="str">
        <f>VLOOKUP(Ueberblick428[[#This Row],[StV / Leistungen]],Dropdown!$A$2:$D$4,4,FALSE)</f>
        <v>X</v>
      </c>
      <c r="C3" s="42" t="str">
        <f>VLOOKUP(Ueberblick428[[#This Row],[Durchdringungsraten]],Dropdown!$A$2:$D$4,4,FALSE)</f>
        <v>X</v>
      </c>
      <c r="D3" s="42" t="str">
        <f>VLOOKUP(Ueberblick428[[#This Row],[Profile / Zeitverfügbarkeit]],Dropdown!$A$2:$D$4,4,FALSE)</f>
        <v>-</v>
      </c>
      <c r="E3" s="42" t="str">
        <f>VLOOKUP(Ueberblick428[[#This Row],[flex. Leistung]],Dropdown!$A$2:$D$4,4,FALSE)</f>
        <v>-</v>
      </c>
      <c r="F3" s="42" t="str">
        <f>VLOOKUP(Ueberblick428[[#This Row],[Zeitdauern]],Dropdown!$A$2:$D$4,4,FALSE)</f>
        <v>-</v>
      </c>
      <c r="G3" s="42" t="str">
        <f>VLOOKUP(Ueberblick428[[#This Row],[Abrufhäufigkeit]],Dropdown!$A$2:$D$4,4,FALSE)</f>
        <v>-</v>
      </c>
      <c r="H3" s="42" t="str">
        <f>VLOOKUP(Ueberblick428[[#This Row],[spez. Leistung / Verbräuche]],Dropdown!$A$2:$D$4,4,FALSE)</f>
        <v>-</v>
      </c>
      <c r="I3" s="42" t="str">
        <f>VLOOKUP(Ueberblick428[[#This Row],[(soziale) Akzeptanz]],Dropdown!$A$2:$D$4,4,FALSE)</f>
        <v>-</v>
      </c>
      <c r="J3" s="42" t="str">
        <f>VLOOKUP(Ueberblick428[[#This Row],[Prozesseignung]],Dropdown!$A$2:$D$4,4,FALSE)</f>
        <v>-</v>
      </c>
      <c r="K3" s="42" t="str">
        <f>VLOOKUP(Ueberblick428[[#This Row],[Kosten(entwicklung)]],Dropdown!$A$2:$D$4,4,FALSE)</f>
        <v>-</v>
      </c>
      <c r="L3" s="42" t="str">
        <f>VLOOKUP(Ueberblick428[[#This Row],[Potenzialentwicklung]],Dropdown!$A$2:$D$4,4,FALSE)</f>
        <v>-</v>
      </c>
      <c r="M3" s="42" t="str">
        <f>VLOOKUP(Ueberblick428[[#This Row],[Simulationsdaten]],Dropdown!$A$2:$D$4,4,FALSE)</f>
        <v>-</v>
      </c>
      <c r="N3" s="42" t="str">
        <f>VLOOKUP(Ueberblick428[[#This Row],[Erheblichkeitsschwelle]],Dropdown!$A$2:$D$4,4,FALSE)</f>
        <v>-</v>
      </c>
      <c r="O3" s="42" t="str">
        <f>VLOOKUP(Ueberblick428[[#This Row],[Annahmen Elektormobilität]],Dropdown!$A$2:$D$4,4,FALSE)</f>
        <v>-</v>
      </c>
      <c r="P3" s="42" t="str">
        <f>VLOOKUP(Ueberblick428[[#This Row],[Symmetrieannahme]],Dropdown!$A$2:$D$4,4,FALSE)</f>
        <v>-</v>
      </c>
      <c r="Q3" s="42" t="str">
        <f>VLOOKUP(Ueberblick428[[#This Row],[Bereitstellungsalternative]],Dropdown!$A$2:$D$4,4,FALSE)</f>
        <v>-</v>
      </c>
      <c r="R3" s="8" t="s">
        <v>191</v>
      </c>
    </row>
    <row r="4" spans="1:18" ht="25.5" x14ac:dyDescent="0.25">
      <c r="A4" s="6" t="s">
        <v>347</v>
      </c>
      <c r="B4" s="42" t="str">
        <f>VLOOKUP(Ueberblick428[[#This Row],[StV / Leistungen]],Dropdown!$A$2:$D$4,4,FALSE)</f>
        <v>-</v>
      </c>
      <c r="C4" s="42" t="str">
        <f>VLOOKUP(Ueberblick428[[#This Row],[Durchdringungsraten]],Dropdown!$A$2:$D$4,4,FALSE)</f>
        <v>-</v>
      </c>
      <c r="D4" s="42" t="str">
        <f>VLOOKUP(Ueberblick428[[#This Row],[Profile / Zeitverfügbarkeit]],Dropdown!$A$2:$D$4,4,FALSE)</f>
        <v>X</v>
      </c>
      <c r="E4" s="42" t="str">
        <f>VLOOKUP(Ueberblick428[[#This Row],[flex. Leistung]],Dropdown!$A$2:$D$4,4,FALSE)</f>
        <v>X</v>
      </c>
      <c r="F4" s="42" t="str">
        <f>VLOOKUP(Ueberblick428[[#This Row],[Zeitdauern]],Dropdown!$A$2:$D$4,4,FALSE)</f>
        <v>X</v>
      </c>
      <c r="G4" s="42" t="str">
        <f>VLOOKUP(Ueberblick428[[#This Row],[Abrufhäufigkeit]],Dropdown!$A$2:$D$4,4,FALSE)</f>
        <v>X</v>
      </c>
      <c r="H4" s="42" t="str">
        <f>VLOOKUP(Ueberblick428[[#This Row],[spez. Leistung / Verbräuche]],Dropdown!$A$2:$D$4,4,FALSE)</f>
        <v>-</v>
      </c>
      <c r="I4" s="42" t="str">
        <f>VLOOKUP(Ueberblick428[[#This Row],[(soziale) Akzeptanz]],Dropdown!$A$2:$D$4,4,FALSE)</f>
        <v>-</v>
      </c>
      <c r="J4" s="42" t="str">
        <f>VLOOKUP(Ueberblick428[[#This Row],[Prozesseignung]],Dropdown!$A$2:$D$4,4,FALSE)</f>
        <v>-</v>
      </c>
      <c r="K4" s="42" t="str">
        <f>VLOOKUP(Ueberblick428[[#This Row],[Kosten(entwicklung)]],Dropdown!$A$2:$D$4,4,FALSE)</f>
        <v>-</v>
      </c>
      <c r="L4" s="42" t="str">
        <f>VLOOKUP(Ueberblick428[[#This Row],[Potenzialentwicklung]],Dropdown!$A$2:$D$4,4,FALSE)</f>
        <v>-</v>
      </c>
      <c r="M4" s="42" t="str">
        <f>VLOOKUP(Ueberblick428[[#This Row],[Simulationsdaten]],Dropdown!$A$2:$D$4,4,FALSE)</f>
        <v>-</v>
      </c>
      <c r="N4" s="42" t="str">
        <f>VLOOKUP(Ueberblick428[[#This Row],[Erheblichkeitsschwelle]],Dropdown!$A$2:$D$4,4,FALSE)</f>
        <v>-</v>
      </c>
      <c r="O4" s="42" t="str">
        <f>VLOOKUP(Ueberblick428[[#This Row],[Annahmen Elektormobilität]],Dropdown!$A$2:$D$4,4,FALSE)</f>
        <v>-</v>
      </c>
      <c r="P4" s="42" t="str">
        <f>VLOOKUP(Ueberblick428[[#This Row],[Symmetrieannahme]],Dropdown!$A$2:$D$4,4,FALSE)</f>
        <v>-</v>
      </c>
      <c r="Q4" s="42" t="str">
        <f>VLOOKUP(Ueberblick428[[#This Row],[Bereitstellungsalternative]],Dropdown!$A$2:$D$4,4,FALSE)</f>
        <v>-</v>
      </c>
      <c r="R4" s="8" t="s">
        <v>815</v>
      </c>
    </row>
    <row r="5" spans="1:18" s="11" customFormat="1" ht="25.5" x14ac:dyDescent="0.25">
      <c r="A5" s="6" t="s">
        <v>348</v>
      </c>
      <c r="B5" s="42" t="str">
        <f>VLOOKUP(Ueberblick428[[#This Row],[StV / Leistungen]],Dropdown!$A$2:$D$4,4,FALSE)</f>
        <v>-</v>
      </c>
      <c r="C5" s="42" t="str">
        <f>VLOOKUP(Ueberblick428[[#This Row],[Durchdringungsraten]],Dropdown!$A$2:$D$4,4,FALSE)</f>
        <v>-</v>
      </c>
      <c r="D5" s="42" t="str">
        <f>VLOOKUP(Ueberblick428[[#This Row],[Profile / Zeitverfügbarkeit]],Dropdown!$A$2:$D$4,4,FALSE)</f>
        <v>X</v>
      </c>
      <c r="E5" s="42" t="str">
        <f>VLOOKUP(Ueberblick428[[#This Row],[flex. Leistung]],Dropdown!$A$2:$D$4,4,FALSE)</f>
        <v>X</v>
      </c>
      <c r="F5" s="42" t="str">
        <f>VLOOKUP(Ueberblick428[[#This Row],[Zeitdauern]],Dropdown!$A$2:$D$4,4,FALSE)</f>
        <v>-</v>
      </c>
      <c r="G5" s="42" t="str">
        <f>VLOOKUP(Ueberblick428[[#This Row],[Abrufhäufigkeit]],Dropdown!$A$2:$D$4,4,FALSE)</f>
        <v>-</v>
      </c>
      <c r="H5" s="42" t="str">
        <f>VLOOKUP(Ueberblick428[[#This Row],[spez. Leistung / Verbräuche]],Dropdown!$A$2:$D$4,4,FALSE)</f>
        <v>-</v>
      </c>
      <c r="I5" s="42" t="str">
        <f>VLOOKUP(Ueberblick428[[#This Row],[(soziale) Akzeptanz]],Dropdown!$A$2:$D$4,4,FALSE)</f>
        <v>-</v>
      </c>
      <c r="J5" s="42" t="str">
        <f>VLOOKUP(Ueberblick428[[#This Row],[Prozesseignung]],Dropdown!$A$2:$D$4,4,FALSE)</f>
        <v>-</v>
      </c>
      <c r="K5" s="42" t="str">
        <f>VLOOKUP(Ueberblick428[[#This Row],[Kosten(entwicklung)]],Dropdown!$A$2:$D$4,4,FALSE)</f>
        <v>-</v>
      </c>
      <c r="L5" s="42" t="str">
        <f>VLOOKUP(Ueberblick428[[#This Row],[Potenzialentwicklung]],Dropdown!$A$2:$D$4,4,FALSE)</f>
        <v>-</v>
      </c>
      <c r="M5" s="42" t="str">
        <f>VLOOKUP(Ueberblick428[[#This Row],[Simulationsdaten]],Dropdown!$A$2:$D$4,4,FALSE)</f>
        <v>-</v>
      </c>
      <c r="N5" s="42" t="str">
        <f>VLOOKUP(Ueberblick428[[#This Row],[Erheblichkeitsschwelle]],Dropdown!$A$2:$D$4,4,FALSE)</f>
        <v>-</v>
      </c>
      <c r="O5" s="42" t="str">
        <f>VLOOKUP(Ueberblick428[[#This Row],[Annahmen Elektormobilität]],Dropdown!$A$2:$D$4,4,FALSE)</f>
        <v>-</v>
      </c>
      <c r="P5" s="42" t="str">
        <f>VLOOKUP(Ueberblick428[[#This Row],[Symmetrieannahme]],Dropdown!$A$2:$D$4,4,FALSE)</f>
        <v>-</v>
      </c>
      <c r="Q5" s="42" t="str">
        <f>VLOOKUP(Ueberblick428[[#This Row],[Bereitstellungsalternative]],Dropdown!$A$2:$D$4,4,FALSE)</f>
        <v>-</v>
      </c>
      <c r="R5" s="8" t="s">
        <v>375</v>
      </c>
    </row>
    <row r="6" spans="1:18" s="11" customFormat="1" ht="25.5" x14ac:dyDescent="0.25">
      <c r="A6" s="6" t="s">
        <v>183</v>
      </c>
      <c r="B6" s="42" t="str">
        <f>VLOOKUP(Ueberblick428[[#This Row],[StV / Leistungen]],Dropdown!$A$2:$D$4,4,FALSE)</f>
        <v>-</v>
      </c>
      <c r="C6" s="42" t="str">
        <f>VLOOKUP(Ueberblick428[[#This Row],[Durchdringungsraten]],Dropdown!$A$2:$D$4,4,FALSE)</f>
        <v>-</v>
      </c>
      <c r="D6" s="42" t="str">
        <f>VLOOKUP(Ueberblick428[[#This Row],[Profile / Zeitverfügbarkeit]],Dropdown!$A$2:$D$4,4,FALSE)</f>
        <v>X</v>
      </c>
      <c r="E6" s="42" t="str">
        <f>VLOOKUP(Ueberblick428[[#This Row],[flex. Leistung]],Dropdown!$A$2:$D$4,4,FALSE)</f>
        <v>X</v>
      </c>
      <c r="F6" s="42" t="str">
        <f>VLOOKUP(Ueberblick428[[#This Row],[Zeitdauern]],Dropdown!$A$2:$D$4,4,FALSE)</f>
        <v>X</v>
      </c>
      <c r="G6" s="42" t="str">
        <f>VLOOKUP(Ueberblick428[[#This Row],[Abrufhäufigkeit]],Dropdown!$A$2:$D$4,4,FALSE)</f>
        <v>-</v>
      </c>
      <c r="H6" s="42" t="str">
        <f>VLOOKUP(Ueberblick428[[#This Row],[spez. Leistung / Verbräuche]],Dropdown!$A$2:$D$4,4,FALSE)</f>
        <v>X</v>
      </c>
      <c r="I6" s="42" t="str">
        <f>VLOOKUP(Ueberblick428[[#This Row],[(soziale) Akzeptanz]],Dropdown!$A$2:$D$4,4,FALSE)</f>
        <v>-</v>
      </c>
      <c r="J6" s="42" t="str">
        <f>VLOOKUP(Ueberblick428[[#This Row],[Prozesseignung]],Dropdown!$A$2:$D$4,4,FALSE)</f>
        <v>-</v>
      </c>
      <c r="K6" s="42" t="str">
        <f>VLOOKUP(Ueberblick428[[#This Row],[Kosten(entwicklung)]],Dropdown!$A$2:$D$4,4,FALSE)</f>
        <v>-</v>
      </c>
      <c r="L6" s="42" t="str">
        <f>VLOOKUP(Ueberblick428[[#This Row],[Potenzialentwicklung]],Dropdown!$A$2:$D$4,4,FALSE)</f>
        <v>-</v>
      </c>
      <c r="M6" s="42" t="str">
        <f>VLOOKUP(Ueberblick428[[#This Row],[Simulationsdaten]],Dropdown!$A$2:$D$4,4,FALSE)</f>
        <v>-</v>
      </c>
      <c r="N6" s="42" t="str">
        <f>VLOOKUP(Ueberblick428[[#This Row],[Erheblichkeitsschwelle]],Dropdown!$A$2:$D$4,4,FALSE)</f>
        <v>-</v>
      </c>
      <c r="O6" s="42" t="str">
        <f>VLOOKUP(Ueberblick428[[#This Row],[Annahmen Elektormobilität]],Dropdown!$A$2:$D$4,4,FALSE)</f>
        <v>-</v>
      </c>
      <c r="P6" s="42" t="str">
        <f>VLOOKUP(Ueberblick428[[#This Row],[Symmetrieannahme]],Dropdown!$A$2:$D$4,4,FALSE)</f>
        <v>-</v>
      </c>
      <c r="Q6" s="42" t="str">
        <f>VLOOKUP(Ueberblick428[[#This Row],[Bereitstellungsalternative]],Dropdown!$A$2:$D$4,4,FALSE)</f>
        <v>-</v>
      </c>
      <c r="R6" s="8" t="s">
        <v>306</v>
      </c>
    </row>
    <row r="7" spans="1:18" s="11" customFormat="1" ht="25.5" x14ac:dyDescent="0.25">
      <c r="A7" s="6" t="s">
        <v>258</v>
      </c>
      <c r="B7" s="42" t="str">
        <f>VLOOKUP(Ueberblick428[[#This Row],[StV / Leistungen]],Dropdown!$A$2:$D$4,4,FALSE)</f>
        <v>-</v>
      </c>
      <c r="C7" s="42" t="str">
        <f>VLOOKUP(Ueberblick428[[#This Row],[Durchdringungsraten]],Dropdown!$A$2:$D$4,4,FALSE)</f>
        <v>X</v>
      </c>
      <c r="D7" s="42" t="str">
        <f>VLOOKUP(Ueberblick428[[#This Row],[Profile / Zeitverfügbarkeit]],Dropdown!$A$2:$D$4,4,FALSE)</f>
        <v>X</v>
      </c>
      <c r="E7" s="42" t="str">
        <f>VLOOKUP(Ueberblick428[[#This Row],[flex. Leistung]],Dropdown!$A$2:$D$4,4,FALSE)</f>
        <v>-</v>
      </c>
      <c r="F7" s="42" t="str">
        <f>VLOOKUP(Ueberblick428[[#This Row],[Zeitdauern]],Dropdown!$A$2:$D$4,4,FALSE)</f>
        <v>X</v>
      </c>
      <c r="G7" s="42" t="str">
        <f>VLOOKUP(Ueberblick428[[#This Row],[Abrufhäufigkeit]],Dropdown!$A$2:$D$4,4,FALSE)</f>
        <v>X</v>
      </c>
      <c r="H7" s="42" t="str">
        <f>VLOOKUP(Ueberblick428[[#This Row],[spez. Leistung / Verbräuche]],Dropdown!$A$2:$D$4,4,FALSE)</f>
        <v>-</v>
      </c>
      <c r="I7" s="42" t="str">
        <f>VLOOKUP(Ueberblick428[[#This Row],[(soziale) Akzeptanz]],Dropdown!$A$2:$D$4,4,FALSE)</f>
        <v>X</v>
      </c>
      <c r="J7" s="42" t="str">
        <f>VLOOKUP(Ueberblick428[[#This Row],[Prozesseignung]],Dropdown!$A$2:$D$4,4,FALSE)</f>
        <v>-</v>
      </c>
      <c r="K7" s="42" t="str">
        <f>VLOOKUP(Ueberblick428[[#This Row],[Kosten(entwicklung)]],Dropdown!$A$2:$D$4,4,FALSE)</f>
        <v>X</v>
      </c>
      <c r="L7" s="42" t="str">
        <f>VLOOKUP(Ueberblick428[[#This Row],[Potenzialentwicklung]],Dropdown!$A$2:$D$4,4,FALSE)</f>
        <v>-</v>
      </c>
      <c r="M7" s="42" t="str">
        <f>VLOOKUP(Ueberblick428[[#This Row],[Simulationsdaten]],Dropdown!$A$2:$D$4,4,FALSE)</f>
        <v>-</v>
      </c>
      <c r="N7" s="42" t="str">
        <f>VLOOKUP(Ueberblick428[[#This Row],[Erheblichkeitsschwelle]],Dropdown!$A$2:$D$4,4,FALSE)</f>
        <v>-</v>
      </c>
      <c r="O7" s="42" t="str">
        <f>VLOOKUP(Ueberblick428[[#This Row],[Annahmen Elektormobilität]],Dropdown!$A$2:$D$4,4,FALSE)</f>
        <v>-</v>
      </c>
      <c r="P7" s="42" t="str">
        <f>VLOOKUP(Ueberblick428[[#This Row],[Symmetrieannahme]],Dropdown!$A$2:$D$4,4,FALSE)</f>
        <v>-</v>
      </c>
      <c r="Q7" s="42" t="str">
        <f>VLOOKUP(Ueberblick428[[#This Row],[Bereitstellungsalternative]],Dropdown!$A$2:$D$4,4,FALSE)</f>
        <v>-</v>
      </c>
      <c r="R7" s="8" t="s">
        <v>263</v>
      </c>
    </row>
    <row r="8" spans="1:18" s="11" customFormat="1" ht="25.5" x14ac:dyDescent="0.25">
      <c r="A8" s="18" t="s">
        <v>355</v>
      </c>
      <c r="B8" s="42" t="str">
        <f>VLOOKUP(Ueberblick428[[#This Row],[StV / Leistungen]],Dropdown!$A$2:$D$4,4,FALSE)</f>
        <v>-</v>
      </c>
      <c r="C8" s="42" t="str">
        <f>VLOOKUP(Ueberblick428[[#This Row],[Durchdringungsraten]],Dropdown!$A$2:$D$4,4,FALSE)</f>
        <v>X</v>
      </c>
      <c r="D8" s="42" t="str">
        <f>VLOOKUP(Ueberblick428[[#This Row],[Profile / Zeitverfügbarkeit]],Dropdown!$A$2:$D$4,4,FALSE)</f>
        <v>-</v>
      </c>
      <c r="E8" s="42" t="str">
        <f>VLOOKUP(Ueberblick428[[#This Row],[flex. Leistung]],Dropdown!$A$2:$D$4,4,FALSE)</f>
        <v>-</v>
      </c>
      <c r="F8" s="42" t="str">
        <f>VLOOKUP(Ueberblick428[[#This Row],[Zeitdauern]],Dropdown!$A$2:$D$4,4,FALSE)</f>
        <v>X</v>
      </c>
      <c r="G8" s="42" t="str">
        <f>VLOOKUP(Ueberblick428[[#This Row],[Abrufhäufigkeit]],Dropdown!$A$2:$D$4,4,FALSE)</f>
        <v>-</v>
      </c>
      <c r="H8" s="42" t="str">
        <f>VLOOKUP(Ueberblick428[[#This Row],[spez. Leistung / Verbräuche]],Dropdown!$A$2:$D$4,4,FALSE)</f>
        <v>-</v>
      </c>
      <c r="I8" s="42" t="str">
        <f>VLOOKUP(Ueberblick428[[#This Row],[(soziale) Akzeptanz]],Dropdown!$A$2:$D$4,4,FALSE)</f>
        <v>-</v>
      </c>
      <c r="J8" s="42" t="str">
        <f>VLOOKUP(Ueberblick428[[#This Row],[Prozesseignung]],Dropdown!$A$2:$D$4,4,FALSE)</f>
        <v>-</v>
      </c>
      <c r="K8" s="42" t="str">
        <f>VLOOKUP(Ueberblick428[[#This Row],[Kosten(entwicklung)]],Dropdown!$A$2:$D$4,4,FALSE)</f>
        <v>-</v>
      </c>
      <c r="L8" s="42" t="str">
        <f>VLOOKUP(Ueberblick428[[#This Row],[Potenzialentwicklung]],Dropdown!$A$2:$D$4,4,FALSE)</f>
        <v>-</v>
      </c>
      <c r="M8" s="42" t="str">
        <f>VLOOKUP(Ueberblick428[[#This Row],[Simulationsdaten]],Dropdown!$A$2:$D$4,4,FALSE)</f>
        <v>-</v>
      </c>
      <c r="N8" s="42" t="str">
        <f>VLOOKUP(Ueberblick428[[#This Row],[Erheblichkeitsschwelle]],Dropdown!$A$2:$D$4,4,FALSE)</f>
        <v>-</v>
      </c>
      <c r="O8" s="42" t="str">
        <f>VLOOKUP(Ueberblick428[[#This Row],[Annahmen Elektormobilität]],Dropdown!$A$2:$D$4,4,FALSE)</f>
        <v>-</v>
      </c>
      <c r="P8" s="42" t="str">
        <f>VLOOKUP(Ueberblick428[[#This Row],[Symmetrieannahme]],Dropdown!$A$2:$D$4,4,FALSE)</f>
        <v>-</v>
      </c>
      <c r="Q8" s="42" t="str">
        <f>VLOOKUP(Ueberblick428[[#This Row],[Bereitstellungsalternative]],Dropdown!$A$2:$D$4,4,FALSE)</f>
        <v>-</v>
      </c>
      <c r="R8" s="17" t="s">
        <v>361</v>
      </c>
    </row>
    <row r="9" spans="1:18" ht="25.5" x14ac:dyDescent="0.25">
      <c r="A9" s="18" t="s">
        <v>431</v>
      </c>
      <c r="B9" s="42" t="str">
        <f>VLOOKUP(Ueberblick428[[#This Row],[StV / Leistungen]],Dropdown!$A$2:$D$4,4,FALSE)</f>
        <v>-</v>
      </c>
      <c r="C9" s="42" t="str">
        <f>VLOOKUP(Ueberblick428[[#This Row],[Durchdringungsraten]],Dropdown!$A$2:$D$4,4,FALSE)</f>
        <v>-</v>
      </c>
      <c r="D9" s="42" t="str">
        <f>VLOOKUP(Ueberblick428[[#This Row],[Profile / Zeitverfügbarkeit]],Dropdown!$A$2:$D$4,4,FALSE)</f>
        <v>-</v>
      </c>
      <c r="E9" s="42" t="str">
        <f>VLOOKUP(Ueberblick428[[#This Row],[flex. Leistung]],Dropdown!$A$2:$D$4,4,FALSE)</f>
        <v>-</v>
      </c>
      <c r="F9" s="42" t="str">
        <f>VLOOKUP(Ueberblick428[[#This Row],[Zeitdauern]],Dropdown!$A$2:$D$4,4,FALSE)</f>
        <v>-</v>
      </c>
      <c r="G9" s="42" t="str">
        <f>VLOOKUP(Ueberblick428[[#This Row],[Abrufhäufigkeit]],Dropdown!$A$2:$D$4,4,FALSE)</f>
        <v>-</v>
      </c>
      <c r="H9" s="42" t="str">
        <f>VLOOKUP(Ueberblick428[[#This Row],[spez. Leistung / Verbräuche]],Dropdown!$A$2:$D$4,4,FALSE)</f>
        <v>-</v>
      </c>
      <c r="I9" s="42" t="str">
        <f>VLOOKUP(Ueberblick428[[#This Row],[(soziale) Akzeptanz]],Dropdown!$A$2:$D$4,4,FALSE)</f>
        <v>-</v>
      </c>
      <c r="J9" s="42" t="str">
        <f>VLOOKUP(Ueberblick428[[#This Row],[Prozesseignung]],Dropdown!$A$2:$D$4,4,FALSE)</f>
        <v>X</v>
      </c>
      <c r="K9" s="42" t="str">
        <f>VLOOKUP(Ueberblick428[[#This Row],[Kosten(entwicklung)]],Dropdown!$A$2:$D$4,4,FALSE)</f>
        <v>-</v>
      </c>
      <c r="L9" s="42" t="str">
        <f>VLOOKUP(Ueberblick428[[#This Row],[Potenzialentwicklung]],Dropdown!$A$2:$D$4,4,FALSE)</f>
        <v>-</v>
      </c>
      <c r="M9" s="42" t="str">
        <f>VLOOKUP(Ueberblick428[[#This Row],[Simulationsdaten]],Dropdown!$A$2:$D$4,4,FALSE)</f>
        <v>-</v>
      </c>
      <c r="N9" s="42" t="str">
        <f>VLOOKUP(Ueberblick428[[#This Row],[Erheblichkeitsschwelle]],Dropdown!$A$2:$D$4,4,FALSE)</f>
        <v>-</v>
      </c>
      <c r="O9" s="42" t="str">
        <f>VLOOKUP(Ueberblick428[[#This Row],[Annahmen Elektormobilität]],Dropdown!$A$2:$D$4,4,FALSE)</f>
        <v>-</v>
      </c>
      <c r="P9" s="42" t="str">
        <f>VLOOKUP(Ueberblick428[[#This Row],[Symmetrieannahme]],Dropdown!$A$2:$D$4,4,FALSE)</f>
        <v>-</v>
      </c>
      <c r="Q9" s="42" t="str">
        <f>VLOOKUP(Ueberblick428[[#This Row],[Bereitstellungsalternative]],Dropdown!$A$2:$D$4,4,FALSE)</f>
        <v>-</v>
      </c>
      <c r="R9" s="17" t="s">
        <v>419</v>
      </c>
    </row>
    <row r="10" spans="1:18" x14ac:dyDescent="0.25">
      <c r="A10" s="6" t="s">
        <v>410</v>
      </c>
      <c r="B10" s="42" t="str">
        <f>VLOOKUP(Ueberblick428[[#This Row],[StV / Leistungen]],Dropdown!$A$2:$D$4,4,FALSE)</f>
        <v>-</v>
      </c>
      <c r="C10" s="42" t="str">
        <f>VLOOKUP(Ueberblick428[[#This Row],[Durchdringungsraten]],Dropdown!$A$2:$D$4,4,FALSE)</f>
        <v>-</v>
      </c>
      <c r="D10" s="42" t="str">
        <f>VLOOKUP(Ueberblick428[[#This Row],[Profile / Zeitverfügbarkeit]],Dropdown!$A$2:$D$4,4,FALSE)</f>
        <v>X</v>
      </c>
      <c r="E10" s="42" t="str">
        <f>VLOOKUP(Ueberblick428[[#This Row],[flex. Leistung]],Dropdown!$A$2:$D$4,4,FALSE)</f>
        <v>-</v>
      </c>
      <c r="F10" s="42" t="str">
        <f>VLOOKUP(Ueberblick428[[#This Row],[Zeitdauern]],Dropdown!$A$2:$D$4,4,FALSE)</f>
        <v>X</v>
      </c>
      <c r="G10" s="42" t="str">
        <f>VLOOKUP(Ueberblick428[[#This Row],[Abrufhäufigkeit]],Dropdown!$A$2:$D$4,4,FALSE)</f>
        <v>-</v>
      </c>
      <c r="H10" s="42" t="str">
        <f>VLOOKUP(Ueberblick428[[#This Row],[spez. Leistung / Verbräuche]],Dropdown!$A$2:$D$4,4,FALSE)</f>
        <v>-</v>
      </c>
      <c r="I10" s="42" t="str">
        <f>VLOOKUP(Ueberblick428[[#This Row],[(soziale) Akzeptanz]],Dropdown!$A$2:$D$4,4,FALSE)</f>
        <v>-</v>
      </c>
      <c r="J10" s="42" t="str">
        <f>VLOOKUP(Ueberblick428[[#This Row],[Prozesseignung]],Dropdown!$A$2:$D$4,4,FALSE)</f>
        <v>-</v>
      </c>
      <c r="K10" s="42" t="str">
        <f>VLOOKUP(Ueberblick428[[#This Row],[Kosten(entwicklung)]],Dropdown!$A$2:$D$4,4,FALSE)</f>
        <v>X</v>
      </c>
      <c r="L10" s="42" t="str">
        <f>VLOOKUP(Ueberblick428[[#This Row],[Potenzialentwicklung]],Dropdown!$A$2:$D$4,4,FALSE)</f>
        <v>X</v>
      </c>
      <c r="M10" s="42" t="str">
        <f>VLOOKUP(Ueberblick428[[#This Row],[Simulationsdaten]],Dropdown!$A$2:$D$4,4,FALSE)</f>
        <v>-</v>
      </c>
      <c r="N10" s="42" t="str">
        <f>VLOOKUP(Ueberblick428[[#This Row],[Erheblichkeitsschwelle]],Dropdown!$A$2:$D$4,4,FALSE)</f>
        <v>-</v>
      </c>
      <c r="O10" s="42" t="str">
        <f>VLOOKUP(Ueberblick428[[#This Row],[Annahmen Elektormobilität]],Dropdown!$A$2:$D$4,4,FALSE)</f>
        <v>-</v>
      </c>
      <c r="P10" s="42" t="str">
        <f>VLOOKUP(Ueberblick428[[#This Row],[Symmetrieannahme]],Dropdown!$A$2:$D$4,4,FALSE)</f>
        <v>-</v>
      </c>
      <c r="Q10" s="42" t="str">
        <f>VLOOKUP(Ueberblick428[[#This Row],[Bereitstellungsalternative]],Dropdown!$A$2:$D$4,4,FALSE)</f>
        <v>-</v>
      </c>
      <c r="R10" s="8" t="s">
        <v>284</v>
      </c>
    </row>
    <row r="11" spans="1:18" s="11" customFormat="1" x14ac:dyDescent="0.25">
      <c r="A11" s="6" t="s">
        <v>393</v>
      </c>
      <c r="B11" s="42" t="str">
        <f>VLOOKUP(Ueberblick428[[#This Row],[StV / Leistungen]],Dropdown!$A$2:$D$4,4,FALSE)</f>
        <v>-</v>
      </c>
      <c r="C11" s="42" t="str">
        <f>VLOOKUP(Ueberblick428[[#This Row],[Durchdringungsraten]],Dropdown!$A$2:$D$4,4,FALSE)</f>
        <v>X</v>
      </c>
      <c r="D11" s="42" t="str">
        <f>VLOOKUP(Ueberblick428[[#This Row],[Profile / Zeitverfügbarkeit]],Dropdown!$A$2:$D$4,4,FALSE)</f>
        <v>-</v>
      </c>
      <c r="E11" s="42" t="str">
        <f>VLOOKUP(Ueberblick428[[#This Row],[flex. Leistung]],Dropdown!$A$2:$D$4,4,FALSE)</f>
        <v>-</v>
      </c>
      <c r="F11" s="42" t="str">
        <f>VLOOKUP(Ueberblick428[[#This Row],[Zeitdauern]],Dropdown!$A$2:$D$4,4,FALSE)</f>
        <v>-</v>
      </c>
      <c r="G11" s="42" t="str">
        <f>VLOOKUP(Ueberblick428[[#This Row],[Abrufhäufigkeit]],Dropdown!$A$2:$D$4,4,FALSE)</f>
        <v>-</v>
      </c>
      <c r="H11" s="42" t="str">
        <f>VLOOKUP(Ueberblick428[[#This Row],[spez. Leistung / Verbräuche]],Dropdown!$A$2:$D$4,4,FALSE)</f>
        <v>-</v>
      </c>
      <c r="I11" s="42" t="str">
        <f>VLOOKUP(Ueberblick428[[#This Row],[(soziale) Akzeptanz]],Dropdown!$A$2:$D$4,4,FALSE)</f>
        <v>X</v>
      </c>
      <c r="J11" s="42" t="str">
        <f>VLOOKUP(Ueberblick428[[#This Row],[Prozesseignung]],Dropdown!$A$2:$D$4,4,FALSE)</f>
        <v>-</v>
      </c>
      <c r="K11" s="42" t="str">
        <f>VLOOKUP(Ueberblick428[[#This Row],[Kosten(entwicklung)]],Dropdown!$A$2:$D$4,4,FALSE)</f>
        <v>-</v>
      </c>
      <c r="L11" s="42" t="str">
        <f>VLOOKUP(Ueberblick428[[#This Row],[Potenzialentwicklung]],Dropdown!$A$2:$D$4,4,FALSE)</f>
        <v>-</v>
      </c>
      <c r="M11" s="42" t="str">
        <f>VLOOKUP(Ueberblick428[[#This Row],[Simulationsdaten]],Dropdown!$A$2:$D$4,4,FALSE)</f>
        <v>X</v>
      </c>
      <c r="N11" s="42" t="str">
        <f>VLOOKUP(Ueberblick428[[#This Row],[Erheblichkeitsschwelle]],Dropdown!$A$2:$D$4,4,FALSE)</f>
        <v>-</v>
      </c>
      <c r="O11" s="42" t="str">
        <f>VLOOKUP(Ueberblick428[[#This Row],[Annahmen Elektormobilität]],Dropdown!$A$2:$D$4,4,FALSE)</f>
        <v>-</v>
      </c>
      <c r="P11" s="42" t="str">
        <f>VLOOKUP(Ueberblick428[[#This Row],[Symmetrieannahme]],Dropdown!$A$2:$D$4,4,FALSE)</f>
        <v>-</v>
      </c>
      <c r="Q11" s="42" t="str">
        <f>VLOOKUP(Ueberblick428[[#This Row],[Bereitstellungsalternative]],Dropdown!$A$2:$D$4,4,FALSE)</f>
        <v>-</v>
      </c>
      <c r="R11" s="8" t="s">
        <v>396</v>
      </c>
    </row>
    <row r="12" spans="1:18" s="11" customFormat="1" ht="51" x14ac:dyDescent="0.25">
      <c r="A12" s="21" t="s">
        <v>380</v>
      </c>
      <c r="B12" s="42" t="str">
        <f>VLOOKUP(Ueberblick428[[#This Row],[StV / Leistungen]],Dropdown!$A$2:$D$4,4,FALSE)</f>
        <v>X</v>
      </c>
      <c r="C12" s="42" t="str">
        <f>VLOOKUP(Ueberblick428[[#This Row],[Durchdringungsraten]],Dropdown!$A$2:$D$4,4,FALSE)</f>
        <v>-</v>
      </c>
      <c r="D12" s="42" t="str">
        <f>VLOOKUP(Ueberblick428[[#This Row],[Profile / Zeitverfügbarkeit]],Dropdown!$A$2:$D$4,4,FALSE)</f>
        <v>-</v>
      </c>
      <c r="E12" s="42" t="str">
        <f>VLOOKUP(Ueberblick428[[#This Row],[flex. Leistung]],Dropdown!$A$2:$D$4,4,FALSE)</f>
        <v>-</v>
      </c>
      <c r="F12" s="42" t="str">
        <f>VLOOKUP(Ueberblick428[[#This Row],[Zeitdauern]],Dropdown!$A$2:$D$4,4,FALSE)</f>
        <v>-</v>
      </c>
      <c r="G12" s="42" t="str">
        <f>VLOOKUP(Ueberblick428[[#This Row],[Abrufhäufigkeit]],Dropdown!$A$2:$D$4,4,FALSE)</f>
        <v>-</v>
      </c>
      <c r="H12" s="42" t="str">
        <f>VLOOKUP(Ueberblick428[[#This Row],[spez. Leistung / Verbräuche]],Dropdown!$A$2:$D$4,4,FALSE)</f>
        <v>-</v>
      </c>
      <c r="I12" s="42" t="str">
        <f>VLOOKUP(Ueberblick428[[#This Row],[(soziale) Akzeptanz]],Dropdown!$A$2:$D$4,4,FALSE)</f>
        <v>-</v>
      </c>
      <c r="J12" s="42" t="str">
        <f>VLOOKUP(Ueberblick428[[#This Row],[Prozesseignung]],Dropdown!$A$2:$D$4,4,FALSE)</f>
        <v>-</v>
      </c>
      <c r="K12" s="42" t="str">
        <f>VLOOKUP(Ueberblick428[[#This Row],[Kosten(entwicklung)]],Dropdown!$A$2:$D$4,4,FALSE)</f>
        <v>-</v>
      </c>
      <c r="L12" s="42" t="str">
        <f>VLOOKUP(Ueberblick428[[#This Row],[Potenzialentwicklung]],Dropdown!$A$2:$D$4,4,FALSE)</f>
        <v>-</v>
      </c>
      <c r="M12" s="42" t="str">
        <f>VLOOKUP(Ueberblick428[[#This Row],[Simulationsdaten]],Dropdown!$A$2:$D$4,4,FALSE)</f>
        <v>-</v>
      </c>
      <c r="N12" s="42" t="str">
        <f>VLOOKUP(Ueberblick428[[#This Row],[Erheblichkeitsschwelle]],Dropdown!$A$2:$D$4,4,FALSE)</f>
        <v>-</v>
      </c>
      <c r="O12" s="42" t="str">
        <f>VLOOKUP(Ueberblick428[[#This Row],[Annahmen Elektormobilität]],Dropdown!$A$2:$D$4,4,FALSE)</f>
        <v>-</v>
      </c>
      <c r="P12" s="42" t="str">
        <f>VLOOKUP(Ueberblick428[[#This Row],[Symmetrieannahme]],Dropdown!$A$2:$D$4,4,FALSE)</f>
        <v>-</v>
      </c>
      <c r="Q12" s="42" t="str">
        <f>VLOOKUP(Ueberblick428[[#This Row],[Bereitstellungsalternative]],Dropdown!$A$2:$D$4,4,FALSE)</f>
        <v>-</v>
      </c>
      <c r="R12" s="8" t="s">
        <v>385</v>
      </c>
    </row>
    <row r="13" spans="1:18" ht="25.5" x14ac:dyDescent="0.25">
      <c r="A13" s="6" t="s">
        <v>95</v>
      </c>
      <c r="B13" s="42" t="str">
        <f>VLOOKUP(Ueberblick428[[#This Row],[StV / Leistungen]],Dropdown!$A$2:$D$4,4,FALSE)</f>
        <v>-</v>
      </c>
      <c r="C13" s="42" t="str">
        <f>VLOOKUP(Ueberblick428[[#This Row],[Durchdringungsraten]],Dropdown!$A$2:$D$4,4,FALSE)</f>
        <v>-</v>
      </c>
      <c r="D13" s="42" t="str">
        <f>VLOOKUP(Ueberblick428[[#This Row],[Profile / Zeitverfügbarkeit]],Dropdown!$A$2:$D$4,4,FALSE)</f>
        <v>X</v>
      </c>
      <c r="E13" s="42" t="str">
        <f>VLOOKUP(Ueberblick428[[#This Row],[flex. Leistung]],Dropdown!$A$2:$D$4,4,FALSE)</f>
        <v>X</v>
      </c>
      <c r="F13" s="42" t="str">
        <f>VLOOKUP(Ueberblick428[[#This Row],[Zeitdauern]],Dropdown!$A$2:$D$4,4,FALSE)</f>
        <v>-</v>
      </c>
      <c r="G13" s="42" t="str">
        <f>VLOOKUP(Ueberblick428[[#This Row],[Abrufhäufigkeit]],Dropdown!$A$2:$D$4,4,FALSE)</f>
        <v>-</v>
      </c>
      <c r="H13" s="42" t="str">
        <f>VLOOKUP(Ueberblick428[[#This Row],[spez. Leistung / Verbräuche]],Dropdown!$A$2:$D$4,4,FALSE)</f>
        <v>-</v>
      </c>
      <c r="I13" s="42" t="str">
        <f>VLOOKUP(Ueberblick428[[#This Row],[(soziale) Akzeptanz]],Dropdown!$A$2:$D$4,4,FALSE)</f>
        <v>-</v>
      </c>
      <c r="J13" s="42" t="str">
        <f>VLOOKUP(Ueberblick428[[#This Row],[Prozesseignung]],Dropdown!$A$2:$D$4,4,FALSE)</f>
        <v>-</v>
      </c>
      <c r="K13" s="42" t="str">
        <f>VLOOKUP(Ueberblick428[[#This Row],[Kosten(entwicklung)]],Dropdown!$A$2:$D$4,4,FALSE)</f>
        <v>-</v>
      </c>
      <c r="L13" s="42" t="str">
        <f>VLOOKUP(Ueberblick428[[#This Row],[Potenzialentwicklung]],Dropdown!$A$2:$D$4,4,FALSE)</f>
        <v>X</v>
      </c>
      <c r="M13" s="42" t="str">
        <f>VLOOKUP(Ueberblick428[[#This Row],[Simulationsdaten]],Dropdown!$A$2:$D$4,4,FALSE)</f>
        <v>-</v>
      </c>
      <c r="N13" s="42" t="str">
        <f>VLOOKUP(Ueberblick428[[#This Row],[Erheblichkeitsschwelle]],Dropdown!$A$2:$D$4,4,FALSE)</f>
        <v>-</v>
      </c>
      <c r="O13" s="42" t="str">
        <f>VLOOKUP(Ueberblick428[[#This Row],[Annahmen Elektormobilität]],Dropdown!$A$2:$D$4,4,FALSE)</f>
        <v>-</v>
      </c>
      <c r="P13" s="42" t="str">
        <f>VLOOKUP(Ueberblick428[[#This Row],[Symmetrieannahme]],Dropdown!$A$2:$D$4,4,FALSE)</f>
        <v>-</v>
      </c>
      <c r="Q13" s="42" t="str">
        <f>VLOOKUP(Ueberblick428[[#This Row],[Bereitstellungsalternative]],Dropdown!$A$2:$D$4,4,FALSE)</f>
        <v>-</v>
      </c>
      <c r="R13" s="8" t="s">
        <v>117</v>
      </c>
    </row>
    <row r="14" spans="1:18" s="11" customFormat="1" ht="63.75" x14ac:dyDescent="0.25">
      <c r="A14" s="6" t="s">
        <v>1709</v>
      </c>
      <c r="B14" s="42" t="str">
        <f>VLOOKUP(Ueberblick428[[#This Row],[StV / Leistungen]],Dropdown!$A$2:$D$4,4,FALSE)</f>
        <v>-</v>
      </c>
      <c r="C14" s="42" t="str">
        <f>VLOOKUP(Ueberblick428[[#This Row],[Durchdringungsraten]],Dropdown!$A$2:$D$4,4,FALSE)</f>
        <v>-</v>
      </c>
      <c r="D14" s="42" t="str">
        <f>VLOOKUP(Ueberblick428[[#This Row],[Profile / Zeitverfügbarkeit]],Dropdown!$A$2:$D$4,4,FALSE)</f>
        <v>X</v>
      </c>
      <c r="E14" s="42" t="str">
        <f>VLOOKUP(Ueberblick428[[#This Row],[flex. Leistung]],Dropdown!$A$2:$D$4,4,FALSE)</f>
        <v>-</v>
      </c>
      <c r="F14" s="42" t="str">
        <f>VLOOKUP(Ueberblick428[[#This Row],[Zeitdauern]],Dropdown!$A$2:$D$4,4,FALSE)</f>
        <v>-</v>
      </c>
      <c r="G14" s="42" t="str">
        <f>VLOOKUP(Ueberblick428[[#This Row],[Abrufhäufigkeit]],Dropdown!$A$2:$D$4,4,FALSE)</f>
        <v>-</v>
      </c>
      <c r="H14" s="42" t="str">
        <f>VLOOKUP(Ueberblick428[[#This Row],[spez. Leistung / Verbräuche]],Dropdown!$A$2:$D$4,4,FALSE)</f>
        <v>-</v>
      </c>
      <c r="I14" s="42" t="str">
        <f>VLOOKUP(Ueberblick428[[#This Row],[(soziale) Akzeptanz]],Dropdown!$A$2:$D$4,4,FALSE)</f>
        <v>-</v>
      </c>
      <c r="J14" s="42" t="str">
        <f>VLOOKUP(Ueberblick428[[#This Row],[Prozesseignung]],Dropdown!$A$2:$D$4,4,FALSE)</f>
        <v>-</v>
      </c>
      <c r="K14" s="42" t="str">
        <f>VLOOKUP(Ueberblick428[[#This Row],[Kosten(entwicklung)]],Dropdown!$A$2:$D$4,4,FALSE)</f>
        <v>X</v>
      </c>
      <c r="L14" s="42" t="str">
        <f>VLOOKUP(Ueberblick428[[#This Row],[Potenzialentwicklung]],Dropdown!$A$2:$D$4,4,FALSE)</f>
        <v>-</v>
      </c>
      <c r="M14" s="42" t="str">
        <f>VLOOKUP(Ueberblick428[[#This Row],[Simulationsdaten]],Dropdown!$A$2:$D$4,4,FALSE)</f>
        <v>-</v>
      </c>
      <c r="N14" s="42" t="str">
        <f>VLOOKUP(Ueberblick428[[#This Row],[Erheblichkeitsschwelle]],Dropdown!$A$2:$D$4,4,FALSE)</f>
        <v>X</v>
      </c>
      <c r="O14" s="42" t="str">
        <f>VLOOKUP(Ueberblick428[[#This Row],[Annahmen Elektormobilität]],Dropdown!$A$2:$D$4,4,FALSE)</f>
        <v>-</v>
      </c>
      <c r="P14" s="42" t="str">
        <f>VLOOKUP(Ueberblick428[[#This Row],[Symmetrieannahme]],Dropdown!$A$2:$D$4,4,FALSE)</f>
        <v>-</v>
      </c>
      <c r="Q14" s="42" t="str">
        <f>VLOOKUP(Ueberblick428[[#This Row],[Bereitstellungsalternative]],Dropdown!$A$2:$D$4,4,FALSE)</f>
        <v>-</v>
      </c>
      <c r="R14" s="8" t="s">
        <v>212</v>
      </c>
    </row>
    <row r="15" spans="1:18" ht="25.5" x14ac:dyDescent="0.25">
      <c r="A15" s="6" t="s">
        <v>179</v>
      </c>
      <c r="B15" s="42" t="str">
        <f>VLOOKUP(Ueberblick428[[#This Row],[StV / Leistungen]],Dropdown!$A$2:$D$4,4,FALSE)</f>
        <v>-</v>
      </c>
      <c r="C15" s="42" t="str">
        <f>VLOOKUP(Ueberblick428[[#This Row],[Durchdringungsraten]],Dropdown!$A$2:$D$4,4,FALSE)</f>
        <v>-</v>
      </c>
      <c r="D15" s="42" t="str">
        <f>VLOOKUP(Ueberblick428[[#This Row],[Profile / Zeitverfügbarkeit]],Dropdown!$A$2:$D$4,4,FALSE)</f>
        <v>-</v>
      </c>
      <c r="E15" s="42" t="str">
        <f>VLOOKUP(Ueberblick428[[#This Row],[flex. Leistung]],Dropdown!$A$2:$D$4,4,FALSE)</f>
        <v>-</v>
      </c>
      <c r="F15" s="42" t="str">
        <f>VLOOKUP(Ueberblick428[[#This Row],[Zeitdauern]],Dropdown!$A$2:$D$4,4,FALSE)</f>
        <v>-</v>
      </c>
      <c r="G15" s="42" t="str">
        <f>VLOOKUP(Ueberblick428[[#This Row],[Abrufhäufigkeit]],Dropdown!$A$2:$D$4,4,FALSE)</f>
        <v>-</v>
      </c>
      <c r="H15" s="42" t="str">
        <f>VLOOKUP(Ueberblick428[[#This Row],[spez. Leistung / Verbräuche]],Dropdown!$A$2:$D$4,4,FALSE)</f>
        <v>-</v>
      </c>
      <c r="I15" s="42" t="str">
        <f>VLOOKUP(Ueberblick428[[#This Row],[(soziale) Akzeptanz]],Dropdown!$A$2:$D$4,4,FALSE)</f>
        <v>X</v>
      </c>
      <c r="J15" s="42" t="str">
        <f>VLOOKUP(Ueberblick428[[#This Row],[Prozesseignung]],Dropdown!$A$2:$D$4,4,FALSE)</f>
        <v>-</v>
      </c>
      <c r="K15" s="42" t="str">
        <f>VLOOKUP(Ueberblick428[[#This Row],[Kosten(entwicklung)]],Dropdown!$A$2:$D$4,4,FALSE)</f>
        <v>-</v>
      </c>
      <c r="L15" s="42" t="str">
        <f>VLOOKUP(Ueberblick428[[#This Row],[Potenzialentwicklung]],Dropdown!$A$2:$D$4,4,FALSE)</f>
        <v>-</v>
      </c>
      <c r="M15" s="42" t="str">
        <f>VLOOKUP(Ueberblick428[[#This Row],[Simulationsdaten]],Dropdown!$A$2:$D$4,4,FALSE)</f>
        <v>-</v>
      </c>
      <c r="N15" s="42" t="str">
        <f>VLOOKUP(Ueberblick428[[#This Row],[Erheblichkeitsschwelle]],Dropdown!$A$2:$D$4,4,FALSE)</f>
        <v>-</v>
      </c>
      <c r="O15" s="42" t="str">
        <f>VLOOKUP(Ueberblick428[[#This Row],[Annahmen Elektormobilität]],Dropdown!$A$2:$D$4,4,FALSE)</f>
        <v>-</v>
      </c>
      <c r="P15" s="42" t="str">
        <f>VLOOKUP(Ueberblick428[[#This Row],[Symmetrieannahme]],Dropdown!$A$2:$D$4,4,FALSE)</f>
        <v>-</v>
      </c>
      <c r="Q15" s="42" t="str">
        <f>VLOOKUP(Ueberblick428[[#This Row],[Bereitstellungsalternative]],Dropdown!$A$2:$D$4,4,FALSE)</f>
        <v>-</v>
      </c>
      <c r="R15" s="8">
        <v>32</v>
      </c>
    </row>
    <row r="16" spans="1:18" s="11" customFormat="1" ht="25.5" x14ac:dyDescent="0.25">
      <c r="A16" s="6" t="s">
        <v>341</v>
      </c>
      <c r="B16" s="42" t="str">
        <f>VLOOKUP(Ueberblick428[[#This Row],[StV / Leistungen]],Dropdown!$A$2:$D$4,4,FALSE)</f>
        <v>X</v>
      </c>
      <c r="C16" s="42" t="str">
        <f>VLOOKUP(Ueberblick428[[#This Row],[Durchdringungsraten]],Dropdown!$A$2:$D$4,4,FALSE)</f>
        <v>X</v>
      </c>
      <c r="D16" s="42" t="str">
        <f>VLOOKUP(Ueberblick428[[#This Row],[Profile / Zeitverfügbarkeit]],Dropdown!$A$2:$D$4,4,FALSE)</f>
        <v>X</v>
      </c>
      <c r="E16" s="42" t="str">
        <f>VLOOKUP(Ueberblick428[[#This Row],[flex. Leistung]],Dropdown!$A$2:$D$4,4,FALSE)</f>
        <v>-</v>
      </c>
      <c r="F16" s="42" t="str">
        <f>VLOOKUP(Ueberblick428[[#This Row],[Zeitdauern]],Dropdown!$A$2:$D$4,4,FALSE)</f>
        <v>X</v>
      </c>
      <c r="G16" s="42" t="str">
        <f>VLOOKUP(Ueberblick428[[#This Row],[Abrufhäufigkeit]],Dropdown!$A$2:$D$4,4,FALSE)</f>
        <v>X</v>
      </c>
      <c r="H16" s="42" t="str">
        <f>VLOOKUP(Ueberblick428[[#This Row],[spez. Leistung / Verbräuche]],Dropdown!$A$2:$D$4,4,FALSE)</f>
        <v>X</v>
      </c>
      <c r="I16" s="42" t="str">
        <f>VLOOKUP(Ueberblick428[[#This Row],[(soziale) Akzeptanz]],Dropdown!$A$2:$D$4,4,FALSE)</f>
        <v>-</v>
      </c>
      <c r="J16" s="42" t="str">
        <f>VLOOKUP(Ueberblick428[[#This Row],[Prozesseignung]],Dropdown!$A$2:$D$4,4,FALSE)</f>
        <v>-</v>
      </c>
      <c r="K16" s="42" t="str">
        <f>VLOOKUP(Ueberblick428[[#This Row],[Kosten(entwicklung)]],Dropdown!$A$2:$D$4,4,FALSE)</f>
        <v>X</v>
      </c>
      <c r="L16" s="42" t="str">
        <f>VLOOKUP(Ueberblick428[[#This Row],[Potenzialentwicklung]],Dropdown!$A$2:$D$4,4,FALSE)</f>
        <v>X</v>
      </c>
      <c r="M16" s="42" t="str">
        <f>VLOOKUP(Ueberblick428[[#This Row],[Simulationsdaten]],Dropdown!$A$2:$D$4,4,FALSE)</f>
        <v>-</v>
      </c>
      <c r="N16" s="42" t="str">
        <f>VLOOKUP(Ueberblick428[[#This Row],[Erheblichkeitsschwelle]],Dropdown!$A$2:$D$4,4,FALSE)</f>
        <v>-</v>
      </c>
      <c r="O16" s="42" t="str">
        <f>VLOOKUP(Ueberblick428[[#This Row],[Annahmen Elektormobilität]],Dropdown!$A$2:$D$4,4,FALSE)</f>
        <v>X</v>
      </c>
      <c r="P16" s="42" t="str">
        <f>VLOOKUP(Ueberblick428[[#This Row],[Symmetrieannahme]],Dropdown!$A$2:$D$4,4,FALSE)</f>
        <v>X</v>
      </c>
      <c r="Q16" s="42" t="str">
        <f>VLOOKUP(Ueberblick428[[#This Row],[Bereitstellungsalternative]],Dropdown!$A$2:$D$4,4,FALSE)</f>
        <v>X</v>
      </c>
      <c r="R16" s="8" t="s">
        <v>795</v>
      </c>
    </row>
    <row r="17" spans="1:18" ht="25.5" x14ac:dyDescent="0.25">
      <c r="A17" s="6" t="s">
        <v>22</v>
      </c>
      <c r="B17" s="42" t="str">
        <f>VLOOKUP(Ueberblick428[[#This Row],[StV / Leistungen]],Dropdown!$A$2:$D$4,4,FALSE)</f>
        <v>-</v>
      </c>
      <c r="C17" s="42" t="str">
        <f>VLOOKUP(Ueberblick428[[#This Row],[Durchdringungsraten]],Dropdown!$A$2:$D$4,4,FALSE)</f>
        <v>-</v>
      </c>
      <c r="D17" s="42" t="str">
        <f>VLOOKUP(Ueberblick428[[#This Row],[Profile / Zeitverfügbarkeit]],Dropdown!$A$2:$D$4,4,FALSE)</f>
        <v>-</v>
      </c>
      <c r="E17" s="42" t="str">
        <f>VLOOKUP(Ueberblick428[[#This Row],[flex. Leistung]],Dropdown!$A$2:$D$4,4,FALSE)</f>
        <v>-</v>
      </c>
      <c r="F17" s="42" t="str">
        <f>VLOOKUP(Ueberblick428[[#This Row],[Zeitdauern]],Dropdown!$A$2:$D$4,4,FALSE)</f>
        <v>-</v>
      </c>
      <c r="G17" s="42" t="str">
        <f>VLOOKUP(Ueberblick428[[#This Row],[Abrufhäufigkeit]],Dropdown!$A$2:$D$4,4,FALSE)</f>
        <v>-</v>
      </c>
      <c r="H17" s="42" t="str">
        <f>VLOOKUP(Ueberblick428[[#This Row],[spez. Leistung / Verbräuche]],Dropdown!$A$2:$D$4,4,FALSE)</f>
        <v>-</v>
      </c>
      <c r="I17" s="42" t="str">
        <f>VLOOKUP(Ueberblick428[[#This Row],[(soziale) Akzeptanz]],Dropdown!$A$2:$D$4,4,FALSE)</f>
        <v>X</v>
      </c>
      <c r="J17" s="42" t="str">
        <f>VLOOKUP(Ueberblick428[[#This Row],[Prozesseignung]],Dropdown!$A$2:$D$4,4,FALSE)</f>
        <v>-</v>
      </c>
      <c r="K17" s="42" t="str">
        <f>VLOOKUP(Ueberblick428[[#This Row],[Kosten(entwicklung)]],Dropdown!$A$2:$D$4,4,FALSE)</f>
        <v>X</v>
      </c>
      <c r="L17" s="42" t="str">
        <f>VLOOKUP(Ueberblick428[[#This Row],[Potenzialentwicklung]],Dropdown!$A$2:$D$4,4,FALSE)</f>
        <v>-</v>
      </c>
      <c r="M17" s="42" t="str">
        <f>VLOOKUP(Ueberblick428[[#This Row],[Simulationsdaten]],Dropdown!$A$2:$D$4,4,FALSE)</f>
        <v>-</v>
      </c>
      <c r="N17" s="42" t="str">
        <f>VLOOKUP(Ueberblick428[[#This Row],[Erheblichkeitsschwelle]],Dropdown!$A$2:$D$4,4,FALSE)</f>
        <v>-</v>
      </c>
      <c r="O17" s="42" t="str">
        <f>VLOOKUP(Ueberblick428[[#This Row],[Annahmen Elektormobilität]],Dropdown!$A$2:$D$4,4,FALSE)</f>
        <v>-</v>
      </c>
      <c r="P17" s="42" t="str">
        <f>VLOOKUP(Ueberblick428[[#This Row],[Symmetrieannahme]],Dropdown!$A$2:$D$4,4,FALSE)</f>
        <v>-</v>
      </c>
      <c r="Q17" s="42" t="str">
        <f>VLOOKUP(Ueberblick428[[#This Row],[Bereitstellungsalternative]],Dropdown!$A$2:$D$4,4,FALSE)</f>
        <v>-</v>
      </c>
      <c r="R17" s="8" t="s">
        <v>242</v>
      </c>
    </row>
    <row r="18" spans="1:18" s="11" customFormat="1" ht="25.5" x14ac:dyDescent="0.25">
      <c r="A18" s="6" t="s">
        <v>188</v>
      </c>
      <c r="B18" s="42" t="str">
        <f>VLOOKUP(Ueberblick428[[#This Row],[StV / Leistungen]],Dropdown!$A$2:$D$4,4,FALSE)</f>
        <v>-</v>
      </c>
      <c r="C18" s="42" t="str">
        <f>VLOOKUP(Ueberblick428[[#This Row],[Durchdringungsraten]],Dropdown!$A$2:$D$4,4,FALSE)</f>
        <v>X</v>
      </c>
      <c r="D18" s="42" t="str">
        <f>VLOOKUP(Ueberblick428[[#This Row],[Profile / Zeitverfügbarkeit]],Dropdown!$A$2:$D$4,4,FALSE)</f>
        <v>-</v>
      </c>
      <c r="E18" s="42" t="str">
        <f>VLOOKUP(Ueberblick428[[#This Row],[flex. Leistung]],Dropdown!$A$2:$D$4,4,FALSE)</f>
        <v>-</v>
      </c>
      <c r="F18" s="42" t="str">
        <f>VLOOKUP(Ueberblick428[[#This Row],[Zeitdauern]],Dropdown!$A$2:$D$4,4,FALSE)</f>
        <v>-</v>
      </c>
      <c r="G18" s="42" t="str">
        <f>VLOOKUP(Ueberblick428[[#This Row],[Abrufhäufigkeit]],Dropdown!$A$2:$D$4,4,FALSE)</f>
        <v>-</v>
      </c>
      <c r="H18" s="42" t="str">
        <f>VLOOKUP(Ueberblick428[[#This Row],[spez. Leistung / Verbräuche]],Dropdown!$A$2:$D$4,4,FALSE)</f>
        <v>-</v>
      </c>
      <c r="I18" s="42" t="str">
        <f>VLOOKUP(Ueberblick428[[#This Row],[(soziale) Akzeptanz]],Dropdown!$A$2:$D$4,4,FALSE)</f>
        <v>-</v>
      </c>
      <c r="J18" s="42" t="str">
        <f>VLOOKUP(Ueberblick428[[#This Row],[Prozesseignung]],Dropdown!$A$2:$D$4,4,FALSE)</f>
        <v>-</v>
      </c>
      <c r="K18" s="42" t="str">
        <f>VLOOKUP(Ueberblick428[[#This Row],[Kosten(entwicklung)]],Dropdown!$A$2:$D$4,4,FALSE)</f>
        <v>-</v>
      </c>
      <c r="L18" s="42" t="str">
        <f>VLOOKUP(Ueberblick428[[#This Row],[Potenzialentwicklung]],Dropdown!$A$2:$D$4,4,FALSE)</f>
        <v>-</v>
      </c>
      <c r="M18" s="42" t="str">
        <f>VLOOKUP(Ueberblick428[[#This Row],[Simulationsdaten]],Dropdown!$A$2:$D$4,4,FALSE)</f>
        <v>-</v>
      </c>
      <c r="N18" s="42" t="str">
        <f>VLOOKUP(Ueberblick428[[#This Row],[Erheblichkeitsschwelle]],Dropdown!$A$2:$D$4,4,FALSE)</f>
        <v>-</v>
      </c>
      <c r="O18" s="42" t="str">
        <f>VLOOKUP(Ueberblick428[[#This Row],[Annahmen Elektormobilität]],Dropdown!$A$2:$D$4,4,FALSE)</f>
        <v>X</v>
      </c>
      <c r="P18" s="42" t="str">
        <f>VLOOKUP(Ueberblick428[[#This Row],[Symmetrieannahme]],Dropdown!$A$2:$D$4,4,FALSE)</f>
        <v>-</v>
      </c>
      <c r="Q18" s="42" t="str">
        <f>VLOOKUP(Ueberblick428[[#This Row],[Bereitstellungsalternative]],Dropdown!$A$2:$D$4,4,FALSE)</f>
        <v>-</v>
      </c>
      <c r="R18" s="8" t="s">
        <v>333</v>
      </c>
    </row>
    <row r="19" spans="1:18" ht="38.25" x14ac:dyDescent="0.25">
      <c r="A19" s="6" t="s">
        <v>133</v>
      </c>
      <c r="B19" s="42" t="str">
        <f>VLOOKUP(Ueberblick428[[#This Row],[StV / Leistungen]],Dropdown!$A$2:$D$4,4,FALSE)</f>
        <v>-</v>
      </c>
      <c r="C19" s="42" t="str">
        <f>VLOOKUP(Ueberblick428[[#This Row],[Durchdringungsraten]],Dropdown!$A$2:$D$4,4,FALSE)</f>
        <v>-</v>
      </c>
      <c r="D19" s="42" t="str">
        <f>VLOOKUP(Ueberblick428[[#This Row],[Profile / Zeitverfügbarkeit]],Dropdown!$A$2:$D$4,4,FALSE)</f>
        <v>X</v>
      </c>
      <c r="E19" s="42" t="str">
        <f>VLOOKUP(Ueberblick428[[#This Row],[flex. Leistung]],Dropdown!$A$2:$D$4,4,FALSE)</f>
        <v>X</v>
      </c>
      <c r="F19" s="42" t="str">
        <f>VLOOKUP(Ueberblick428[[#This Row],[Zeitdauern]],Dropdown!$A$2:$D$4,4,FALSE)</f>
        <v>-</v>
      </c>
      <c r="G19" s="42" t="str">
        <f>VLOOKUP(Ueberblick428[[#This Row],[Abrufhäufigkeit]],Dropdown!$A$2:$D$4,4,FALSE)</f>
        <v>-</v>
      </c>
      <c r="H19" s="42" t="str">
        <f>VLOOKUP(Ueberblick428[[#This Row],[spez. Leistung / Verbräuche]],Dropdown!$A$2:$D$4,4,FALSE)</f>
        <v>-</v>
      </c>
      <c r="I19" s="42" t="str">
        <f>VLOOKUP(Ueberblick428[[#This Row],[(soziale) Akzeptanz]],Dropdown!$A$2:$D$4,4,FALSE)</f>
        <v>-</v>
      </c>
      <c r="J19" s="42" t="str">
        <f>VLOOKUP(Ueberblick428[[#This Row],[Prozesseignung]],Dropdown!$A$2:$D$4,4,FALSE)</f>
        <v>-</v>
      </c>
      <c r="K19" s="42" t="str">
        <f>VLOOKUP(Ueberblick428[[#This Row],[Kosten(entwicklung)]],Dropdown!$A$2:$D$4,4,FALSE)</f>
        <v>-</v>
      </c>
      <c r="L19" s="42" t="str">
        <f>VLOOKUP(Ueberblick428[[#This Row],[Potenzialentwicklung]],Dropdown!$A$2:$D$4,4,FALSE)</f>
        <v>-</v>
      </c>
      <c r="M19" s="42" t="str">
        <f>VLOOKUP(Ueberblick428[[#This Row],[Simulationsdaten]],Dropdown!$A$2:$D$4,4,FALSE)</f>
        <v>-</v>
      </c>
      <c r="N19" s="42" t="str">
        <f>VLOOKUP(Ueberblick428[[#This Row],[Erheblichkeitsschwelle]],Dropdown!$A$2:$D$4,4,FALSE)</f>
        <v>-</v>
      </c>
      <c r="O19" s="42" t="str">
        <f>VLOOKUP(Ueberblick428[[#This Row],[Annahmen Elektormobilität]],Dropdown!$A$2:$D$4,4,FALSE)</f>
        <v>-</v>
      </c>
      <c r="P19" s="42" t="str">
        <f>VLOOKUP(Ueberblick428[[#This Row],[Symmetrieannahme]],Dropdown!$A$2:$D$4,4,FALSE)</f>
        <v>-</v>
      </c>
      <c r="Q19" s="42" t="str">
        <f>VLOOKUP(Ueberblick428[[#This Row],[Bereitstellungsalternative]],Dropdown!$A$2:$D$4,4,FALSE)</f>
        <v>-</v>
      </c>
      <c r="R19" s="8" t="s">
        <v>147</v>
      </c>
    </row>
    <row r="20" spans="1:18" s="11" customFormat="1" ht="25.5" x14ac:dyDescent="0.25">
      <c r="A20" s="6" t="s">
        <v>10</v>
      </c>
      <c r="B20" s="42" t="str">
        <f>VLOOKUP(Ueberblick428[[#This Row],[StV / Leistungen]],Dropdown!$A$2:$D$4,4,FALSE)</f>
        <v>-</v>
      </c>
      <c r="C20" s="42" t="str">
        <f>VLOOKUP(Ueberblick428[[#This Row],[Durchdringungsraten]],Dropdown!$A$2:$D$4,4,FALSE)</f>
        <v>-</v>
      </c>
      <c r="D20" s="42" t="str">
        <f>VLOOKUP(Ueberblick428[[#This Row],[Profile / Zeitverfügbarkeit]],Dropdown!$A$2:$D$4,4,FALSE)</f>
        <v>X</v>
      </c>
      <c r="E20" s="42" t="str">
        <f>VLOOKUP(Ueberblick428[[#This Row],[flex. Leistung]],Dropdown!$A$2:$D$4,4,FALSE)</f>
        <v>X</v>
      </c>
      <c r="F20" s="42" t="str">
        <f>VLOOKUP(Ueberblick428[[#This Row],[Zeitdauern]],Dropdown!$A$2:$D$4,4,FALSE)</f>
        <v>-</v>
      </c>
      <c r="G20" s="42" t="str">
        <f>VLOOKUP(Ueberblick428[[#This Row],[Abrufhäufigkeit]],Dropdown!$A$2:$D$4,4,FALSE)</f>
        <v>-</v>
      </c>
      <c r="H20" s="42" t="str">
        <f>VLOOKUP(Ueberblick428[[#This Row],[spez. Leistung / Verbräuche]],Dropdown!$A$2:$D$4,4,FALSE)</f>
        <v>-</v>
      </c>
      <c r="I20" s="42" t="str">
        <f>VLOOKUP(Ueberblick428[[#This Row],[(soziale) Akzeptanz]],Dropdown!$A$2:$D$4,4,FALSE)</f>
        <v>-</v>
      </c>
      <c r="J20" s="42" t="str">
        <f>VLOOKUP(Ueberblick428[[#This Row],[Prozesseignung]],Dropdown!$A$2:$D$4,4,FALSE)</f>
        <v>-</v>
      </c>
      <c r="K20" s="42" t="str">
        <f>VLOOKUP(Ueberblick428[[#This Row],[Kosten(entwicklung)]],Dropdown!$A$2:$D$4,4,FALSE)</f>
        <v>-</v>
      </c>
      <c r="L20" s="42" t="str">
        <f>VLOOKUP(Ueberblick428[[#This Row],[Potenzialentwicklung]],Dropdown!$A$2:$D$4,4,FALSE)</f>
        <v>-</v>
      </c>
      <c r="M20" s="42" t="str">
        <f>VLOOKUP(Ueberblick428[[#This Row],[Simulationsdaten]],Dropdown!$A$2:$D$4,4,FALSE)</f>
        <v>-</v>
      </c>
      <c r="N20" s="42" t="str">
        <f>VLOOKUP(Ueberblick428[[#This Row],[Erheblichkeitsschwelle]],Dropdown!$A$2:$D$4,4,FALSE)</f>
        <v>-</v>
      </c>
      <c r="O20" s="42" t="str">
        <f>VLOOKUP(Ueberblick428[[#This Row],[Annahmen Elektormobilität]],Dropdown!$A$2:$D$4,4,FALSE)</f>
        <v>-</v>
      </c>
      <c r="P20" s="42" t="str">
        <f>VLOOKUP(Ueberblick428[[#This Row],[Symmetrieannahme]],Dropdown!$A$2:$D$4,4,FALSE)</f>
        <v>-</v>
      </c>
      <c r="Q20" s="42" t="str">
        <f>VLOOKUP(Ueberblick428[[#This Row],[Bereitstellungsalternative]],Dropdown!$A$2:$D$4,4,FALSE)</f>
        <v>-</v>
      </c>
      <c r="R20" s="8" t="s">
        <v>172</v>
      </c>
    </row>
    <row r="21" spans="1:18" ht="38.25" x14ac:dyDescent="0.25">
      <c r="A21" s="6" t="s">
        <v>832</v>
      </c>
      <c r="B21" s="42" t="str">
        <f>VLOOKUP(Ueberblick428[[#This Row],[StV / Leistungen]],Dropdown!$A$2:$D$4,4,FALSE)</f>
        <v>-</v>
      </c>
      <c r="C21" s="42" t="str">
        <f>VLOOKUP(Ueberblick428[[#This Row],[Durchdringungsraten]],Dropdown!$A$2:$D$4,4,FALSE)</f>
        <v>X</v>
      </c>
      <c r="D21" s="42" t="str">
        <f>VLOOKUP(Ueberblick428[[#This Row],[Profile / Zeitverfügbarkeit]],Dropdown!$A$2:$D$4,4,FALSE)</f>
        <v>X</v>
      </c>
      <c r="E21" s="42" t="str">
        <f>VLOOKUP(Ueberblick428[[#This Row],[flex. Leistung]],Dropdown!$A$2:$D$4,4,FALSE)</f>
        <v>-</v>
      </c>
      <c r="F21" s="42" t="str">
        <f>VLOOKUP(Ueberblick428[[#This Row],[Zeitdauern]],Dropdown!$A$2:$D$4,4,FALSE)</f>
        <v>X</v>
      </c>
      <c r="G21" s="42" t="str">
        <f>VLOOKUP(Ueberblick428[[#This Row],[Abrufhäufigkeit]],Dropdown!$A$2:$D$4,4,FALSE)</f>
        <v>-</v>
      </c>
      <c r="H21" s="42" t="str">
        <f>VLOOKUP(Ueberblick428[[#This Row],[spez. Leistung / Verbräuche]],Dropdown!$A$2:$D$4,4,FALSE)</f>
        <v>-</v>
      </c>
      <c r="I21" s="42" t="str">
        <f>VLOOKUP(Ueberblick428[[#This Row],[(soziale) Akzeptanz]],Dropdown!$A$2:$D$4,4,FALSE)</f>
        <v>-</v>
      </c>
      <c r="J21" s="42" t="str">
        <f>VLOOKUP(Ueberblick428[[#This Row],[Prozesseignung]],Dropdown!$A$2:$D$4,4,FALSE)</f>
        <v>-</v>
      </c>
      <c r="K21" s="42" t="str">
        <f>VLOOKUP(Ueberblick428[[#This Row],[Kosten(entwicklung)]],Dropdown!$A$2:$D$4,4,FALSE)</f>
        <v>X</v>
      </c>
      <c r="L21" s="42" t="str">
        <f>VLOOKUP(Ueberblick428[[#This Row],[Potenzialentwicklung]],Dropdown!$A$2:$D$4,4,FALSE)</f>
        <v>X</v>
      </c>
      <c r="M21" s="42" t="str">
        <f>VLOOKUP(Ueberblick428[[#This Row],[Simulationsdaten]],Dropdown!$A$2:$D$4,4,FALSE)</f>
        <v>-</v>
      </c>
      <c r="N21" s="42" t="str">
        <f>VLOOKUP(Ueberblick428[[#This Row],[Erheblichkeitsschwelle]],Dropdown!$A$2:$D$4,4,FALSE)</f>
        <v>-</v>
      </c>
      <c r="O21" s="42" t="str">
        <f>VLOOKUP(Ueberblick428[[#This Row],[Annahmen Elektormobilität]],Dropdown!$A$2:$D$4,4,FALSE)</f>
        <v>-</v>
      </c>
      <c r="P21" s="42" t="str">
        <f>VLOOKUP(Ueberblick428[[#This Row],[Symmetrieannahme]],Dropdown!$A$2:$D$4,4,FALSE)</f>
        <v>-</v>
      </c>
      <c r="Q21" s="42" t="str">
        <f>VLOOKUP(Ueberblick428[[#This Row],[Bereitstellungsalternative]],Dropdown!$A$2:$D$4,4,FALSE)</f>
        <v>-</v>
      </c>
      <c r="R21" s="8" t="s">
        <v>279</v>
      </c>
    </row>
    <row r="22" spans="1:18" s="11" customFormat="1" x14ac:dyDescent="0.25">
      <c r="A22" s="6" t="s">
        <v>16</v>
      </c>
      <c r="B22" s="42" t="str">
        <f>VLOOKUP(Ueberblick428[[#This Row],[StV / Leistungen]],Dropdown!$A$2:$D$4,4,FALSE)</f>
        <v>-</v>
      </c>
      <c r="C22" s="42" t="str">
        <f>VLOOKUP(Ueberblick428[[#This Row],[Durchdringungsraten]],Dropdown!$A$2:$D$4,4,FALSE)</f>
        <v>-</v>
      </c>
      <c r="D22" s="42" t="str">
        <f>VLOOKUP(Ueberblick428[[#This Row],[Profile / Zeitverfügbarkeit]],Dropdown!$A$2:$D$4,4,FALSE)</f>
        <v>-</v>
      </c>
      <c r="E22" s="42" t="str">
        <f>VLOOKUP(Ueberblick428[[#This Row],[flex. Leistung]],Dropdown!$A$2:$D$4,4,FALSE)</f>
        <v>X</v>
      </c>
      <c r="F22" s="42" t="str">
        <f>VLOOKUP(Ueberblick428[[#This Row],[Zeitdauern]],Dropdown!$A$2:$D$4,4,FALSE)</f>
        <v>-</v>
      </c>
      <c r="G22" s="42" t="str">
        <f>VLOOKUP(Ueberblick428[[#This Row],[Abrufhäufigkeit]],Dropdown!$A$2:$D$4,4,FALSE)</f>
        <v>-</v>
      </c>
      <c r="H22" s="42" t="str">
        <f>VLOOKUP(Ueberblick428[[#This Row],[spez. Leistung / Verbräuche]],Dropdown!$A$2:$D$4,4,FALSE)</f>
        <v>-</v>
      </c>
      <c r="I22" s="42" t="str">
        <f>VLOOKUP(Ueberblick428[[#This Row],[(soziale) Akzeptanz]],Dropdown!$A$2:$D$4,4,FALSE)</f>
        <v>-</v>
      </c>
      <c r="J22" s="42" t="str">
        <f>VLOOKUP(Ueberblick428[[#This Row],[Prozesseignung]],Dropdown!$A$2:$D$4,4,FALSE)</f>
        <v>-</v>
      </c>
      <c r="K22" s="42" t="str">
        <f>VLOOKUP(Ueberblick428[[#This Row],[Kosten(entwicklung)]],Dropdown!$A$2:$D$4,4,FALSE)</f>
        <v>X</v>
      </c>
      <c r="L22" s="42" t="str">
        <f>VLOOKUP(Ueberblick428[[#This Row],[Potenzialentwicklung]],Dropdown!$A$2:$D$4,4,FALSE)</f>
        <v>-</v>
      </c>
      <c r="M22" s="42" t="str">
        <f>VLOOKUP(Ueberblick428[[#This Row],[Simulationsdaten]],Dropdown!$A$2:$D$4,4,FALSE)</f>
        <v>-</v>
      </c>
      <c r="N22" s="42" t="str">
        <f>VLOOKUP(Ueberblick428[[#This Row],[Erheblichkeitsschwelle]],Dropdown!$A$2:$D$4,4,FALSE)</f>
        <v>-</v>
      </c>
      <c r="O22" s="42" t="str">
        <f>VLOOKUP(Ueberblick428[[#This Row],[Annahmen Elektormobilität]],Dropdown!$A$2:$D$4,4,FALSE)</f>
        <v>-</v>
      </c>
      <c r="P22" s="42" t="str">
        <f>VLOOKUP(Ueberblick428[[#This Row],[Symmetrieannahme]],Dropdown!$A$2:$D$4,4,FALSE)</f>
        <v>-</v>
      </c>
      <c r="Q22" s="42" t="str">
        <f>VLOOKUP(Ueberblick428[[#This Row],[Bereitstellungsalternative]],Dropdown!$A$2:$D$4,4,FALSE)</f>
        <v>-</v>
      </c>
      <c r="R22" s="8" t="s">
        <v>207</v>
      </c>
    </row>
    <row r="23" spans="1:18" ht="25.5" x14ac:dyDescent="0.25">
      <c r="A23" s="6" t="s">
        <v>7</v>
      </c>
      <c r="B23" s="42" t="str">
        <f>VLOOKUP(Ueberblick428[[#This Row],[StV / Leistungen]],Dropdown!$A$2:$D$4,4,FALSE)</f>
        <v>-</v>
      </c>
      <c r="C23" s="42" t="str">
        <f>VLOOKUP(Ueberblick428[[#This Row],[Durchdringungsraten]],Dropdown!$A$2:$D$4,4,FALSE)</f>
        <v>-</v>
      </c>
      <c r="D23" s="42" t="str">
        <f>VLOOKUP(Ueberblick428[[#This Row],[Profile / Zeitverfügbarkeit]],Dropdown!$A$2:$D$4,4,FALSE)</f>
        <v>-</v>
      </c>
      <c r="E23" s="42" t="str">
        <f>VLOOKUP(Ueberblick428[[#This Row],[flex. Leistung]],Dropdown!$A$2:$D$4,4,FALSE)</f>
        <v>-</v>
      </c>
      <c r="F23" s="42" t="str">
        <f>VLOOKUP(Ueberblick428[[#This Row],[Zeitdauern]],Dropdown!$A$2:$D$4,4,FALSE)</f>
        <v>-</v>
      </c>
      <c r="G23" s="42" t="str">
        <f>VLOOKUP(Ueberblick428[[#This Row],[Abrufhäufigkeit]],Dropdown!$A$2:$D$4,4,FALSE)</f>
        <v>-</v>
      </c>
      <c r="H23" s="42" t="str">
        <f>VLOOKUP(Ueberblick428[[#This Row],[spez. Leistung / Verbräuche]],Dropdown!$A$2:$D$4,4,FALSE)</f>
        <v>-</v>
      </c>
      <c r="I23" s="42" t="str">
        <f>VLOOKUP(Ueberblick428[[#This Row],[(soziale) Akzeptanz]],Dropdown!$A$2:$D$4,4,FALSE)</f>
        <v>-</v>
      </c>
      <c r="J23" s="42" t="str">
        <f>VLOOKUP(Ueberblick428[[#This Row],[Prozesseignung]],Dropdown!$A$2:$D$4,4,FALSE)</f>
        <v>-</v>
      </c>
      <c r="K23" s="42" t="str">
        <f>VLOOKUP(Ueberblick428[[#This Row],[Kosten(entwicklung)]],Dropdown!$A$2:$D$4,4,FALSE)</f>
        <v>-</v>
      </c>
      <c r="L23" s="42" t="str">
        <f>VLOOKUP(Ueberblick428[[#This Row],[Potenzialentwicklung]],Dropdown!$A$2:$D$4,4,FALSE)</f>
        <v>-</v>
      </c>
      <c r="M23" s="42" t="str">
        <f>VLOOKUP(Ueberblick428[[#This Row],[Simulationsdaten]],Dropdown!$A$2:$D$4,4,FALSE)</f>
        <v>-</v>
      </c>
      <c r="N23" s="42" t="str">
        <f>VLOOKUP(Ueberblick428[[#This Row],[Erheblichkeitsschwelle]],Dropdown!$A$2:$D$4,4,FALSE)</f>
        <v>-</v>
      </c>
      <c r="O23" s="42" t="str">
        <f>VLOOKUP(Ueberblick428[[#This Row],[Annahmen Elektormobilität]],Dropdown!$A$2:$D$4,4,FALSE)</f>
        <v>-</v>
      </c>
      <c r="P23" s="42" t="str">
        <f>VLOOKUP(Ueberblick428[[#This Row],[Symmetrieannahme]],Dropdown!$A$2:$D$4,4,FALSE)</f>
        <v>-</v>
      </c>
      <c r="Q23" s="42" t="str">
        <f>VLOOKUP(Ueberblick428[[#This Row],[Bereitstellungsalternative]],Dropdown!$A$2:$D$4,4,FALSE)</f>
        <v>-</v>
      </c>
      <c r="R23" s="8" t="s">
        <v>131</v>
      </c>
    </row>
    <row r="24" spans="1:18" s="11" customFormat="1" ht="25.5" x14ac:dyDescent="0.25">
      <c r="A24" s="6" t="s">
        <v>18</v>
      </c>
      <c r="B24" s="42" t="str">
        <f>VLOOKUP(Ueberblick428[[#This Row],[StV / Leistungen]],Dropdown!$A$2:$D$4,4,FALSE)</f>
        <v>-</v>
      </c>
      <c r="C24" s="42" t="str">
        <f>VLOOKUP(Ueberblick428[[#This Row],[Durchdringungsraten]],Dropdown!$A$2:$D$4,4,FALSE)</f>
        <v>-</v>
      </c>
      <c r="D24" s="42" t="str">
        <f>VLOOKUP(Ueberblick428[[#This Row],[Profile / Zeitverfügbarkeit]],Dropdown!$A$2:$D$4,4,FALSE)</f>
        <v>-</v>
      </c>
      <c r="E24" s="42" t="str">
        <f>VLOOKUP(Ueberblick428[[#This Row],[flex. Leistung]],Dropdown!$A$2:$D$4,4,FALSE)</f>
        <v>-</v>
      </c>
      <c r="F24" s="42" t="str">
        <f>VLOOKUP(Ueberblick428[[#This Row],[Zeitdauern]],Dropdown!$A$2:$D$4,4,FALSE)</f>
        <v>X</v>
      </c>
      <c r="G24" s="42" t="str">
        <f>VLOOKUP(Ueberblick428[[#This Row],[Abrufhäufigkeit]],Dropdown!$A$2:$D$4,4,FALSE)</f>
        <v>X</v>
      </c>
      <c r="H24" s="42" t="str">
        <f>VLOOKUP(Ueberblick428[[#This Row],[spez. Leistung / Verbräuche]],Dropdown!$A$2:$D$4,4,FALSE)</f>
        <v>-</v>
      </c>
      <c r="I24" s="42" t="str">
        <f>VLOOKUP(Ueberblick428[[#This Row],[(soziale) Akzeptanz]],Dropdown!$A$2:$D$4,4,FALSE)</f>
        <v>-</v>
      </c>
      <c r="J24" s="42" t="str">
        <f>VLOOKUP(Ueberblick428[[#This Row],[Prozesseignung]],Dropdown!$A$2:$D$4,4,FALSE)</f>
        <v>-</v>
      </c>
      <c r="K24" s="42" t="str">
        <f>VLOOKUP(Ueberblick428[[#This Row],[Kosten(entwicklung)]],Dropdown!$A$2:$D$4,4,FALSE)</f>
        <v>-</v>
      </c>
      <c r="L24" s="42" t="str">
        <f>VLOOKUP(Ueberblick428[[#This Row],[Potenzialentwicklung]],Dropdown!$A$2:$D$4,4,FALSE)</f>
        <v>X</v>
      </c>
      <c r="M24" s="42" t="str">
        <f>VLOOKUP(Ueberblick428[[#This Row],[Simulationsdaten]],Dropdown!$A$2:$D$4,4,FALSE)</f>
        <v>-</v>
      </c>
      <c r="N24" s="42" t="str">
        <f>VLOOKUP(Ueberblick428[[#This Row],[Erheblichkeitsschwelle]],Dropdown!$A$2:$D$4,4,FALSE)</f>
        <v>-</v>
      </c>
      <c r="O24" s="42" t="str">
        <f>VLOOKUP(Ueberblick428[[#This Row],[Annahmen Elektormobilität]],Dropdown!$A$2:$D$4,4,FALSE)</f>
        <v>-</v>
      </c>
      <c r="P24" s="42" t="str">
        <f>VLOOKUP(Ueberblick428[[#This Row],[Symmetrieannahme]],Dropdown!$A$2:$D$4,4,FALSE)</f>
        <v>-</v>
      </c>
      <c r="Q24" s="42" t="str">
        <f>VLOOKUP(Ueberblick428[[#This Row],[Bereitstellungsalternative]],Dropdown!$A$2:$D$4,4,FALSE)</f>
        <v>-</v>
      </c>
      <c r="R24" s="8" t="s">
        <v>225</v>
      </c>
    </row>
    <row r="25" spans="1:18" ht="38.25" x14ac:dyDescent="0.25">
      <c r="A25" s="6" t="s">
        <v>338</v>
      </c>
      <c r="B25" s="42" t="str">
        <f>VLOOKUP(Ueberblick428[[#This Row],[StV / Leistungen]],Dropdown!$A$2:$D$4,4,FALSE)</f>
        <v>-</v>
      </c>
      <c r="C25" s="42" t="str">
        <f>VLOOKUP(Ueberblick428[[#This Row],[Durchdringungsraten]],Dropdown!$A$2:$D$4,4,FALSE)</f>
        <v>-</v>
      </c>
      <c r="D25" s="42" t="str">
        <f>VLOOKUP(Ueberblick428[[#This Row],[Profile / Zeitverfügbarkeit]],Dropdown!$A$2:$D$4,4,FALSE)</f>
        <v>-</v>
      </c>
      <c r="E25" s="42" t="str">
        <f>VLOOKUP(Ueberblick428[[#This Row],[flex. Leistung]],Dropdown!$A$2:$D$4,4,FALSE)</f>
        <v>X</v>
      </c>
      <c r="F25" s="42" t="str">
        <f>VLOOKUP(Ueberblick428[[#This Row],[Zeitdauern]],Dropdown!$A$2:$D$4,4,FALSE)</f>
        <v>-</v>
      </c>
      <c r="G25" s="42" t="str">
        <f>VLOOKUP(Ueberblick428[[#This Row],[Abrufhäufigkeit]],Dropdown!$A$2:$D$4,4,FALSE)</f>
        <v>-</v>
      </c>
      <c r="H25" s="42" t="str">
        <f>VLOOKUP(Ueberblick428[[#This Row],[spez. Leistung / Verbräuche]],Dropdown!$A$2:$D$4,4,FALSE)</f>
        <v>-</v>
      </c>
      <c r="I25" s="42" t="str">
        <f>VLOOKUP(Ueberblick428[[#This Row],[(soziale) Akzeptanz]],Dropdown!$A$2:$D$4,4,FALSE)</f>
        <v>-</v>
      </c>
      <c r="J25" s="42" t="str">
        <f>VLOOKUP(Ueberblick428[[#This Row],[Prozesseignung]],Dropdown!$A$2:$D$4,4,FALSE)</f>
        <v>-</v>
      </c>
      <c r="K25" s="42" t="str">
        <f>VLOOKUP(Ueberblick428[[#This Row],[Kosten(entwicklung)]],Dropdown!$A$2:$D$4,4,FALSE)</f>
        <v>-</v>
      </c>
      <c r="L25" s="42" t="str">
        <f>VLOOKUP(Ueberblick428[[#This Row],[Potenzialentwicklung]],Dropdown!$A$2:$D$4,4,FALSE)</f>
        <v>-</v>
      </c>
      <c r="M25" s="42" t="str">
        <f>VLOOKUP(Ueberblick428[[#This Row],[Simulationsdaten]],Dropdown!$A$2:$D$4,4,FALSE)</f>
        <v>X</v>
      </c>
      <c r="N25" s="42" t="str">
        <f>VLOOKUP(Ueberblick428[[#This Row],[Erheblichkeitsschwelle]],Dropdown!$A$2:$D$4,4,FALSE)</f>
        <v>-</v>
      </c>
      <c r="O25" s="42" t="str">
        <f>VLOOKUP(Ueberblick428[[#This Row],[Annahmen Elektormobilität]],Dropdown!$A$2:$D$4,4,FALSE)</f>
        <v>-</v>
      </c>
      <c r="P25" s="42" t="str">
        <f>VLOOKUP(Ueberblick428[[#This Row],[Symmetrieannahme]],Dropdown!$A$2:$D$4,4,FALSE)</f>
        <v>-</v>
      </c>
      <c r="Q25" s="42" t="str">
        <f>VLOOKUP(Ueberblick428[[#This Row],[Bereitstellungsalternative]],Dropdown!$A$2:$D$4,4,FALSE)</f>
        <v>-</v>
      </c>
      <c r="R25" s="8" t="s">
        <v>806</v>
      </c>
    </row>
    <row r="26" spans="1:18" s="11" customFormat="1" ht="38.25" x14ac:dyDescent="0.25">
      <c r="A26" s="6" t="s">
        <v>351</v>
      </c>
      <c r="B26" s="42" t="str">
        <f>VLOOKUP(Ueberblick428[[#This Row],[StV / Leistungen]],Dropdown!$A$2:$D$4,4,FALSE)</f>
        <v>-</v>
      </c>
      <c r="C26" s="42" t="str">
        <f>VLOOKUP(Ueberblick428[[#This Row],[Durchdringungsraten]],Dropdown!$A$2:$D$4,4,FALSE)</f>
        <v>-</v>
      </c>
      <c r="D26" s="42" t="str">
        <f>VLOOKUP(Ueberblick428[[#This Row],[Profile / Zeitverfügbarkeit]],Dropdown!$A$2:$D$4,4,FALSE)</f>
        <v>X</v>
      </c>
      <c r="E26" s="42" t="str">
        <f>VLOOKUP(Ueberblick428[[#This Row],[flex. Leistung]],Dropdown!$A$2:$D$4,4,FALSE)</f>
        <v>-</v>
      </c>
      <c r="F26" s="42" t="str">
        <f>VLOOKUP(Ueberblick428[[#This Row],[Zeitdauern]],Dropdown!$A$2:$D$4,4,FALSE)</f>
        <v>X</v>
      </c>
      <c r="G26" s="42" t="str">
        <f>VLOOKUP(Ueberblick428[[#This Row],[Abrufhäufigkeit]],Dropdown!$A$2:$D$4,4,FALSE)</f>
        <v>-</v>
      </c>
      <c r="H26" s="42" t="str">
        <f>VLOOKUP(Ueberblick428[[#This Row],[spez. Leistung / Verbräuche]],Dropdown!$A$2:$D$4,4,FALSE)</f>
        <v>-</v>
      </c>
      <c r="I26" s="42" t="str">
        <f>VLOOKUP(Ueberblick428[[#This Row],[(soziale) Akzeptanz]],Dropdown!$A$2:$D$4,4,FALSE)</f>
        <v>-</v>
      </c>
      <c r="J26" s="42" t="str">
        <f>VLOOKUP(Ueberblick428[[#This Row],[Prozesseignung]],Dropdown!$A$2:$D$4,4,FALSE)</f>
        <v>-</v>
      </c>
      <c r="K26" s="42" t="str">
        <f>VLOOKUP(Ueberblick428[[#This Row],[Kosten(entwicklung)]],Dropdown!$A$2:$D$4,4,FALSE)</f>
        <v>-</v>
      </c>
      <c r="L26" s="42" t="str">
        <f>VLOOKUP(Ueberblick428[[#This Row],[Potenzialentwicklung]],Dropdown!$A$2:$D$4,4,FALSE)</f>
        <v>-</v>
      </c>
      <c r="M26" s="42" t="str">
        <f>VLOOKUP(Ueberblick428[[#This Row],[Simulationsdaten]],Dropdown!$A$2:$D$4,4,FALSE)</f>
        <v>-</v>
      </c>
      <c r="N26" s="42" t="str">
        <f>VLOOKUP(Ueberblick428[[#This Row],[Erheblichkeitsschwelle]],Dropdown!$A$2:$D$4,4,FALSE)</f>
        <v>-</v>
      </c>
      <c r="O26" s="42" t="str">
        <f>VLOOKUP(Ueberblick428[[#This Row],[Annahmen Elektormobilität]],Dropdown!$A$2:$D$4,4,FALSE)</f>
        <v>-</v>
      </c>
      <c r="P26" s="42" t="str">
        <f>VLOOKUP(Ueberblick428[[#This Row],[Symmetrieannahme]],Dropdown!$A$2:$D$4,4,FALSE)</f>
        <v>-</v>
      </c>
      <c r="Q26" s="42" t="str">
        <f>VLOOKUP(Ueberblick428[[#This Row],[Bereitstellungsalternative]],Dropdown!$A$2:$D$4,4,FALSE)</f>
        <v>-</v>
      </c>
      <c r="R26" s="8">
        <v>55</v>
      </c>
    </row>
    <row r="27" spans="1:18" s="11" customFormat="1" ht="51" x14ac:dyDescent="0.25">
      <c r="A27" s="6" t="s">
        <v>24</v>
      </c>
      <c r="B27" s="42" t="str">
        <f>VLOOKUP(Ueberblick428[[#This Row],[StV / Leistungen]],Dropdown!$A$2:$D$4,4,FALSE)</f>
        <v>-</v>
      </c>
      <c r="C27" s="42" t="str">
        <f>VLOOKUP(Ueberblick428[[#This Row],[Durchdringungsraten]],Dropdown!$A$2:$D$4,4,FALSE)</f>
        <v>X</v>
      </c>
      <c r="D27" s="42" t="str">
        <f>VLOOKUP(Ueberblick428[[#This Row],[Profile / Zeitverfügbarkeit]],Dropdown!$A$2:$D$4,4,FALSE)</f>
        <v>X</v>
      </c>
      <c r="E27" s="42" t="str">
        <f>VLOOKUP(Ueberblick428[[#This Row],[flex. Leistung]],Dropdown!$A$2:$D$4,4,FALSE)</f>
        <v>-</v>
      </c>
      <c r="F27" s="42" t="str">
        <f>VLOOKUP(Ueberblick428[[#This Row],[Zeitdauern]],Dropdown!$A$2:$D$4,4,FALSE)</f>
        <v>X</v>
      </c>
      <c r="G27" s="42" t="str">
        <f>VLOOKUP(Ueberblick428[[#This Row],[Abrufhäufigkeit]],Dropdown!$A$2:$D$4,4,FALSE)</f>
        <v>X</v>
      </c>
      <c r="H27" s="42" t="str">
        <f>VLOOKUP(Ueberblick428[[#This Row],[spez. Leistung / Verbräuche]],Dropdown!$A$2:$D$4,4,FALSE)</f>
        <v>-</v>
      </c>
      <c r="I27" s="42" t="str">
        <f>VLOOKUP(Ueberblick428[[#This Row],[(soziale) Akzeptanz]],Dropdown!$A$2:$D$4,4,FALSE)</f>
        <v>-</v>
      </c>
      <c r="J27" s="42" t="str">
        <f>VLOOKUP(Ueberblick428[[#This Row],[Prozesseignung]],Dropdown!$A$2:$D$4,4,FALSE)</f>
        <v>-</v>
      </c>
      <c r="K27" s="42" t="str">
        <f>VLOOKUP(Ueberblick428[[#This Row],[Kosten(entwicklung)]],Dropdown!$A$2:$D$4,4,FALSE)</f>
        <v>-</v>
      </c>
      <c r="L27" s="42" t="str">
        <f>VLOOKUP(Ueberblick428[[#This Row],[Potenzialentwicklung]],Dropdown!$A$2:$D$4,4,FALSE)</f>
        <v>-</v>
      </c>
      <c r="M27" s="42" t="str">
        <f>VLOOKUP(Ueberblick428[[#This Row],[Simulationsdaten]],Dropdown!$A$2:$D$4,4,FALSE)</f>
        <v>-</v>
      </c>
      <c r="N27" s="42" t="str">
        <f>VLOOKUP(Ueberblick428[[#This Row],[Erheblichkeitsschwelle]],Dropdown!$A$2:$D$4,4,FALSE)</f>
        <v>-</v>
      </c>
      <c r="O27" s="42" t="str">
        <f>VLOOKUP(Ueberblick428[[#This Row],[Annahmen Elektormobilität]],Dropdown!$A$2:$D$4,4,FALSE)</f>
        <v>-</v>
      </c>
      <c r="P27" s="42" t="str">
        <f>VLOOKUP(Ueberblick428[[#This Row],[Symmetrieannahme]],Dropdown!$A$2:$D$4,4,FALSE)</f>
        <v>-</v>
      </c>
      <c r="Q27" s="42" t="str">
        <f>VLOOKUP(Ueberblick428[[#This Row],[Bereitstellungsalternative]],Dropdown!$A$2:$D$4,4,FALSE)</f>
        <v>-</v>
      </c>
      <c r="R27" s="8" t="s">
        <v>250</v>
      </c>
    </row>
    <row r="28" spans="1:18" x14ac:dyDescent="0.25">
      <c r="A28" s="18" t="s">
        <v>854</v>
      </c>
      <c r="B28" s="18">
        <f>Ueberblick428[[#Totals],[StV / Leistungen]]</f>
        <v>3</v>
      </c>
      <c r="C28" s="18">
        <f>Ueberblick428[[#Totals],[Durchdringungsraten]]</f>
        <v>8</v>
      </c>
      <c r="D28" s="18">
        <f>Ueberblick428[[#Totals],[Profile / Zeitverfügbarkeit]]</f>
        <v>13</v>
      </c>
      <c r="E28" s="18">
        <f>Ueberblick428[[#Totals],[flex. Leistung]]</f>
        <v>8</v>
      </c>
      <c r="F28" s="18">
        <f>Ueberblick428[[#Totals],[Zeitdauern]]</f>
        <v>10</v>
      </c>
      <c r="G28" s="18">
        <f>Ueberblick428[[#Totals],[Abrufhäufigkeit]]</f>
        <v>5</v>
      </c>
      <c r="H28" s="18">
        <f>Ueberblick428[[#Totals],[spez. Leistung / Verbräuche]]</f>
        <v>2</v>
      </c>
      <c r="I28" s="18">
        <f>Ueberblick428[[#Totals],[(soziale) Akzeptanz]]</f>
        <v>4</v>
      </c>
      <c r="J28" s="18">
        <f>Ueberblick428[[#Totals],[Prozesseignung]]</f>
        <v>1</v>
      </c>
      <c r="K28" s="18">
        <f>Ueberblick428[[#Totals],[Kosten(entwicklung)]]</f>
        <v>7</v>
      </c>
      <c r="L28" s="18">
        <f>Ueberblick428[[#Totals],[Potenzialentwicklung]]</f>
        <v>5</v>
      </c>
      <c r="M28" s="18">
        <f>Ueberblick428[[#Totals],[Simulationsdaten]]</f>
        <v>2</v>
      </c>
      <c r="N28" s="18">
        <f>Ueberblick428[[#Totals],[Erheblichkeitsschwelle]]</f>
        <v>1</v>
      </c>
      <c r="O28" s="18">
        <f>Ueberblick428[[#Totals],[Annahmen Elektormobilität]]</f>
        <v>2</v>
      </c>
      <c r="P28" s="18">
        <f>Ueberblick428[[#Totals],[Symmetrieannahme]]</f>
        <v>1</v>
      </c>
      <c r="Q28" s="18">
        <f>Ueberblick428[[#Totals],[Bereitstellungsalternative]]</f>
        <v>1</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63680-2AA3-4F12-A8ED-AC50205F3C1A}">
  <sheetPr codeName="Tabelle17">
    <tabColor theme="7" tint="0.79998168889431442"/>
  </sheetPr>
  <dimension ref="A1:R29"/>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39.87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3" t="s">
        <v>1301</v>
      </c>
      <c r="C2" s="43" t="s">
        <v>1286</v>
      </c>
      <c r="D2" s="43" t="s">
        <v>1303</v>
      </c>
      <c r="E2" s="43" t="s">
        <v>1304</v>
      </c>
      <c r="F2" s="43" t="s">
        <v>1305</v>
      </c>
      <c r="G2" s="43" t="s">
        <v>1288</v>
      </c>
      <c r="H2" s="43" t="s">
        <v>1306</v>
      </c>
      <c r="I2" s="43" t="s">
        <v>1307</v>
      </c>
      <c r="J2" s="43" t="s">
        <v>1308</v>
      </c>
      <c r="K2" s="43" t="s">
        <v>1309</v>
      </c>
      <c r="L2" s="43" t="s">
        <v>1310</v>
      </c>
      <c r="M2" s="43" t="s">
        <v>1311</v>
      </c>
      <c r="N2" s="43" t="s">
        <v>1312</v>
      </c>
      <c r="O2" s="43" t="s">
        <v>1313</v>
      </c>
      <c r="P2" s="43" t="s">
        <v>1314</v>
      </c>
      <c r="Q2" s="43" t="s">
        <v>1315</v>
      </c>
      <c r="R2" s="3" t="s">
        <v>116</v>
      </c>
    </row>
    <row r="3" spans="1:18" x14ac:dyDescent="0.25">
      <c r="A3" s="6">
        <v>1</v>
      </c>
      <c r="B3" s="42" t="str">
        <f>VLOOKUP(Ueberblick428[[#This Row],[StV / Leistungen]],Dropdown!$A$2:$D$4,4,FALSE)</f>
        <v>X</v>
      </c>
      <c r="C3" s="42" t="str">
        <f>VLOOKUP(Ueberblick428[[#This Row],[Durchdringungsraten]],Dropdown!$A$2:$D$4,4,FALSE)</f>
        <v>X</v>
      </c>
      <c r="D3" s="42" t="str">
        <f>VLOOKUP(Ueberblick428[[#This Row],[Profile / Zeitverfügbarkeit]],Dropdown!$A$2:$D$4,4,FALSE)</f>
        <v>-</v>
      </c>
      <c r="E3" s="42" t="str">
        <f>VLOOKUP(Ueberblick428[[#This Row],[flex. Leistung]],Dropdown!$A$2:$D$4,4,FALSE)</f>
        <v>-</v>
      </c>
      <c r="F3" s="42" t="str">
        <f>VLOOKUP(Ueberblick428[[#This Row],[Zeitdauern]],Dropdown!$A$2:$D$4,4,FALSE)</f>
        <v>-</v>
      </c>
      <c r="G3" s="42" t="str">
        <f>VLOOKUP(Ueberblick428[[#This Row],[Abrufhäufigkeit]],Dropdown!$A$2:$D$4,4,FALSE)</f>
        <v>-</v>
      </c>
      <c r="H3" s="42" t="str">
        <f>VLOOKUP(Ueberblick428[[#This Row],[spez. Leistung / Verbräuche]],Dropdown!$A$2:$D$4,4,FALSE)</f>
        <v>-</v>
      </c>
      <c r="I3" s="42" t="str">
        <f>VLOOKUP(Ueberblick428[[#This Row],[(soziale) Akzeptanz]],Dropdown!$A$2:$D$4,4,FALSE)</f>
        <v>-</v>
      </c>
      <c r="J3" s="42" t="str">
        <f>VLOOKUP(Ueberblick428[[#This Row],[Prozesseignung]],Dropdown!$A$2:$D$4,4,FALSE)</f>
        <v>-</v>
      </c>
      <c r="K3" s="42" t="str">
        <f>VLOOKUP(Ueberblick428[[#This Row],[Kosten(entwicklung)]],Dropdown!$A$2:$D$4,4,FALSE)</f>
        <v>-</v>
      </c>
      <c r="L3" s="42" t="str">
        <f>VLOOKUP(Ueberblick428[[#This Row],[Potenzialentwicklung]],Dropdown!$A$2:$D$4,4,FALSE)</f>
        <v>-</v>
      </c>
      <c r="M3" s="42" t="str">
        <f>VLOOKUP(Ueberblick428[[#This Row],[Simulationsdaten]],Dropdown!$A$2:$D$4,4,FALSE)</f>
        <v>-</v>
      </c>
      <c r="N3" s="42" t="str">
        <f>VLOOKUP(Ueberblick428[[#This Row],[Erheblichkeitsschwelle]],Dropdown!$A$2:$D$4,4,FALSE)</f>
        <v>-</v>
      </c>
      <c r="O3" s="42" t="str">
        <f>VLOOKUP(Ueberblick428[[#This Row],[Annahmen Elektormobilität]],Dropdown!$A$2:$D$4,4,FALSE)</f>
        <v>-</v>
      </c>
      <c r="P3" s="42" t="str">
        <f>VLOOKUP(Ueberblick428[[#This Row],[Symmetrieannahme]],Dropdown!$A$2:$D$4,4,FALSE)</f>
        <v>-</v>
      </c>
      <c r="Q3" s="42" t="str">
        <f>VLOOKUP(Ueberblick428[[#This Row],[Bereitstellungsalternative]],Dropdown!$A$2:$D$4,4,FALSE)</f>
        <v>-</v>
      </c>
      <c r="R3" s="8" t="s">
        <v>191</v>
      </c>
    </row>
    <row r="4" spans="1:18" x14ac:dyDescent="0.25">
      <c r="A4" s="6">
        <v>2</v>
      </c>
      <c r="B4" s="42" t="str">
        <f>VLOOKUP(Ueberblick428[[#This Row],[StV / Leistungen]],Dropdown!$A$2:$D$4,4,FALSE)</f>
        <v>-</v>
      </c>
      <c r="C4" s="42" t="str">
        <f>VLOOKUP(Ueberblick428[[#This Row],[Durchdringungsraten]],Dropdown!$A$2:$D$4,4,FALSE)</f>
        <v>-</v>
      </c>
      <c r="D4" s="42" t="str">
        <f>VLOOKUP(Ueberblick428[[#This Row],[Profile / Zeitverfügbarkeit]],Dropdown!$A$2:$D$4,4,FALSE)</f>
        <v>X</v>
      </c>
      <c r="E4" s="42" t="str">
        <f>VLOOKUP(Ueberblick428[[#This Row],[flex. Leistung]],Dropdown!$A$2:$D$4,4,FALSE)</f>
        <v>X</v>
      </c>
      <c r="F4" s="42" t="str">
        <f>VLOOKUP(Ueberblick428[[#This Row],[Zeitdauern]],Dropdown!$A$2:$D$4,4,FALSE)</f>
        <v>X</v>
      </c>
      <c r="G4" s="42" t="str">
        <f>VLOOKUP(Ueberblick428[[#This Row],[Abrufhäufigkeit]],Dropdown!$A$2:$D$4,4,FALSE)</f>
        <v>X</v>
      </c>
      <c r="H4" s="42" t="str">
        <f>VLOOKUP(Ueberblick428[[#This Row],[spez. Leistung / Verbräuche]],Dropdown!$A$2:$D$4,4,FALSE)</f>
        <v>-</v>
      </c>
      <c r="I4" s="42" t="str">
        <f>VLOOKUP(Ueberblick428[[#This Row],[(soziale) Akzeptanz]],Dropdown!$A$2:$D$4,4,FALSE)</f>
        <v>-</v>
      </c>
      <c r="J4" s="42" t="str">
        <f>VLOOKUP(Ueberblick428[[#This Row],[Prozesseignung]],Dropdown!$A$2:$D$4,4,FALSE)</f>
        <v>-</v>
      </c>
      <c r="K4" s="42" t="str">
        <f>VLOOKUP(Ueberblick428[[#This Row],[Kosten(entwicklung)]],Dropdown!$A$2:$D$4,4,FALSE)</f>
        <v>-</v>
      </c>
      <c r="L4" s="42" t="str">
        <f>VLOOKUP(Ueberblick428[[#This Row],[Potenzialentwicklung]],Dropdown!$A$2:$D$4,4,FALSE)</f>
        <v>-</v>
      </c>
      <c r="M4" s="42" t="str">
        <f>VLOOKUP(Ueberblick428[[#This Row],[Simulationsdaten]],Dropdown!$A$2:$D$4,4,FALSE)</f>
        <v>-</v>
      </c>
      <c r="N4" s="42" t="str">
        <f>VLOOKUP(Ueberblick428[[#This Row],[Erheblichkeitsschwelle]],Dropdown!$A$2:$D$4,4,FALSE)</f>
        <v>-</v>
      </c>
      <c r="O4" s="42" t="str">
        <f>VLOOKUP(Ueberblick428[[#This Row],[Annahmen Elektormobilität]],Dropdown!$A$2:$D$4,4,FALSE)</f>
        <v>-</v>
      </c>
      <c r="P4" s="42" t="str">
        <f>VLOOKUP(Ueberblick428[[#This Row],[Symmetrieannahme]],Dropdown!$A$2:$D$4,4,FALSE)</f>
        <v>-</v>
      </c>
      <c r="Q4" s="42" t="str">
        <f>VLOOKUP(Ueberblick428[[#This Row],[Bereitstellungsalternative]],Dropdown!$A$2:$D$4,4,FALSE)</f>
        <v>-</v>
      </c>
      <c r="R4" s="8" t="s">
        <v>815</v>
      </c>
    </row>
    <row r="5" spans="1:18" s="11" customFormat="1" x14ac:dyDescent="0.25">
      <c r="A5" s="6">
        <v>3</v>
      </c>
      <c r="B5" s="42" t="str">
        <f>VLOOKUP(Ueberblick428[[#This Row],[StV / Leistungen]],Dropdown!$A$2:$D$4,4,FALSE)</f>
        <v>-</v>
      </c>
      <c r="C5" s="42" t="str">
        <f>VLOOKUP(Ueberblick428[[#This Row],[Durchdringungsraten]],Dropdown!$A$2:$D$4,4,FALSE)</f>
        <v>-</v>
      </c>
      <c r="D5" s="42" t="str">
        <f>VLOOKUP(Ueberblick428[[#This Row],[Profile / Zeitverfügbarkeit]],Dropdown!$A$2:$D$4,4,FALSE)</f>
        <v>X</v>
      </c>
      <c r="E5" s="42" t="str">
        <f>VLOOKUP(Ueberblick428[[#This Row],[flex. Leistung]],Dropdown!$A$2:$D$4,4,FALSE)</f>
        <v>X</v>
      </c>
      <c r="F5" s="42" t="str">
        <f>VLOOKUP(Ueberblick428[[#This Row],[Zeitdauern]],Dropdown!$A$2:$D$4,4,FALSE)</f>
        <v>-</v>
      </c>
      <c r="G5" s="42" t="str">
        <f>VLOOKUP(Ueberblick428[[#This Row],[Abrufhäufigkeit]],Dropdown!$A$2:$D$4,4,FALSE)</f>
        <v>-</v>
      </c>
      <c r="H5" s="42" t="str">
        <f>VLOOKUP(Ueberblick428[[#This Row],[spez. Leistung / Verbräuche]],Dropdown!$A$2:$D$4,4,FALSE)</f>
        <v>-</v>
      </c>
      <c r="I5" s="42" t="str">
        <f>VLOOKUP(Ueberblick428[[#This Row],[(soziale) Akzeptanz]],Dropdown!$A$2:$D$4,4,FALSE)</f>
        <v>-</v>
      </c>
      <c r="J5" s="42" t="str">
        <f>VLOOKUP(Ueberblick428[[#This Row],[Prozesseignung]],Dropdown!$A$2:$D$4,4,FALSE)</f>
        <v>-</v>
      </c>
      <c r="K5" s="42" t="str">
        <f>VLOOKUP(Ueberblick428[[#This Row],[Kosten(entwicklung)]],Dropdown!$A$2:$D$4,4,FALSE)</f>
        <v>-</v>
      </c>
      <c r="L5" s="42" t="str">
        <f>VLOOKUP(Ueberblick428[[#This Row],[Potenzialentwicklung]],Dropdown!$A$2:$D$4,4,FALSE)</f>
        <v>-</v>
      </c>
      <c r="M5" s="42" t="str">
        <f>VLOOKUP(Ueberblick428[[#This Row],[Simulationsdaten]],Dropdown!$A$2:$D$4,4,FALSE)</f>
        <v>-</v>
      </c>
      <c r="N5" s="42" t="str">
        <f>VLOOKUP(Ueberblick428[[#This Row],[Erheblichkeitsschwelle]],Dropdown!$A$2:$D$4,4,FALSE)</f>
        <v>-</v>
      </c>
      <c r="O5" s="42" t="str">
        <f>VLOOKUP(Ueberblick428[[#This Row],[Annahmen Elektormobilität]],Dropdown!$A$2:$D$4,4,FALSE)</f>
        <v>-</v>
      </c>
      <c r="P5" s="42" t="str">
        <f>VLOOKUP(Ueberblick428[[#This Row],[Symmetrieannahme]],Dropdown!$A$2:$D$4,4,FALSE)</f>
        <v>-</v>
      </c>
      <c r="Q5" s="42" t="str">
        <f>VLOOKUP(Ueberblick428[[#This Row],[Bereitstellungsalternative]],Dropdown!$A$2:$D$4,4,FALSE)</f>
        <v>-</v>
      </c>
      <c r="R5" s="8" t="s">
        <v>375</v>
      </c>
    </row>
    <row r="6" spans="1:18" s="11" customFormat="1" x14ac:dyDescent="0.25">
      <c r="A6" s="6">
        <v>4</v>
      </c>
      <c r="B6" s="42" t="str">
        <f>VLOOKUP(Ueberblick428[[#This Row],[StV / Leistungen]],Dropdown!$A$2:$D$4,4,FALSE)</f>
        <v>-</v>
      </c>
      <c r="C6" s="42" t="str">
        <f>VLOOKUP(Ueberblick428[[#This Row],[Durchdringungsraten]],Dropdown!$A$2:$D$4,4,FALSE)</f>
        <v>-</v>
      </c>
      <c r="D6" s="42" t="str">
        <f>VLOOKUP(Ueberblick428[[#This Row],[Profile / Zeitverfügbarkeit]],Dropdown!$A$2:$D$4,4,FALSE)</f>
        <v>X</v>
      </c>
      <c r="E6" s="42" t="str">
        <f>VLOOKUP(Ueberblick428[[#This Row],[flex. Leistung]],Dropdown!$A$2:$D$4,4,FALSE)</f>
        <v>X</v>
      </c>
      <c r="F6" s="42" t="str">
        <f>VLOOKUP(Ueberblick428[[#This Row],[Zeitdauern]],Dropdown!$A$2:$D$4,4,FALSE)</f>
        <v>X</v>
      </c>
      <c r="G6" s="42" t="str">
        <f>VLOOKUP(Ueberblick428[[#This Row],[Abrufhäufigkeit]],Dropdown!$A$2:$D$4,4,FALSE)</f>
        <v>-</v>
      </c>
      <c r="H6" s="42" t="str">
        <f>VLOOKUP(Ueberblick428[[#This Row],[spez. Leistung / Verbräuche]],Dropdown!$A$2:$D$4,4,FALSE)</f>
        <v>X</v>
      </c>
      <c r="I6" s="42" t="str">
        <f>VLOOKUP(Ueberblick428[[#This Row],[(soziale) Akzeptanz]],Dropdown!$A$2:$D$4,4,FALSE)</f>
        <v>-</v>
      </c>
      <c r="J6" s="42" t="str">
        <f>VLOOKUP(Ueberblick428[[#This Row],[Prozesseignung]],Dropdown!$A$2:$D$4,4,FALSE)</f>
        <v>-</v>
      </c>
      <c r="K6" s="42" t="str">
        <f>VLOOKUP(Ueberblick428[[#This Row],[Kosten(entwicklung)]],Dropdown!$A$2:$D$4,4,FALSE)</f>
        <v>-</v>
      </c>
      <c r="L6" s="42" t="str">
        <f>VLOOKUP(Ueberblick428[[#This Row],[Potenzialentwicklung]],Dropdown!$A$2:$D$4,4,FALSE)</f>
        <v>-</v>
      </c>
      <c r="M6" s="42" t="str">
        <f>VLOOKUP(Ueberblick428[[#This Row],[Simulationsdaten]],Dropdown!$A$2:$D$4,4,FALSE)</f>
        <v>-</v>
      </c>
      <c r="N6" s="42" t="str">
        <f>VLOOKUP(Ueberblick428[[#This Row],[Erheblichkeitsschwelle]],Dropdown!$A$2:$D$4,4,FALSE)</f>
        <v>-</v>
      </c>
      <c r="O6" s="42" t="str">
        <f>VLOOKUP(Ueberblick428[[#This Row],[Annahmen Elektormobilität]],Dropdown!$A$2:$D$4,4,FALSE)</f>
        <v>-</v>
      </c>
      <c r="P6" s="42" t="str">
        <f>VLOOKUP(Ueberblick428[[#This Row],[Symmetrieannahme]],Dropdown!$A$2:$D$4,4,FALSE)</f>
        <v>-</v>
      </c>
      <c r="Q6" s="42" t="str">
        <f>VLOOKUP(Ueberblick428[[#This Row],[Bereitstellungsalternative]],Dropdown!$A$2:$D$4,4,FALSE)</f>
        <v>-</v>
      </c>
      <c r="R6" s="8" t="s">
        <v>306</v>
      </c>
    </row>
    <row r="7" spans="1:18" s="11" customFormat="1" x14ac:dyDescent="0.25">
      <c r="A7" s="6">
        <v>5</v>
      </c>
      <c r="B7" s="42" t="str">
        <f>VLOOKUP(Ueberblick428[[#This Row],[StV / Leistungen]],Dropdown!$A$2:$D$4,4,FALSE)</f>
        <v>-</v>
      </c>
      <c r="C7" s="42" t="str">
        <f>VLOOKUP(Ueberblick428[[#This Row],[Durchdringungsraten]],Dropdown!$A$2:$D$4,4,FALSE)</f>
        <v>X</v>
      </c>
      <c r="D7" s="42" t="str">
        <f>VLOOKUP(Ueberblick428[[#This Row],[Profile / Zeitverfügbarkeit]],Dropdown!$A$2:$D$4,4,FALSE)</f>
        <v>X</v>
      </c>
      <c r="E7" s="42" t="str">
        <f>VLOOKUP(Ueberblick428[[#This Row],[flex. Leistung]],Dropdown!$A$2:$D$4,4,FALSE)</f>
        <v>-</v>
      </c>
      <c r="F7" s="42" t="str">
        <f>VLOOKUP(Ueberblick428[[#This Row],[Zeitdauern]],Dropdown!$A$2:$D$4,4,FALSE)</f>
        <v>X</v>
      </c>
      <c r="G7" s="42" t="str">
        <f>VLOOKUP(Ueberblick428[[#This Row],[Abrufhäufigkeit]],Dropdown!$A$2:$D$4,4,FALSE)</f>
        <v>X</v>
      </c>
      <c r="H7" s="42" t="str">
        <f>VLOOKUP(Ueberblick428[[#This Row],[spez. Leistung / Verbräuche]],Dropdown!$A$2:$D$4,4,FALSE)</f>
        <v>-</v>
      </c>
      <c r="I7" s="42" t="str">
        <f>VLOOKUP(Ueberblick428[[#This Row],[(soziale) Akzeptanz]],Dropdown!$A$2:$D$4,4,FALSE)</f>
        <v>X</v>
      </c>
      <c r="J7" s="42" t="str">
        <f>VLOOKUP(Ueberblick428[[#This Row],[Prozesseignung]],Dropdown!$A$2:$D$4,4,FALSE)</f>
        <v>-</v>
      </c>
      <c r="K7" s="42" t="str">
        <f>VLOOKUP(Ueberblick428[[#This Row],[Kosten(entwicklung)]],Dropdown!$A$2:$D$4,4,FALSE)</f>
        <v>X</v>
      </c>
      <c r="L7" s="42" t="str">
        <f>VLOOKUP(Ueberblick428[[#This Row],[Potenzialentwicklung]],Dropdown!$A$2:$D$4,4,FALSE)</f>
        <v>-</v>
      </c>
      <c r="M7" s="42" t="str">
        <f>VLOOKUP(Ueberblick428[[#This Row],[Simulationsdaten]],Dropdown!$A$2:$D$4,4,FALSE)</f>
        <v>-</v>
      </c>
      <c r="N7" s="42" t="str">
        <f>VLOOKUP(Ueberblick428[[#This Row],[Erheblichkeitsschwelle]],Dropdown!$A$2:$D$4,4,FALSE)</f>
        <v>-</v>
      </c>
      <c r="O7" s="42" t="str">
        <f>VLOOKUP(Ueberblick428[[#This Row],[Annahmen Elektormobilität]],Dropdown!$A$2:$D$4,4,FALSE)</f>
        <v>-</v>
      </c>
      <c r="P7" s="42" t="str">
        <f>VLOOKUP(Ueberblick428[[#This Row],[Symmetrieannahme]],Dropdown!$A$2:$D$4,4,FALSE)</f>
        <v>-</v>
      </c>
      <c r="Q7" s="42" t="str">
        <f>VLOOKUP(Ueberblick428[[#This Row],[Bereitstellungsalternative]],Dropdown!$A$2:$D$4,4,FALSE)</f>
        <v>-</v>
      </c>
      <c r="R7" s="8" t="s">
        <v>263</v>
      </c>
    </row>
    <row r="8" spans="1:18" s="11" customFormat="1" x14ac:dyDescent="0.25">
      <c r="A8" s="6">
        <v>6</v>
      </c>
      <c r="B8" s="42" t="str">
        <f>VLOOKUP(Ueberblick428[[#This Row],[StV / Leistungen]],Dropdown!$A$2:$D$4,4,FALSE)</f>
        <v>-</v>
      </c>
      <c r="C8" s="42" t="str">
        <f>VLOOKUP(Ueberblick428[[#This Row],[Durchdringungsraten]],Dropdown!$A$2:$D$4,4,FALSE)</f>
        <v>X</v>
      </c>
      <c r="D8" s="42" t="str">
        <f>VLOOKUP(Ueberblick428[[#This Row],[Profile / Zeitverfügbarkeit]],Dropdown!$A$2:$D$4,4,FALSE)</f>
        <v>-</v>
      </c>
      <c r="E8" s="42" t="str">
        <f>VLOOKUP(Ueberblick428[[#This Row],[flex. Leistung]],Dropdown!$A$2:$D$4,4,FALSE)</f>
        <v>-</v>
      </c>
      <c r="F8" s="42" t="str">
        <f>VLOOKUP(Ueberblick428[[#This Row],[Zeitdauern]],Dropdown!$A$2:$D$4,4,FALSE)</f>
        <v>X</v>
      </c>
      <c r="G8" s="42" t="str">
        <f>VLOOKUP(Ueberblick428[[#This Row],[Abrufhäufigkeit]],Dropdown!$A$2:$D$4,4,FALSE)</f>
        <v>-</v>
      </c>
      <c r="H8" s="42" t="str">
        <f>VLOOKUP(Ueberblick428[[#This Row],[spez. Leistung / Verbräuche]],Dropdown!$A$2:$D$4,4,FALSE)</f>
        <v>-</v>
      </c>
      <c r="I8" s="42" t="str">
        <f>VLOOKUP(Ueberblick428[[#This Row],[(soziale) Akzeptanz]],Dropdown!$A$2:$D$4,4,FALSE)</f>
        <v>-</v>
      </c>
      <c r="J8" s="42" t="str">
        <f>VLOOKUP(Ueberblick428[[#This Row],[Prozesseignung]],Dropdown!$A$2:$D$4,4,FALSE)</f>
        <v>-</v>
      </c>
      <c r="K8" s="42" t="str">
        <f>VLOOKUP(Ueberblick428[[#This Row],[Kosten(entwicklung)]],Dropdown!$A$2:$D$4,4,FALSE)</f>
        <v>-</v>
      </c>
      <c r="L8" s="42" t="str">
        <f>VLOOKUP(Ueberblick428[[#This Row],[Potenzialentwicklung]],Dropdown!$A$2:$D$4,4,FALSE)</f>
        <v>-</v>
      </c>
      <c r="M8" s="42" t="str">
        <f>VLOOKUP(Ueberblick428[[#This Row],[Simulationsdaten]],Dropdown!$A$2:$D$4,4,FALSE)</f>
        <v>-</v>
      </c>
      <c r="N8" s="42" t="str">
        <f>VLOOKUP(Ueberblick428[[#This Row],[Erheblichkeitsschwelle]],Dropdown!$A$2:$D$4,4,FALSE)</f>
        <v>-</v>
      </c>
      <c r="O8" s="42" t="str">
        <f>VLOOKUP(Ueberblick428[[#This Row],[Annahmen Elektormobilität]],Dropdown!$A$2:$D$4,4,FALSE)</f>
        <v>-</v>
      </c>
      <c r="P8" s="42" t="str">
        <f>VLOOKUP(Ueberblick428[[#This Row],[Symmetrieannahme]],Dropdown!$A$2:$D$4,4,FALSE)</f>
        <v>-</v>
      </c>
      <c r="Q8" s="42" t="str">
        <f>VLOOKUP(Ueberblick428[[#This Row],[Bereitstellungsalternative]],Dropdown!$A$2:$D$4,4,FALSE)</f>
        <v>-</v>
      </c>
      <c r="R8" s="17" t="s">
        <v>361</v>
      </c>
    </row>
    <row r="9" spans="1:18" x14ac:dyDescent="0.25">
      <c r="A9" s="6">
        <v>7</v>
      </c>
      <c r="B9" s="42" t="str">
        <f>VLOOKUP(Ueberblick428[[#This Row],[StV / Leistungen]],Dropdown!$A$2:$D$4,4,FALSE)</f>
        <v>-</v>
      </c>
      <c r="C9" s="42" t="str">
        <f>VLOOKUP(Ueberblick428[[#This Row],[Durchdringungsraten]],Dropdown!$A$2:$D$4,4,FALSE)</f>
        <v>-</v>
      </c>
      <c r="D9" s="42" t="str">
        <f>VLOOKUP(Ueberblick428[[#This Row],[Profile / Zeitverfügbarkeit]],Dropdown!$A$2:$D$4,4,FALSE)</f>
        <v>-</v>
      </c>
      <c r="E9" s="42" t="str">
        <f>VLOOKUP(Ueberblick428[[#This Row],[flex. Leistung]],Dropdown!$A$2:$D$4,4,FALSE)</f>
        <v>-</v>
      </c>
      <c r="F9" s="42" t="str">
        <f>VLOOKUP(Ueberblick428[[#This Row],[Zeitdauern]],Dropdown!$A$2:$D$4,4,FALSE)</f>
        <v>-</v>
      </c>
      <c r="G9" s="42" t="str">
        <f>VLOOKUP(Ueberblick428[[#This Row],[Abrufhäufigkeit]],Dropdown!$A$2:$D$4,4,FALSE)</f>
        <v>-</v>
      </c>
      <c r="H9" s="42" t="str">
        <f>VLOOKUP(Ueberblick428[[#This Row],[spez. Leistung / Verbräuche]],Dropdown!$A$2:$D$4,4,FALSE)</f>
        <v>-</v>
      </c>
      <c r="I9" s="42" t="str">
        <f>VLOOKUP(Ueberblick428[[#This Row],[(soziale) Akzeptanz]],Dropdown!$A$2:$D$4,4,FALSE)</f>
        <v>-</v>
      </c>
      <c r="J9" s="42" t="str">
        <f>VLOOKUP(Ueberblick428[[#This Row],[Prozesseignung]],Dropdown!$A$2:$D$4,4,FALSE)</f>
        <v>X</v>
      </c>
      <c r="K9" s="42" t="str">
        <f>VLOOKUP(Ueberblick428[[#This Row],[Kosten(entwicklung)]],Dropdown!$A$2:$D$4,4,FALSE)</f>
        <v>-</v>
      </c>
      <c r="L9" s="42" t="str">
        <f>VLOOKUP(Ueberblick428[[#This Row],[Potenzialentwicklung]],Dropdown!$A$2:$D$4,4,FALSE)</f>
        <v>-</v>
      </c>
      <c r="M9" s="42" t="str">
        <f>VLOOKUP(Ueberblick428[[#This Row],[Simulationsdaten]],Dropdown!$A$2:$D$4,4,FALSE)</f>
        <v>-</v>
      </c>
      <c r="N9" s="42" t="str">
        <f>VLOOKUP(Ueberblick428[[#This Row],[Erheblichkeitsschwelle]],Dropdown!$A$2:$D$4,4,FALSE)</f>
        <v>-</v>
      </c>
      <c r="O9" s="42" t="str">
        <f>VLOOKUP(Ueberblick428[[#This Row],[Annahmen Elektormobilität]],Dropdown!$A$2:$D$4,4,FALSE)</f>
        <v>-</v>
      </c>
      <c r="P9" s="42" t="str">
        <f>VLOOKUP(Ueberblick428[[#This Row],[Symmetrieannahme]],Dropdown!$A$2:$D$4,4,FALSE)</f>
        <v>-</v>
      </c>
      <c r="Q9" s="42" t="str">
        <f>VLOOKUP(Ueberblick428[[#This Row],[Bereitstellungsalternative]],Dropdown!$A$2:$D$4,4,FALSE)</f>
        <v>-</v>
      </c>
      <c r="R9" s="17" t="s">
        <v>419</v>
      </c>
    </row>
    <row r="10" spans="1:18" x14ac:dyDescent="0.25">
      <c r="A10" s="6">
        <v>8</v>
      </c>
      <c r="B10" s="42" t="str">
        <f>VLOOKUP(Ueberblick428[[#This Row],[StV / Leistungen]],Dropdown!$A$2:$D$4,4,FALSE)</f>
        <v>-</v>
      </c>
      <c r="C10" s="42" t="str">
        <f>VLOOKUP(Ueberblick428[[#This Row],[Durchdringungsraten]],Dropdown!$A$2:$D$4,4,FALSE)</f>
        <v>-</v>
      </c>
      <c r="D10" s="42" t="str">
        <f>VLOOKUP(Ueberblick428[[#This Row],[Profile / Zeitverfügbarkeit]],Dropdown!$A$2:$D$4,4,FALSE)</f>
        <v>X</v>
      </c>
      <c r="E10" s="42" t="str">
        <f>VLOOKUP(Ueberblick428[[#This Row],[flex. Leistung]],Dropdown!$A$2:$D$4,4,FALSE)</f>
        <v>-</v>
      </c>
      <c r="F10" s="42" t="str">
        <f>VLOOKUP(Ueberblick428[[#This Row],[Zeitdauern]],Dropdown!$A$2:$D$4,4,FALSE)</f>
        <v>X</v>
      </c>
      <c r="G10" s="42" t="str">
        <f>VLOOKUP(Ueberblick428[[#This Row],[Abrufhäufigkeit]],Dropdown!$A$2:$D$4,4,FALSE)</f>
        <v>-</v>
      </c>
      <c r="H10" s="42" t="str">
        <f>VLOOKUP(Ueberblick428[[#This Row],[spez. Leistung / Verbräuche]],Dropdown!$A$2:$D$4,4,FALSE)</f>
        <v>-</v>
      </c>
      <c r="I10" s="42" t="str">
        <f>VLOOKUP(Ueberblick428[[#This Row],[(soziale) Akzeptanz]],Dropdown!$A$2:$D$4,4,FALSE)</f>
        <v>-</v>
      </c>
      <c r="J10" s="42" t="str">
        <f>VLOOKUP(Ueberblick428[[#This Row],[Prozesseignung]],Dropdown!$A$2:$D$4,4,FALSE)</f>
        <v>-</v>
      </c>
      <c r="K10" s="42" t="str">
        <f>VLOOKUP(Ueberblick428[[#This Row],[Kosten(entwicklung)]],Dropdown!$A$2:$D$4,4,FALSE)</f>
        <v>X</v>
      </c>
      <c r="L10" s="42" t="str">
        <f>VLOOKUP(Ueberblick428[[#This Row],[Potenzialentwicklung]],Dropdown!$A$2:$D$4,4,FALSE)</f>
        <v>X</v>
      </c>
      <c r="M10" s="42" t="str">
        <f>VLOOKUP(Ueberblick428[[#This Row],[Simulationsdaten]],Dropdown!$A$2:$D$4,4,FALSE)</f>
        <v>-</v>
      </c>
      <c r="N10" s="42" t="str">
        <f>VLOOKUP(Ueberblick428[[#This Row],[Erheblichkeitsschwelle]],Dropdown!$A$2:$D$4,4,FALSE)</f>
        <v>-</v>
      </c>
      <c r="O10" s="42" t="str">
        <f>VLOOKUP(Ueberblick428[[#This Row],[Annahmen Elektormobilität]],Dropdown!$A$2:$D$4,4,FALSE)</f>
        <v>-</v>
      </c>
      <c r="P10" s="42" t="str">
        <f>VLOOKUP(Ueberblick428[[#This Row],[Symmetrieannahme]],Dropdown!$A$2:$D$4,4,FALSE)</f>
        <v>-</v>
      </c>
      <c r="Q10" s="42" t="str">
        <f>VLOOKUP(Ueberblick428[[#This Row],[Bereitstellungsalternative]],Dropdown!$A$2:$D$4,4,FALSE)</f>
        <v>-</v>
      </c>
      <c r="R10" s="8" t="s">
        <v>284</v>
      </c>
    </row>
    <row r="11" spans="1:18" s="11" customFormat="1" x14ac:dyDescent="0.25">
      <c r="A11" s="6">
        <v>9</v>
      </c>
      <c r="B11" s="42" t="str">
        <f>VLOOKUP(Ueberblick428[[#This Row],[StV / Leistungen]],Dropdown!$A$2:$D$4,4,FALSE)</f>
        <v>-</v>
      </c>
      <c r="C11" s="42" t="str">
        <f>VLOOKUP(Ueberblick428[[#This Row],[Durchdringungsraten]],Dropdown!$A$2:$D$4,4,FALSE)</f>
        <v>X</v>
      </c>
      <c r="D11" s="42" t="str">
        <f>VLOOKUP(Ueberblick428[[#This Row],[Profile / Zeitverfügbarkeit]],Dropdown!$A$2:$D$4,4,FALSE)</f>
        <v>-</v>
      </c>
      <c r="E11" s="42" t="str">
        <f>VLOOKUP(Ueberblick428[[#This Row],[flex. Leistung]],Dropdown!$A$2:$D$4,4,FALSE)</f>
        <v>-</v>
      </c>
      <c r="F11" s="42" t="str">
        <f>VLOOKUP(Ueberblick428[[#This Row],[Zeitdauern]],Dropdown!$A$2:$D$4,4,FALSE)</f>
        <v>-</v>
      </c>
      <c r="G11" s="42" t="str">
        <f>VLOOKUP(Ueberblick428[[#This Row],[Abrufhäufigkeit]],Dropdown!$A$2:$D$4,4,FALSE)</f>
        <v>-</v>
      </c>
      <c r="H11" s="42" t="str">
        <f>VLOOKUP(Ueberblick428[[#This Row],[spez. Leistung / Verbräuche]],Dropdown!$A$2:$D$4,4,FALSE)</f>
        <v>-</v>
      </c>
      <c r="I11" s="42" t="str">
        <f>VLOOKUP(Ueberblick428[[#This Row],[(soziale) Akzeptanz]],Dropdown!$A$2:$D$4,4,FALSE)</f>
        <v>X</v>
      </c>
      <c r="J11" s="42" t="str">
        <f>VLOOKUP(Ueberblick428[[#This Row],[Prozesseignung]],Dropdown!$A$2:$D$4,4,FALSE)</f>
        <v>-</v>
      </c>
      <c r="K11" s="42" t="str">
        <f>VLOOKUP(Ueberblick428[[#This Row],[Kosten(entwicklung)]],Dropdown!$A$2:$D$4,4,FALSE)</f>
        <v>-</v>
      </c>
      <c r="L11" s="42" t="str">
        <f>VLOOKUP(Ueberblick428[[#This Row],[Potenzialentwicklung]],Dropdown!$A$2:$D$4,4,FALSE)</f>
        <v>-</v>
      </c>
      <c r="M11" s="42" t="str">
        <f>VLOOKUP(Ueberblick428[[#This Row],[Simulationsdaten]],Dropdown!$A$2:$D$4,4,FALSE)</f>
        <v>X</v>
      </c>
      <c r="N11" s="42" t="str">
        <f>VLOOKUP(Ueberblick428[[#This Row],[Erheblichkeitsschwelle]],Dropdown!$A$2:$D$4,4,FALSE)</f>
        <v>-</v>
      </c>
      <c r="O11" s="42" t="str">
        <f>VLOOKUP(Ueberblick428[[#This Row],[Annahmen Elektormobilität]],Dropdown!$A$2:$D$4,4,FALSE)</f>
        <v>-</v>
      </c>
      <c r="P11" s="42" t="str">
        <f>VLOOKUP(Ueberblick428[[#This Row],[Symmetrieannahme]],Dropdown!$A$2:$D$4,4,FALSE)</f>
        <v>-</v>
      </c>
      <c r="Q11" s="42" t="str">
        <f>VLOOKUP(Ueberblick428[[#This Row],[Bereitstellungsalternative]],Dropdown!$A$2:$D$4,4,FALSE)</f>
        <v>-</v>
      </c>
      <c r="R11" s="8" t="s">
        <v>396</v>
      </c>
    </row>
    <row r="12" spans="1:18" s="11" customFormat="1" x14ac:dyDescent="0.25">
      <c r="A12" s="6">
        <v>10</v>
      </c>
      <c r="B12" s="42" t="str">
        <f>VLOOKUP(Ueberblick428[[#This Row],[StV / Leistungen]],Dropdown!$A$2:$D$4,4,FALSE)</f>
        <v>X</v>
      </c>
      <c r="C12" s="42" t="str">
        <f>VLOOKUP(Ueberblick428[[#This Row],[Durchdringungsraten]],Dropdown!$A$2:$D$4,4,FALSE)</f>
        <v>-</v>
      </c>
      <c r="D12" s="42" t="str">
        <f>VLOOKUP(Ueberblick428[[#This Row],[Profile / Zeitverfügbarkeit]],Dropdown!$A$2:$D$4,4,FALSE)</f>
        <v>-</v>
      </c>
      <c r="E12" s="42" t="str">
        <f>VLOOKUP(Ueberblick428[[#This Row],[flex. Leistung]],Dropdown!$A$2:$D$4,4,FALSE)</f>
        <v>-</v>
      </c>
      <c r="F12" s="42" t="str">
        <f>VLOOKUP(Ueberblick428[[#This Row],[Zeitdauern]],Dropdown!$A$2:$D$4,4,FALSE)</f>
        <v>-</v>
      </c>
      <c r="G12" s="42" t="str">
        <f>VLOOKUP(Ueberblick428[[#This Row],[Abrufhäufigkeit]],Dropdown!$A$2:$D$4,4,FALSE)</f>
        <v>-</v>
      </c>
      <c r="H12" s="42" t="str">
        <f>VLOOKUP(Ueberblick428[[#This Row],[spez. Leistung / Verbräuche]],Dropdown!$A$2:$D$4,4,FALSE)</f>
        <v>-</v>
      </c>
      <c r="I12" s="42" t="str">
        <f>VLOOKUP(Ueberblick428[[#This Row],[(soziale) Akzeptanz]],Dropdown!$A$2:$D$4,4,FALSE)</f>
        <v>-</v>
      </c>
      <c r="J12" s="42" t="str">
        <f>VLOOKUP(Ueberblick428[[#This Row],[Prozesseignung]],Dropdown!$A$2:$D$4,4,FALSE)</f>
        <v>-</v>
      </c>
      <c r="K12" s="42" t="str">
        <f>VLOOKUP(Ueberblick428[[#This Row],[Kosten(entwicklung)]],Dropdown!$A$2:$D$4,4,FALSE)</f>
        <v>-</v>
      </c>
      <c r="L12" s="42" t="str">
        <f>VLOOKUP(Ueberblick428[[#This Row],[Potenzialentwicklung]],Dropdown!$A$2:$D$4,4,FALSE)</f>
        <v>-</v>
      </c>
      <c r="M12" s="42" t="str">
        <f>VLOOKUP(Ueberblick428[[#This Row],[Simulationsdaten]],Dropdown!$A$2:$D$4,4,FALSE)</f>
        <v>-</v>
      </c>
      <c r="N12" s="42" t="str">
        <f>VLOOKUP(Ueberblick428[[#This Row],[Erheblichkeitsschwelle]],Dropdown!$A$2:$D$4,4,FALSE)</f>
        <v>-</v>
      </c>
      <c r="O12" s="42" t="str">
        <f>VLOOKUP(Ueberblick428[[#This Row],[Annahmen Elektormobilität]],Dropdown!$A$2:$D$4,4,FALSE)</f>
        <v>-</v>
      </c>
      <c r="P12" s="42" t="str">
        <f>VLOOKUP(Ueberblick428[[#This Row],[Symmetrieannahme]],Dropdown!$A$2:$D$4,4,FALSE)</f>
        <v>-</v>
      </c>
      <c r="Q12" s="42" t="str">
        <f>VLOOKUP(Ueberblick428[[#This Row],[Bereitstellungsalternative]],Dropdown!$A$2:$D$4,4,FALSE)</f>
        <v>-</v>
      </c>
      <c r="R12" s="8" t="s">
        <v>385</v>
      </c>
    </row>
    <row r="13" spans="1:18" x14ac:dyDescent="0.25">
      <c r="A13" s="6">
        <v>11</v>
      </c>
      <c r="B13" s="42" t="str">
        <f>VLOOKUP(Ueberblick428[[#This Row],[StV / Leistungen]],Dropdown!$A$2:$D$4,4,FALSE)</f>
        <v>-</v>
      </c>
      <c r="C13" s="42" t="str">
        <f>VLOOKUP(Ueberblick428[[#This Row],[Durchdringungsraten]],Dropdown!$A$2:$D$4,4,FALSE)</f>
        <v>-</v>
      </c>
      <c r="D13" s="42" t="str">
        <f>VLOOKUP(Ueberblick428[[#This Row],[Profile / Zeitverfügbarkeit]],Dropdown!$A$2:$D$4,4,FALSE)</f>
        <v>X</v>
      </c>
      <c r="E13" s="42" t="str">
        <f>VLOOKUP(Ueberblick428[[#This Row],[flex. Leistung]],Dropdown!$A$2:$D$4,4,FALSE)</f>
        <v>X</v>
      </c>
      <c r="F13" s="42" t="str">
        <f>VLOOKUP(Ueberblick428[[#This Row],[Zeitdauern]],Dropdown!$A$2:$D$4,4,FALSE)</f>
        <v>-</v>
      </c>
      <c r="G13" s="42" t="str">
        <f>VLOOKUP(Ueberblick428[[#This Row],[Abrufhäufigkeit]],Dropdown!$A$2:$D$4,4,FALSE)</f>
        <v>-</v>
      </c>
      <c r="H13" s="42" t="str">
        <f>VLOOKUP(Ueberblick428[[#This Row],[spez. Leistung / Verbräuche]],Dropdown!$A$2:$D$4,4,FALSE)</f>
        <v>-</v>
      </c>
      <c r="I13" s="42" t="str">
        <f>VLOOKUP(Ueberblick428[[#This Row],[(soziale) Akzeptanz]],Dropdown!$A$2:$D$4,4,FALSE)</f>
        <v>-</v>
      </c>
      <c r="J13" s="42" t="str">
        <f>VLOOKUP(Ueberblick428[[#This Row],[Prozesseignung]],Dropdown!$A$2:$D$4,4,FALSE)</f>
        <v>-</v>
      </c>
      <c r="K13" s="42" t="str">
        <f>VLOOKUP(Ueberblick428[[#This Row],[Kosten(entwicklung)]],Dropdown!$A$2:$D$4,4,FALSE)</f>
        <v>-</v>
      </c>
      <c r="L13" s="42" t="str">
        <f>VLOOKUP(Ueberblick428[[#This Row],[Potenzialentwicklung]],Dropdown!$A$2:$D$4,4,FALSE)</f>
        <v>X</v>
      </c>
      <c r="M13" s="42" t="str">
        <f>VLOOKUP(Ueberblick428[[#This Row],[Simulationsdaten]],Dropdown!$A$2:$D$4,4,FALSE)</f>
        <v>-</v>
      </c>
      <c r="N13" s="42" t="str">
        <f>VLOOKUP(Ueberblick428[[#This Row],[Erheblichkeitsschwelle]],Dropdown!$A$2:$D$4,4,FALSE)</f>
        <v>-</v>
      </c>
      <c r="O13" s="42" t="str">
        <f>VLOOKUP(Ueberblick428[[#This Row],[Annahmen Elektormobilität]],Dropdown!$A$2:$D$4,4,FALSE)</f>
        <v>-</v>
      </c>
      <c r="P13" s="42" t="str">
        <f>VLOOKUP(Ueberblick428[[#This Row],[Symmetrieannahme]],Dropdown!$A$2:$D$4,4,FALSE)</f>
        <v>-</v>
      </c>
      <c r="Q13" s="42" t="str">
        <f>VLOOKUP(Ueberblick428[[#This Row],[Bereitstellungsalternative]],Dropdown!$A$2:$D$4,4,FALSE)</f>
        <v>-</v>
      </c>
      <c r="R13" s="8" t="s">
        <v>117</v>
      </c>
    </row>
    <row r="14" spans="1:18" s="11" customFormat="1" x14ac:dyDescent="0.25">
      <c r="A14" s="6">
        <v>12</v>
      </c>
      <c r="B14" s="42" t="str">
        <f>VLOOKUP(Ueberblick428[[#This Row],[StV / Leistungen]],Dropdown!$A$2:$D$4,4,FALSE)</f>
        <v>-</v>
      </c>
      <c r="C14" s="42" t="str">
        <f>VLOOKUP(Ueberblick428[[#This Row],[Durchdringungsraten]],Dropdown!$A$2:$D$4,4,FALSE)</f>
        <v>-</v>
      </c>
      <c r="D14" s="42" t="str">
        <f>VLOOKUP(Ueberblick428[[#This Row],[Profile / Zeitverfügbarkeit]],Dropdown!$A$2:$D$4,4,FALSE)</f>
        <v>X</v>
      </c>
      <c r="E14" s="42" t="str">
        <f>VLOOKUP(Ueberblick428[[#This Row],[flex. Leistung]],Dropdown!$A$2:$D$4,4,FALSE)</f>
        <v>-</v>
      </c>
      <c r="F14" s="42" t="str">
        <f>VLOOKUP(Ueberblick428[[#This Row],[Zeitdauern]],Dropdown!$A$2:$D$4,4,FALSE)</f>
        <v>-</v>
      </c>
      <c r="G14" s="42" t="str">
        <f>VLOOKUP(Ueberblick428[[#This Row],[Abrufhäufigkeit]],Dropdown!$A$2:$D$4,4,FALSE)</f>
        <v>-</v>
      </c>
      <c r="H14" s="42" t="str">
        <f>VLOOKUP(Ueberblick428[[#This Row],[spez. Leistung / Verbräuche]],Dropdown!$A$2:$D$4,4,FALSE)</f>
        <v>-</v>
      </c>
      <c r="I14" s="42" t="str">
        <f>VLOOKUP(Ueberblick428[[#This Row],[(soziale) Akzeptanz]],Dropdown!$A$2:$D$4,4,FALSE)</f>
        <v>-</v>
      </c>
      <c r="J14" s="42" t="str">
        <f>VLOOKUP(Ueberblick428[[#This Row],[Prozesseignung]],Dropdown!$A$2:$D$4,4,FALSE)</f>
        <v>-</v>
      </c>
      <c r="K14" s="42" t="str">
        <f>VLOOKUP(Ueberblick428[[#This Row],[Kosten(entwicklung)]],Dropdown!$A$2:$D$4,4,FALSE)</f>
        <v>X</v>
      </c>
      <c r="L14" s="42" t="str">
        <f>VLOOKUP(Ueberblick428[[#This Row],[Potenzialentwicklung]],Dropdown!$A$2:$D$4,4,FALSE)</f>
        <v>-</v>
      </c>
      <c r="M14" s="42" t="str">
        <f>VLOOKUP(Ueberblick428[[#This Row],[Simulationsdaten]],Dropdown!$A$2:$D$4,4,FALSE)</f>
        <v>-</v>
      </c>
      <c r="N14" s="42" t="str">
        <f>VLOOKUP(Ueberblick428[[#This Row],[Erheblichkeitsschwelle]],Dropdown!$A$2:$D$4,4,FALSE)</f>
        <v>X</v>
      </c>
      <c r="O14" s="42" t="str">
        <f>VLOOKUP(Ueberblick428[[#This Row],[Annahmen Elektormobilität]],Dropdown!$A$2:$D$4,4,FALSE)</f>
        <v>-</v>
      </c>
      <c r="P14" s="42" t="str">
        <f>VLOOKUP(Ueberblick428[[#This Row],[Symmetrieannahme]],Dropdown!$A$2:$D$4,4,FALSE)</f>
        <v>-</v>
      </c>
      <c r="Q14" s="42" t="str">
        <f>VLOOKUP(Ueberblick428[[#This Row],[Bereitstellungsalternative]],Dropdown!$A$2:$D$4,4,FALSE)</f>
        <v>-</v>
      </c>
      <c r="R14" s="8" t="s">
        <v>212</v>
      </c>
    </row>
    <row r="15" spans="1:18" x14ac:dyDescent="0.25">
      <c r="A15" s="6">
        <v>13</v>
      </c>
      <c r="B15" s="42" t="str">
        <f>VLOOKUP(Ueberblick428[[#This Row],[StV / Leistungen]],Dropdown!$A$2:$D$4,4,FALSE)</f>
        <v>-</v>
      </c>
      <c r="C15" s="42" t="str">
        <f>VLOOKUP(Ueberblick428[[#This Row],[Durchdringungsraten]],Dropdown!$A$2:$D$4,4,FALSE)</f>
        <v>-</v>
      </c>
      <c r="D15" s="42" t="str">
        <f>VLOOKUP(Ueberblick428[[#This Row],[Profile / Zeitverfügbarkeit]],Dropdown!$A$2:$D$4,4,FALSE)</f>
        <v>-</v>
      </c>
      <c r="E15" s="42" t="str">
        <f>VLOOKUP(Ueberblick428[[#This Row],[flex. Leistung]],Dropdown!$A$2:$D$4,4,FALSE)</f>
        <v>-</v>
      </c>
      <c r="F15" s="42" t="str">
        <f>VLOOKUP(Ueberblick428[[#This Row],[Zeitdauern]],Dropdown!$A$2:$D$4,4,FALSE)</f>
        <v>-</v>
      </c>
      <c r="G15" s="42" t="str">
        <f>VLOOKUP(Ueberblick428[[#This Row],[Abrufhäufigkeit]],Dropdown!$A$2:$D$4,4,FALSE)</f>
        <v>-</v>
      </c>
      <c r="H15" s="42" t="str">
        <f>VLOOKUP(Ueberblick428[[#This Row],[spez. Leistung / Verbräuche]],Dropdown!$A$2:$D$4,4,FALSE)</f>
        <v>-</v>
      </c>
      <c r="I15" s="42" t="str">
        <f>VLOOKUP(Ueberblick428[[#This Row],[(soziale) Akzeptanz]],Dropdown!$A$2:$D$4,4,FALSE)</f>
        <v>X</v>
      </c>
      <c r="J15" s="42" t="str">
        <f>VLOOKUP(Ueberblick428[[#This Row],[Prozesseignung]],Dropdown!$A$2:$D$4,4,FALSE)</f>
        <v>-</v>
      </c>
      <c r="K15" s="42" t="str">
        <f>VLOOKUP(Ueberblick428[[#This Row],[Kosten(entwicklung)]],Dropdown!$A$2:$D$4,4,FALSE)</f>
        <v>-</v>
      </c>
      <c r="L15" s="42" t="str">
        <f>VLOOKUP(Ueberblick428[[#This Row],[Potenzialentwicklung]],Dropdown!$A$2:$D$4,4,FALSE)</f>
        <v>-</v>
      </c>
      <c r="M15" s="42" t="str">
        <f>VLOOKUP(Ueberblick428[[#This Row],[Simulationsdaten]],Dropdown!$A$2:$D$4,4,FALSE)</f>
        <v>-</v>
      </c>
      <c r="N15" s="42" t="str">
        <f>VLOOKUP(Ueberblick428[[#This Row],[Erheblichkeitsschwelle]],Dropdown!$A$2:$D$4,4,FALSE)</f>
        <v>-</v>
      </c>
      <c r="O15" s="42" t="str">
        <f>VLOOKUP(Ueberblick428[[#This Row],[Annahmen Elektormobilität]],Dropdown!$A$2:$D$4,4,FALSE)</f>
        <v>-</v>
      </c>
      <c r="P15" s="42" t="str">
        <f>VLOOKUP(Ueberblick428[[#This Row],[Symmetrieannahme]],Dropdown!$A$2:$D$4,4,FALSE)</f>
        <v>-</v>
      </c>
      <c r="Q15" s="42" t="str">
        <f>VLOOKUP(Ueberblick428[[#This Row],[Bereitstellungsalternative]],Dropdown!$A$2:$D$4,4,FALSE)</f>
        <v>-</v>
      </c>
      <c r="R15" s="8">
        <v>32</v>
      </c>
    </row>
    <row r="16" spans="1:18" s="11" customFormat="1" x14ac:dyDescent="0.25">
      <c r="A16" s="6">
        <v>14</v>
      </c>
      <c r="B16" s="42" t="str">
        <f>VLOOKUP(Ueberblick428[[#This Row],[StV / Leistungen]],Dropdown!$A$2:$D$4,4,FALSE)</f>
        <v>X</v>
      </c>
      <c r="C16" s="42" t="str">
        <f>VLOOKUP(Ueberblick428[[#This Row],[Durchdringungsraten]],Dropdown!$A$2:$D$4,4,FALSE)</f>
        <v>X</v>
      </c>
      <c r="D16" s="42" t="str">
        <f>VLOOKUP(Ueberblick428[[#This Row],[Profile / Zeitverfügbarkeit]],Dropdown!$A$2:$D$4,4,FALSE)</f>
        <v>X</v>
      </c>
      <c r="E16" s="42" t="str">
        <f>VLOOKUP(Ueberblick428[[#This Row],[flex. Leistung]],Dropdown!$A$2:$D$4,4,FALSE)</f>
        <v>-</v>
      </c>
      <c r="F16" s="42" t="str">
        <f>VLOOKUP(Ueberblick428[[#This Row],[Zeitdauern]],Dropdown!$A$2:$D$4,4,FALSE)</f>
        <v>X</v>
      </c>
      <c r="G16" s="42" t="str">
        <f>VLOOKUP(Ueberblick428[[#This Row],[Abrufhäufigkeit]],Dropdown!$A$2:$D$4,4,FALSE)</f>
        <v>X</v>
      </c>
      <c r="H16" s="42" t="str">
        <f>VLOOKUP(Ueberblick428[[#This Row],[spez. Leistung / Verbräuche]],Dropdown!$A$2:$D$4,4,FALSE)</f>
        <v>X</v>
      </c>
      <c r="I16" s="42" t="str">
        <f>VLOOKUP(Ueberblick428[[#This Row],[(soziale) Akzeptanz]],Dropdown!$A$2:$D$4,4,FALSE)</f>
        <v>-</v>
      </c>
      <c r="J16" s="42" t="str">
        <f>VLOOKUP(Ueberblick428[[#This Row],[Prozesseignung]],Dropdown!$A$2:$D$4,4,FALSE)</f>
        <v>-</v>
      </c>
      <c r="K16" s="42" t="str">
        <f>VLOOKUP(Ueberblick428[[#This Row],[Kosten(entwicklung)]],Dropdown!$A$2:$D$4,4,FALSE)</f>
        <v>X</v>
      </c>
      <c r="L16" s="42" t="str">
        <f>VLOOKUP(Ueberblick428[[#This Row],[Potenzialentwicklung]],Dropdown!$A$2:$D$4,4,FALSE)</f>
        <v>X</v>
      </c>
      <c r="M16" s="42" t="str">
        <f>VLOOKUP(Ueberblick428[[#This Row],[Simulationsdaten]],Dropdown!$A$2:$D$4,4,FALSE)</f>
        <v>-</v>
      </c>
      <c r="N16" s="42" t="str">
        <f>VLOOKUP(Ueberblick428[[#This Row],[Erheblichkeitsschwelle]],Dropdown!$A$2:$D$4,4,FALSE)</f>
        <v>-</v>
      </c>
      <c r="O16" s="42" t="str">
        <f>VLOOKUP(Ueberblick428[[#This Row],[Annahmen Elektormobilität]],Dropdown!$A$2:$D$4,4,FALSE)</f>
        <v>X</v>
      </c>
      <c r="P16" s="42" t="str">
        <f>VLOOKUP(Ueberblick428[[#This Row],[Symmetrieannahme]],Dropdown!$A$2:$D$4,4,FALSE)</f>
        <v>X</v>
      </c>
      <c r="Q16" s="42" t="str">
        <f>VLOOKUP(Ueberblick428[[#This Row],[Bereitstellungsalternative]],Dropdown!$A$2:$D$4,4,FALSE)</f>
        <v>X</v>
      </c>
      <c r="R16" s="8" t="s">
        <v>795</v>
      </c>
    </row>
    <row r="17" spans="1:18" x14ac:dyDescent="0.25">
      <c r="A17" s="6">
        <v>15</v>
      </c>
      <c r="B17" s="42" t="str">
        <f>VLOOKUP(Ueberblick428[[#This Row],[StV / Leistungen]],Dropdown!$A$2:$D$4,4,FALSE)</f>
        <v>-</v>
      </c>
      <c r="C17" s="42" t="str">
        <f>VLOOKUP(Ueberblick428[[#This Row],[Durchdringungsraten]],Dropdown!$A$2:$D$4,4,FALSE)</f>
        <v>-</v>
      </c>
      <c r="D17" s="42" t="str">
        <f>VLOOKUP(Ueberblick428[[#This Row],[Profile / Zeitverfügbarkeit]],Dropdown!$A$2:$D$4,4,FALSE)</f>
        <v>-</v>
      </c>
      <c r="E17" s="42" t="str">
        <f>VLOOKUP(Ueberblick428[[#This Row],[flex. Leistung]],Dropdown!$A$2:$D$4,4,FALSE)</f>
        <v>-</v>
      </c>
      <c r="F17" s="42" t="str">
        <f>VLOOKUP(Ueberblick428[[#This Row],[Zeitdauern]],Dropdown!$A$2:$D$4,4,FALSE)</f>
        <v>-</v>
      </c>
      <c r="G17" s="42" t="str">
        <f>VLOOKUP(Ueberblick428[[#This Row],[Abrufhäufigkeit]],Dropdown!$A$2:$D$4,4,FALSE)</f>
        <v>-</v>
      </c>
      <c r="H17" s="42" t="str">
        <f>VLOOKUP(Ueberblick428[[#This Row],[spez. Leistung / Verbräuche]],Dropdown!$A$2:$D$4,4,FALSE)</f>
        <v>-</v>
      </c>
      <c r="I17" s="42" t="str">
        <f>VLOOKUP(Ueberblick428[[#This Row],[(soziale) Akzeptanz]],Dropdown!$A$2:$D$4,4,FALSE)</f>
        <v>X</v>
      </c>
      <c r="J17" s="42" t="str">
        <f>VLOOKUP(Ueberblick428[[#This Row],[Prozesseignung]],Dropdown!$A$2:$D$4,4,FALSE)</f>
        <v>-</v>
      </c>
      <c r="K17" s="42" t="str">
        <f>VLOOKUP(Ueberblick428[[#This Row],[Kosten(entwicklung)]],Dropdown!$A$2:$D$4,4,FALSE)</f>
        <v>X</v>
      </c>
      <c r="L17" s="42" t="str">
        <f>VLOOKUP(Ueberblick428[[#This Row],[Potenzialentwicklung]],Dropdown!$A$2:$D$4,4,FALSE)</f>
        <v>-</v>
      </c>
      <c r="M17" s="42" t="str">
        <f>VLOOKUP(Ueberblick428[[#This Row],[Simulationsdaten]],Dropdown!$A$2:$D$4,4,FALSE)</f>
        <v>-</v>
      </c>
      <c r="N17" s="42" t="str">
        <f>VLOOKUP(Ueberblick428[[#This Row],[Erheblichkeitsschwelle]],Dropdown!$A$2:$D$4,4,FALSE)</f>
        <v>-</v>
      </c>
      <c r="O17" s="42" t="str">
        <f>VLOOKUP(Ueberblick428[[#This Row],[Annahmen Elektormobilität]],Dropdown!$A$2:$D$4,4,FALSE)</f>
        <v>-</v>
      </c>
      <c r="P17" s="42" t="str">
        <f>VLOOKUP(Ueberblick428[[#This Row],[Symmetrieannahme]],Dropdown!$A$2:$D$4,4,FALSE)</f>
        <v>-</v>
      </c>
      <c r="Q17" s="42" t="str">
        <f>VLOOKUP(Ueberblick428[[#This Row],[Bereitstellungsalternative]],Dropdown!$A$2:$D$4,4,FALSE)</f>
        <v>-</v>
      </c>
      <c r="R17" s="8" t="s">
        <v>242</v>
      </c>
    </row>
    <row r="18" spans="1:18" s="11" customFormat="1" x14ac:dyDescent="0.25">
      <c r="A18" s="6">
        <v>16</v>
      </c>
      <c r="B18" s="42" t="str">
        <f>VLOOKUP(Ueberblick428[[#This Row],[StV / Leistungen]],Dropdown!$A$2:$D$4,4,FALSE)</f>
        <v>-</v>
      </c>
      <c r="C18" s="42" t="str">
        <f>VLOOKUP(Ueberblick428[[#This Row],[Durchdringungsraten]],Dropdown!$A$2:$D$4,4,FALSE)</f>
        <v>X</v>
      </c>
      <c r="D18" s="42" t="str">
        <f>VLOOKUP(Ueberblick428[[#This Row],[Profile / Zeitverfügbarkeit]],Dropdown!$A$2:$D$4,4,FALSE)</f>
        <v>-</v>
      </c>
      <c r="E18" s="42" t="str">
        <f>VLOOKUP(Ueberblick428[[#This Row],[flex. Leistung]],Dropdown!$A$2:$D$4,4,FALSE)</f>
        <v>-</v>
      </c>
      <c r="F18" s="42" t="str">
        <f>VLOOKUP(Ueberblick428[[#This Row],[Zeitdauern]],Dropdown!$A$2:$D$4,4,FALSE)</f>
        <v>-</v>
      </c>
      <c r="G18" s="42" t="str">
        <f>VLOOKUP(Ueberblick428[[#This Row],[Abrufhäufigkeit]],Dropdown!$A$2:$D$4,4,FALSE)</f>
        <v>-</v>
      </c>
      <c r="H18" s="42" t="str">
        <f>VLOOKUP(Ueberblick428[[#This Row],[spez. Leistung / Verbräuche]],Dropdown!$A$2:$D$4,4,FALSE)</f>
        <v>-</v>
      </c>
      <c r="I18" s="42" t="str">
        <f>VLOOKUP(Ueberblick428[[#This Row],[(soziale) Akzeptanz]],Dropdown!$A$2:$D$4,4,FALSE)</f>
        <v>-</v>
      </c>
      <c r="J18" s="42" t="str">
        <f>VLOOKUP(Ueberblick428[[#This Row],[Prozesseignung]],Dropdown!$A$2:$D$4,4,FALSE)</f>
        <v>-</v>
      </c>
      <c r="K18" s="42" t="str">
        <f>VLOOKUP(Ueberblick428[[#This Row],[Kosten(entwicklung)]],Dropdown!$A$2:$D$4,4,FALSE)</f>
        <v>-</v>
      </c>
      <c r="L18" s="42" t="str">
        <f>VLOOKUP(Ueberblick428[[#This Row],[Potenzialentwicklung]],Dropdown!$A$2:$D$4,4,FALSE)</f>
        <v>-</v>
      </c>
      <c r="M18" s="42" t="str">
        <f>VLOOKUP(Ueberblick428[[#This Row],[Simulationsdaten]],Dropdown!$A$2:$D$4,4,FALSE)</f>
        <v>-</v>
      </c>
      <c r="N18" s="42" t="str">
        <f>VLOOKUP(Ueberblick428[[#This Row],[Erheblichkeitsschwelle]],Dropdown!$A$2:$D$4,4,FALSE)</f>
        <v>-</v>
      </c>
      <c r="O18" s="42" t="str">
        <f>VLOOKUP(Ueberblick428[[#This Row],[Annahmen Elektormobilität]],Dropdown!$A$2:$D$4,4,FALSE)</f>
        <v>X</v>
      </c>
      <c r="P18" s="42" t="str">
        <f>VLOOKUP(Ueberblick428[[#This Row],[Symmetrieannahme]],Dropdown!$A$2:$D$4,4,FALSE)</f>
        <v>-</v>
      </c>
      <c r="Q18" s="42" t="str">
        <f>VLOOKUP(Ueberblick428[[#This Row],[Bereitstellungsalternative]],Dropdown!$A$2:$D$4,4,FALSE)</f>
        <v>-</v>
      </c>
      <c r="R18" s="8" t="s">
        <v>333</v>
      </c>
    </row>
    <row r="19" spans="1:18" x14ac:dyDescent="0.25">
      <c r="A19" s="6">
        <v>17</v>
      </c>
      <c r="B19" s="42" t="str">
        <f>VLOOKUP(Ueberblick428[[#This Row],[StV / Leistungen]],Dropdown!$A$2:$D$4,4,FALSE)</f>
        <v>-</v>
      </c>
      <c r="C19" s="42" t="str">
        <f>VLOOKUP(Ueberblick428[[#This Row],[Durchdringungsraten]],Dropdown!$A$2:$D$4,4,FALSE)</f>
        <v>-</v>
      </c>
      <c r="D19" s="42" t="str">
        <f>VLOOKUP(Ueberblick428[[#This Row],[Profile / Zeitverfügbarkeit]],Dropdown!$A$2:$D$4,4,FALSE)</f>
        <v>X</v>
      </c>
      <c r="E19" s="42" t="str">
        <f>VLOOKUP(Ueberblick428[[#This Row],[flex. Leistung]],Dropdown!$A$2:$D$4,4,FALSE)</f>
        <v>X</v>
      </c>
      <c r="F19" s="42" t="str">
        <f>VLOOKUP(Ueberblick428[[#This Row],[Zeitdauern]],Dropdown!$A$2:$D$4,4,FALSE)</f>
        <v>-</v>
      </c>
      <c r="G19" s="42" t="str">
        <f>VLOOKUP(Ueberblick428[[#This Row],[Abrufhäufigkeit]],Dropdown!$A$2:$D$4,4,FALSE)</f>
        <v>-</v>
      </c>
      <c r="H19" s="42" t="str">
        <f>VLOOKUP(Ueberblick428[[#This Row],[spez. Leistung / Verbräuche]],Dropdown!$A$2:$D$4,4,FALSE)</f>
        <v>-</v>
      </c>
      <c r="I19" s="42" t="str">
        <f>VLOOKUP(Ueberblick428[[#This Row],[(soziale) Akzeptanz]],Dropdown!$A$2:$D$4,4,FALSE)</f>
        <v>-</v>
      </c>
      <c r="J19" s="42" t="str">
        <f>VLOOKUP(Ueberblick428[[#This Row],[Prozesseignung]],Dropdown!$A$2:$D$4,4,FALSE)</f>
        <v>-</v>
      </c>
      <c r="K19" s="42" t="str">
        <f>VLOOKUP(Ueberblick428[[#This Row],[Kosten(entwicklung)]],Dropdown!$A$2:$D$4,4,FALSE)</f>
        <v>-</v>
      </c>
      <c r="L19" s="42" t="str">
        <f>VLOOKUP(Ueberblick428[[#This Row],[Potenzialentwicklung]],Dropdown!$A$2:$D$4,4,FALSE)</f>
        <v>-</v>
      </c>
      <c r="M19" s="42" t="str">
        <f>VLOOKUP(Ueberblick428[[#This Row],[Simulationsdaten]],Dropdown!$A$2:$D$4,4,FALSE)</f>
        <v>-</v>
      </c>
      <c r="N19" s="42" t="str">
        <f>VLOOKUP(Ueberblick428[[#This Row],[Erheblichkeitsschwelle]],Dropdown!$A$2:$D$4,4,FALSE)</f>
        <v>-</v>
      </c>
      <c r="O19" s="42" t="str">
        <f>VLOOKUP(Ueberblick428[[#This Row],[Annahmen Elektormobilität]],Dropdown!$A$2:$D$4,4,FALSE)</f>
        <v>-</v>
      </c>
      <c r="P19" s="42" t="str">
        <f>VLOOKUP(Ueberblick428[[#This Row],[Symmetrieannahme]],Dropdown!$A$2:$D$4,4,FALSE)</f>
        <v>-</v>
      </c>
      <c r="Q19" s="42" t="str">
        <f>VLOOKUP(Ueberblick428[[#This Row],[Bereitstellungsalternative]],Dropdown!$A$2:$D$4,4,FALSE)</f>
        <v>-</v>
      </c>
      <c r="R19" s="8" t="s">
        <v>147</v>
      </c>
    </row>
    <row r="20" spans="1:18" s="11" customFormat="1" x14ac:dyDescent="0.25">
      <c r="A20" s="6">
        <v>18</v>
      </c>
      <c r="B20" s="42" t="str">
        <f>VLOOKUP(Ueberblick428[[#This Row],[StV / Leistungen]],Dropdown!$A$2:$D$4,4,FALSE)</f>
        <v>-</v>
      </c>
      <c r="C20" s="42" t="str">
        <f>VLOOKUP(Ueberblick428[[#This Row],[Durchdringungsraten]],Dropdown!$A$2:$D$4,4,FALSE)</f>
        <v>-</v>
      </c>
      <c r="D20" s="42" t="str">
        <f>VLOOKUP(Ueberblick428[[#This Row],[Profile / Zeitverfügbarkeit]],Dropdown!$A$2:$D$4,4,FALSE)</f>
        <v>X</v>
      </c>
      <c r="E20" s="42" t="str">
        <f>VLOOKUP(Ueberblick428[[#This Row],[flex. Leistung]],Dropdown!$A$2:$D$4,4,FALSE)</f>
        <v>X</v>
      </c>
      <c r="F20" s="42" t="str">
        <f>VLOOKUP(Ueberblick428[[#This Row],[Zeitdauern]],Dropdown!$A$2:$D$4,4,FALSE)</f>
        <v>-</v>
      </c>
      <c r="G20" s="42" t="str">
        <f>VLOOKUP(Ueberblick428[[#This Row],[Abrufhäufigkeit]],Dropdown!$A$2:$D$4,4,FALSE)</f>
        <v>-</v>
      </c>
      <c r="H20" s="42" t="str">
        <f>VLOOKUP(Ueberblick428[[#This Row],[spez. Leistung / Verbräuche]],Dropdown!$A$2:$D$4,4,FALSE)</f>
        <v>-</v>
      </c>
      <c r="I20" s="42" t="str">
        <f>VLOOKUP(Ueberblick428[[#This Row],[(soziale) Akzeptanz]],Dropdown!$A$2:$D$4,4,FALSE)</f>
        <v>-</v>
      </c>
      <c r="J20" s="42" t="str">
        <f>VLOOKUP(Ueberblick428[[#This Row],[Prozesseignung]],Dropdown!$A$2:$D$4,4,FALSE)</f>
        <v>-</v>
      </c>
      <c r="K20" s="42" t="str">
        <f>VLOOKUP(Ueberblick428[[#This Row],[Kosten(entwicklung)]],Dropdown!$A$2:$D$4,4,FALSE)</f>
        <v>-</v>
      </c>
      <c r="L20" s="42" t="str">
        <f>VLOOKUP(Ueberblick428[[#This Row],[Potenzialentwicklung]],Dropdown!$A$2:$D$4,4,FALSE)</f>
        <v>-</v>
      </c>
      <c r="M20" s="42" t="str">
        <f>VLOOKUP(Ueberblick428[[#This Row],[Simulationsdaten]],Dropdown!$A$2:$D$4,4,FALSE)</f>
        <v>-</v>
      </c>
      <c r="N20" s="42" t="str">
        <f>VLOOKUP(Ueberblick428[[#This Row],[Erheblichkeitsschwelle]],Dropdown!$A$2:$D$4,4,FALSE)</f>
        <v>-</v>
      </c>
      <c r="O20" s="42" t="str">
        <f>VLOOKUP(Ueberblick428[[#This Row],[Annahmen Elektormobilität]],Dropdown!$A$2:$D$4,4,FALSE)</f>
        <v>-</v>
      </c>
      <c r="P20" s="42" t="str">
        <f>VLOOKUP(Ueberblick428[[#This Row],[Symmetrieannahme]],Dropdown!$A$2:$D$4,4,FALSE)</f>
        <v>-</v>
      </c>
      <c r="Q20" s="42" t="str">
        <f>VLOOKUP(Ueberblick428[[#This Row],[Bereitstellungsalternative]],Dropdown!$A$2:$D$4,4,FALSE)</f>
        <v>-</v>
      </c>
      <c r="R20" s="8" t="s">
        <v>172</v>
      </c>
    </row>
    <row r="21" spans="1:18" x14ac:dyDescent="0.25">
      <c r="A21" s="6">
        <v>19</v>
      </c>
      <c r="B21" s="42" t="str">
        <f>VLOOKUP(Ueberblick428[[#This Row],[StV / Leistungen]],Dropdown!$A$2:$D$4,4,FALSE)</f>
        <v>-</v>
      </c>
      <c r="C21" s="42" t="str">
        <f>VLOOKUP(Ueberblick428[[#This Row],[Durchdringungsraten]],Dropdown!$A$2:$D$4,4,FALSE)</f>
        <v>X</v>
      </c>
      <c r="D21" s="42" t="str">
        <f>VLOOKUP(Ueberblick428[[#This Row],[Profile / Zeitverfügbarkeit]],Dropdown!$A$2:$D$4,4,FALSE)</f>
        <v>X</v>
      </c>
      <c r="E21" s="42" t="str">
        <f>VLOOKUP(Ueberblick428[[#This Row],[flex. Leistung]],Dropdown!$A$2:$D$4,4,FALSE)</f>
        <v>-</v>
      </c>
      <c r="F21" s="42" t="str">
        <f>VLOOKUP(Ueberblick428[[#This Row],[Zeitdauern]],Dropdown!$A$2:$D$4,4,FALSE)</f>
        <v>X</v>
      </c>
      <c r="G21" s="42" t="str">
        <f>VLOOKUP(Ueberblick428[[#This Row],[Abrufhäufigkeit]],Dropdown!$A$2:$D$4,4,FALSE)</f>
        <v>-</v>
      </c>
      <c r="H21" s="42" t="str">
        <f>VLOOKUP(Ueberblick428[[#This Row],[spez. Leistung / Verbräuche]],Dropdown!$A$2:$D$4,4,FALSE)</f>
        <v>-</v>
      </c>
      <c r="I21" s="42" t="str">
        <f>VLOOKUP(Ueberblick428[[#This Row],[(soziale) Akzeptanz]],Dropdown!$A$2:$D$4,4,FALSE)</f>
        <v>-</v>
      </c>
      <c r="J21" s="42" t="str">
        <f>VLOOKUP(Ueberblick428[[#This Row],[Prozesseignung]],Dropdown!$A$2:$D$4,4,FALSE)</f>
        <v>-</v>
      </c>
      <c r="K21" s="42" t="str">
        <f>VLOOKUP(Ueberblick428[[#This Row],[Kosten(entwicklung)]],Dropdown!$A$2:$D$4,4,FALSE)</f>
        <v>X</v>
      </c>
      <c r="L21" s="42" t="str">
        <f>VLOOKUP(Ueberblick428[[#This Row],[Potenzialentwicklung]],Dropdown!$A$2:$D$4,4,FALSE)</f>
        <v>X</v>
      </c>
      <c r="M21" s="42" t="str">
        <f>VLOOKUP(Ueberblick428[[#This Row],[Simulationsdaten]],Dropdown!$A$2:$D$4,4,FALSE)</f>
        <v>-</v>
      </c>
      <c r="N21" s="42" t="str">
        <f>VLOOKUP(Ueberblick428[[#This Row],[Erheblichkeitsschwelle]],Dropdown!$A$2:$D$4,4,FALSE)</f>
        <v>-</v>
      </c>
      <c r="O21" s="42" t="str">
        <f>VLOOKUP(Ueberblick428[[#This Row],[Annahmen Elektormobilität]],Dropdown!$A$2:$D$4,4,FALSE)</f>
        <v>-</v>
      </c>
      <c r="P21" s="42" t="str">
        <f>VLOOKUP(Ueberblick428[[#This Row],[Symmetrieannahme]],Dropdown!$A$2:$D$4,4,FALSE)</f>
        <v>-</v>
      </c>
      <c r="Q21" s="42" t="str">
        <f>VLOOKUP(Ueberblick428[[#This Row],[Bereitstellungsalternative]],Dropdown!$A$2:$D$4,4,FALSE)</f>
        <v>-</v>
      </c>
      <c r="R21" s="8" t="s">
        <v>279</v>
      </c>
    </row>
    <row r="22" spans="1:18" s="11" customFormat="1" x14ac:dyDescent="0.25">
      <c r="A22" s="6">
        <v>20</v>
      </c>
      <c r="B22" s="42" t="str">
        <f>VLOOKUP(Ueberblick428[[#This Row],[StV / Leistungen]],Dropdown!$A$2:$D$4,4,FALSE)</f>
        <v>-</v>
      </c>
      <c r="C22" s="42" t="str">
        <f>VLOOKUP(Ueberblick428[[#This Row],[Durchdringungsraten]],Dropdown!$A$2:$D$4,4,FALSE)</f>
        <v>-</v>
      </c>
      <c r="D22" s="42" t="str">
        <f>VLOOKUP(Ueberblick428[[#This Row],[Profile / Zeitverfügbarkeit]],Dropdown!$A$2:$D$4,4,FALSE)</f>
        <v>-</v>
      </c>
      <c r="E22" s="42" t="str">
        <f>VLOOKUP(Ueberblick428[[#This Row],[flex. Leistung]],Dropdown!$A$2:$D$4,4,FALSE)</f>
        <v>X</v>
      </c>
      <c r="F22" s="42" t="str">
        <f>VLOOKUP(Ueberblick428[[#This Row],[Zeitdauern]],Dropdown!$A$2:$D$4,4,FALSE)</f>
        <v>-</v>
      </c>
      <c r="G22" s="42" t="str">
        <f>VLOOKUP(Ueberblick428[[#This Row],[Abrufhäufigkeit]],Dropdown!$A$2:$D$4,4,FALSE)</f>
        <v>-</v>
      </c>
      <c r="H22" s="42" t="str">
        <f>VLOOKUP(Ueberblick428[[#This Row],[spez. Leistung / Verbräuche]],Dropdown!$A$2:$D$4,4,FALSE)</f>
        <v>-</v>
      </c>
      <c r="I22" s="42" t="str">
        <f>VLOOKUP(Ueberblick428[[#This Row],[(soziale) Akzeptanz]],Dropdown!$A$2:$D$4,4,FALSE)</f>
        <v>-</v>
      </c>
      <c r="J22" s="42" t="str">
        <f>VLOOKUP(Ueberblick428[[#This Row],[Prozesseignung]],Dropdown!$A$2:$D$4,4,FALSE)</f>
        <v>-</v>
      </c>
      <c r="K22" s="42" t="str">
        <f>VLOOKUP(Ueberblick428[[#This Row],[Kosten(entwicklung)]],Dropdown!$A$2:$D$4,4,FALSE)</f>
        <v>X</v>
      </c>
      <c r="L22" s="42" t="str">
        <f>VLOOKUP(Ueberblick428[[#This Row],[Potenzialentwicklung]],Dropdown!$A$2:$D$4,4,FALSE)</f>
        <v>-</v>
      </c>
      <c r="M22" s="42" t="str">
        <f>VLOOKUP(Ueberblick428[[#This Row],[Simulationsdaten]],Dropdown!$A$2:$D$4,4,FALSE)</f>
        <v>-</v>
      </c>
      <c r="N22" s="42" t="str">
        <f>VLOOKUP(Ueberblick428[[#This Row],[Erheblichkeitsschwelle]],Dropdown!$A$2:$D$4,4,FALSE)</f>
        <v>-</v>
      </c>
      <c r="O22" s="42" t="str">
        <f>VLOOKUP(Ueberblick428[[#This Row],[Annahmen Elektormobilität]],Dropdown!$A$2:$D$4,4,FALSE)</f>
        <v>-</v>
      </c>
      <c r="P22" s="42" t="str">
        <f>VLOOKUP(Ueberblick428[[#This Row],[Symmetrieannahme]],Dropdown!$A$2:$D$4,4,FALSE)</f>
        <v>-</v>
      </c>
      <c r="Q22" s="42" t="str">
        <f>VLOOKUP(Ueberblick428[[#This Row],[Bereitstellungsalternative]],Dropdown!$A$2:$D$4,4,FALSE)</f>
        <v>-</v>
      </c>
      <c r="R22" s="8" t="s">
        <v>207</v>
      </c>
    </row>
    <row r="23" spans="1:18" x14ac:dyDescent="0.25">
      <c r="A23" s="6">
        <v>21</v>
      </c>
      <c r="B23" s="42" t="str">
        <f>VLOOKUP(Ueberblick428[[#This Row],[StV / Leistungen]],Dropdown!$A$2:$D$4,4,FALSE)</f>
        <v>-</v>
      </c>
      <c r="C23" s="42" t="str">
        <f>VLOOKUP(Ueberblick428[[#This Row],[Durchdringungsraten]],Dropdown!$A$2:$D$4,4,FALSE)</f>
        <v>-</v>
      </c>
      <c r="D23" s="42" t="str">
        <f>VLOOKUP(Ueberblick428[[#This Row],[Profile / Zeitverfügbarkeit]],Dropdown!$A$2:$D$4,4,FALSE)</f>
        <v>-</v>
      </c>
      <c r="E23" s="42" t="str">
        <f>VLOOKUP(Ueberblick428[[#This Row],[flex. Leistung]],Dropdown!$A$2:$D$4,4,FALSE)</f>
        <v>-</v>
      </c>
      <c r="F23" s="42" t="str">
        <f>VLOOKUP(Ueberblick428[[#This Row],[Zeitdauern]],Dropdown!$A$2:$D$4,4,FALSE)</f>
        <v>-</v>
      </c>
      <c r="G23" s="42" t="str">
        <f>VLOOKUP(Ueberblick428[[#This Row],[Abrufhäufigkeit]],Dropdown!$A$2:$D$4,4,FALSE)</f>
        <v>-</v>
      </c>
      <c r="H23" s="42" t="str">
        <f>VLOOKUP(Ueberblick428[[#This Row],[spez. Leistung / Verbräuche]],Dropdown!$A$2:$D$4,4,FALSE)</f>
        <v>-</v>
      </c>
      <c r="I23" s="42" t="str">
        <f>VLOOKUP(Ueberblick428[[#This Row],[(soziale) Akzeptanz]],Dropdown!$A$2:$D$4,4,FALSE)</f>
        <v>-</v>
      </c>
      <c r="J23" s="42" t="str">
        <f>VLOOKUP(Ueberblick428[[#This Row],[Prozesseignung]],Dropdown!$A$2:$D$4,4,FALSE)</f>
        <v>-</v>
      </c>
      <c r="K23" s="42" t="str">
        <f>VLOOKUP(Ueberblick428[[#This Row],[Kosten(entwicklung)]],Dropdown!$A$2:$D$4,4,FALSE)</f>
        <v>-</v>
      </c>
      <c r="L23" s="42" t="str">
        <f>VLOOKUP(Ueberblick428[[#This Row],[Potenzialentwicklung]],Dropdown!$A$2:$D$4,4,FALSE)</f>
        <v>-</v>
      </c>
      <c r="M23" s="42" t="str">
        <f>VLOOKUP(Ueberblick428[[#This Row],[Simulationsdaten]],Dropdown!$A$2:$D$4,4,FALSE)</f>
        <v>-</v>
      </c>
      <c r="N23" s="42" t="str">
        <f>VLOOKUP(Ueberblick428[[#This Row],[Erheblichkeitsschwelle]],Dropdown!$A$2:$D$4,4,FALSE)</f>
        <v>-</v>
      </c>
      <c r="O23" s="42" t="str">
        <f>VLOOKUP(Ueberblick428[[#This Row],[Annahmen Elektormobilität]],Dropdown!$A$2:$D$4,4,FALSE)</f>
        <v>-</v>
      </c>
      <c r="P23" s="42" t="str">
        <f>VLOOKUP(Ueberblick428[[#This Row],[Symmetrieannahme]],Dropdown!$A$2:$D$4,4,FALSE)</f>
        <v>-</v>
      </c>
      <c r="Q23" s="42" t="str">
        <f>VLOOKUP(Ueberblick428[[#This Row],[Bereitstellungsalternative]],Dropdown!$A$2:$D$4,4,FALSE)</f>
        <v>-</v>
      </c>
      <c r="R23" s="8" t="s">
        <v>131</v>
      </c>
    </row>
    <row r="24" spans="1:18" s="11" customFormat="1" x14ac:dyDescent="0.25">
      <c r="A24" s="6">
        <v>22</v>
      </c>
      <c r="B24" s="42" t="str">
        <f>VLOOKUP(Ueberblick428[[#This Row],[StV / Leistungen]],Dropdown!$A$2:$D$4,4,FALSE)</f>
        <v>-</v>
      </c>
      <c r="C24" s="42" t="str">
        <f>VLOOKUP(Ueberblick428[[#This Row],[Durchdringungsraten]],Dropdown!$A$2:$D$4,4,FALSE)</f>
        <v>-</v>
      </c>
      <c r="D24" s="42" t="str">
        <f>VLOOKUP(Ueberblick428[[#This Row],[Profile / Zeitverfügbarkeit]],Dropdown!$A$2:$D$4,4,FALSE)</f>
        <v>-</v>
      </c>
      <c r="E24" s="42" t="str">
        <f>VLOOKUP(Ueberblick428[[#This Row],[flex. Leistung]],Dropdown!$A$2:$D$4,4,FALSE)</f>
        <v>-</v>
      </c>
      <c r="F24" s="42" t="str">
        <f>VLOOKUP(Ueberblick428[[#This Row],[Zeitdauern]],Dropdown!$A$2:$D$4,4,FALSE)</f>
        <v>X</v>
      </c>
      <c r="G24" s="42" t="str">
        <f>VLOOKUP(Ueberblick428[[#This Row],[Abrufhäufigkeit]],Dropdown!$A$2:$D$4,4,FALSE)</f>
        <v>X</v>
      </c>
      <c r="H24" s="42" t="str">
        <f>VLOOKUP(Ueberblick428[[#This Row],[spez. Leistung / Verbräuche]],Dropdown!$A$2:$D$4,4,FALSE)</f>
        <v>-</v>
      </c>
      <c r="I24" s="42" t="str">
        <f>VLOOKUP(Ueberblick428[[#This Row],[(soziale) Akzeptanz]],Dropdown!$A$2:$D$4,4,FALSE)</f>
        <v>-</v>
      </c>
      <c r="J24" s="42" t="str">
        <f>VLOOKUP(Ueberblick428[[#This Row],[Prozesseignung]],Dropdown!$A$2:$D$4,4,FALSE)</f>
        <v>-</v>
      </c>
      <c r="K24" s="42" t="str">
        <f>VLOOKUP(Ueberblick428[[#This Row],[Kosten(entwicklung)]],Dropdown!$A$2:$D$4,4,FALSE)</f>
        <v>-</v>
      </c>
      <c r="L24" s="42" t="str">
        <f>VLOOKUP(Ueberblick428[[#This Row],[Potenzialentwicklung]],Dropdown!$A$2:$D$4,4,FALSE)</f>
        <v>X</v>
      </c>
      <c r="M24" s="42" t="str">
        <f>VLOOKUP(Ueberblick428[[#This Row],[Simulationsdaten]],Dropdown!$A$2:$D$4,4,FALSE)</f>
        <v>-</v>
      </c>
      <c r="N24" s="42" t="str">
        <f>VLOOKUP(Ueberblick428[[#This Row],[Erheblichkeitsschwelle]],Dropdown!$A$2:$D$4,4,FALSE)</f>
        <v>-</v>
      </c>
      <c r="O24" s="42" t="str">
        <f>VLOOKUP(Ueberblick428[[#This Row],[Annahmen Elektormobilität]],Dropdown!$A$2:$D$4,4,FALSE)</f>
        <v>-</v>
      </c>
      <c r="P24" s="42" t="str">
        <f>VLOOKUP(Ueberblick428[[#This Row],[Symmetrieannahme]],Dropdown!$A$2:$D$4,4,FALSE)</f>
        <v>-</v>
      </c>
      <c r="Q24" s="42" t="str">
        <f>VLOOKUP(Ueberblick428[[#This Row],[Bereitstellungsalternative]],Dropdown!$A$2:$D$4,4,FALSE)</f>
        <v>-</v>
      </c>
      <c r="R24" s="8" t="s">
        <v>225</v>
      </c>
    </row>
    <row r="25" spans="1:18" x14ac:dyDescent="0.25">
      <c r="A25" s="6">
        <v>23</v>
      </c>
      <c r="B25" s="42" t="str">
        <f>VLOOKUP(Ueberblick428[[#This Row],[StV / Leistungen]],Dropdown!$A$2:$D$4,4,FALSE)</f>
        <v>-</v>
      </c>
      <c r="C25" s="42" t="str">
        <f>VLOOKUP(Ueberblick428[[#This Row],[Durchdringungsraten]],Dropdown!$A$2:$D$4,4,FALSE)</f>
        <v>-</v>
      </c>
      <c r="D25" s="42" t="str">
        <f>VLOOKUP(Ueberblick428[[#This Row],[Profile / Zeitverfügbarkeit]],Dropdown!$A$2:$D$4,4,FALSE)</f>
        <v>-</v>
      </c>
      <c r="E25" s="42" t="str">
        <f>VLOOKUP(Ueberblick428[[#This Row],[flex. Leistung]],Dropdown!$A$2:$D$4,4,FALSE)</f>
        <v>X</v>
      </c>
      <c r="F25" s="42" t="str">
        <f>VLOOKUP(Ueberblick428[[#This Row],[Zeitdauern]],Dropdown!$A$2:$D$4,4,FALSE)</f>
        <v>-</v>
      </c>
      <c r="G25" s="42" t="str">
        <f>VLOOKUP(Ueberblick428[[#This Row],[Abrufhäufigkeit]],Dropdown!$A$2:$D$4,4,FALSE)</f>
        <v>-</v>
      </c>
      <c r="H25" s="42" t="str">
        <f>VLOOKUP(Ueberblick428[[#This Row],[spez. Leistung / Verbräuche]],Dropdown!$A$2:$D$4,4,FALSE)</f>
        <v>-</v>
      </c>
      <c r="I25" s="42" t="str">
        <f>VLOOKUP(Ueberblick428[[#This Row],[(soziale) Akzeptanz]],Dropdown!$A$2:$D$4,4,FALSE)</f>
        <v>-</v>
      </c>
      <c r="J25" s="42" t="str">
        <f>VLOOKUP(Ueberblick428[[#This Row],[Prozesseignung]],Dropdown!$A$2:$D$4,4,FALSE)</f>
        <v>-</v>
      </c>
      <c r="K25" s="42" t="str">
        <f>VLOOKUP(Ueberblick428[[#This Row],[Kosten(entwicklung)]],Dropdown!$A$2:$D$4,4,FALSE)</f>
        <v>-</v>
      </c>
      <c r="L25" s="42" t="str">
        <f>VLOOKUP(Ueberblick428[[#This Row],[Potenzialentwicklung]],Dropdown!$A$2:$D$4,4,FALSE)</f>
        <v>-</v>
      </c>
      <c r="M25" s="42" t="str">
        <f>VLOOKUP(Ueberblick428[[#This Row],[Simulationsdaten]],Dropdown!$A$2:$D$4,4,FALSE)</f>
        <v>X</v>
      </c>
      <c r="N25" s="42" t="str">
        <f>VLOOKUP(Ueberblick428[[#This Row],[Erheblichkeitsschwelle]],Dropdown!$A$2:$D$4,4,FALSE)</f>
        <v>-</v>
      </c>
      <c r="O25" s="42" t="str">
        <f>VLOOKUP(Ueberblick428[[#This Row],[Annahmen Elektormobilität]],Dropdown!$A$2:$D$4,4,FALSE)</f>
        <v>-</v>
      </c>
      <c r="P25" s="42" t="str">
        <f>VLOOKUP(Ueberblick428[[#This Row],[Symmetrieannahme]],Dropdown!$A$2:$D$4,4,FALSE)</f>
        <v>-</v>
      </c>
      <c r="Q25" s="42" t="str">
        <f>VLOOKUP(Ueberblick428[[#This Row],[Bereitstellungsalternative]],Dropdown!$A$2:$D$4,4,FALSE)</f>
        <v>-</v>
      </c>
      <c r="R25" s="8" t="s">
        <v>806</v>
      </c>
    </row>
    <row r="26" spans="1:18" s="11" customFormat="1" x14ac:dyDescent="0.25">
      <c r="A26" s="6">
        <v>24</v>
      </c>
      <c r="B26" s="42" t="str">
        <f>VLOOKUP(Ueberblick428[[#This Row],[StV / Leistungen]],Dropdown!$A$2:$D$4,4,FALSE)</f>
        <v>-</v>
      </c>
      <c r="C26" s="42" t="str">
        <f>VLOOKUP(Ueberblick428[[#This Row],[Durchdringungsraten]],Dropdown!$A$2:$D$4,4,FALSE)</f>
        <v>-</v>
      </c>
      <c r="D26" s="42" t="str">
        <f>VLOOKUP(Ueberblick428[[#This Row],[Profile / Zeitverfügbarkeit]],Dropdown!$A$2:$D$4,4,FALSE)</f>
        <v>X</v>
      </c>
      <c r="E26" s="42" t="str">
        <f>VLOOKUP(Ueberblick428[[#This Row],[flex. Leistung]],Dropdown!$A$2:$D$4,4,FALSE)</f>
        <v>-</v>
      </c>
      <c r="F26" s="42" t="str">
        <f>VLOOKUP(Ueberblick428[[#This Row],[Zeitdauern]],Dropdown!$A$2:$D$4,4,FALSE)</f>
        <v>X</v>
      </c>
      <c r="G26" s="42" t="str">
        <f>VLOOKUP(Ueberblick428[[#This Row],[Abrufhäufigkeit]],Dropdown!$A$2:$D$4,4,FALSE)</f>
        <v>-</v>
      </c>
      <c r="H26" s="42" t="str">
        <f>VLOOKUP(Ueberblick428[[#This Row],[spez. Leistung / Verbräuche]],Dropdown!$A$2:$D$4,4,FALSE)</f>
        <v>-</v>
      </c>
      <c r="I26" s="42" t="str">
        <f>VLOOKUP(Ueberblick428[[#This Row],[(soziale) Akzeptanz]],Dropdown!$A$2:$D$4,4,FALSE)</f>
        <v>-</v>
      </c>
      <c r="J26" s="42" t="str">
        <f>VLOOKUP(Ueberblick428[[#This Row],[Prozesseignung]],Dropdown!$A$2:$D$4,4,FALSE)</f>
        <v>-</v>
      </c>
      <c r="K26" s="42" t="str">
        <f>VLOOKUP(Ueberblick428[[#This Row],[Kosten(entwicklung)]],Dropdown!$A$2:$D$4,4,FALSE)</f>
        <v>-</v>
      </c>
      <c r="L26" s="42" t="str">
        <f>VLOOKUP(Ueberblick428[[#This Row],[Potenzialentwicklung]],Dropdown!$A$2:$D$4,4,FALSE)</f>
        <v>-</v>
      </c>
      <c r="M26" s="42" t="str">
        <f>VLOOKUP(Ueberblick428[[#This Row],[Simulationsdaten]],Dropdown!$A$2:$D$4,4,FALSE)</f>
        <v>-</v>
      </c>
      <c r="N26" s="42" t="str">
        <f>VLOOKUP(Ueberblick428[[#This Row],[Erheblichkeitsschwelle]],Dropdown!$A$2:$D$4,4,FALSE)</f>
        <v>-</v>
      </c>
      <c r="O26" s="42" t="str">
        <f>VLOOKUP(Ueberblick428[[#This Row],[Annahmen Elektormobilität]],Dropdown!$A$2:$D$4,4,FALSE)</f>
        <v>-</v>
      </c>
      <c r="P26" s="42" t="str">
        <f>VLOOKUP(Ueberblick428[[#This Row],[Symmetrieannahme]],Dropdown!$A$2:$D$4,4,FALSE)</f>
        <v>-</v>
      </c>
      <c r="Q26" s="42" t="str">
        <f>VLOOKUP(Ueberblick428[[#This Row],[Bereitstellungsalternative]],Dropdown!$A$2:$D$4,4,FALSE)</f>
        <v>-</v>
      </c>
      <c r="R26" s="8">
        <v>55</v>
      </c>
    </row>
    <row r="27" spans="1:18" s="11" customFormat="1" x14ac:dyDescent="0.25">
      <c r="A27" s="6">
        <v>25</v>
      </c>
      <c r="B27" s="42" t="str">
        <f>VLOOKUP(Ueberblick428[[#This Row],[StV / Leistungen]],Dropdown!$A$2:$D$4,4,FALSE)</f>
        <v>-</v>
      </c>
      <c r="C27" s="42" t="str">
        <f>VLOOKUP(Ueberblick428[[#This Row],[Durchdringungsraten]],Dropdown!$A$2:$D$4,4,FALSE)</f>
        <v>X</v>
      </c>
      <c r="D27" s="42" t="str">
        <f>VLOOKUP(Ueberblick428[[#This Row],[Profile / Zeitverfügbarkeit]],Dropdown!$A$2:$D$4,4,FALSE)</f>
        <v>X</v>
      </c>
      <c r="E27" s="42" t="str">
        <f>VLOOKUP(Ueberblick428[[#This Row],[flex. Leistung]],Dropdown!$A$2:$D$4,4,FALSE)</f>
        <v>-</v>
      </c>
      <c r="F27" s="42" t="str">
        <f>VLOOKUP(Ueberblick428[[#This Row],[Zeitdauern]],Dropdown!$A$2:$D$4,4,FALSE)</f>
        <v>X</v>
      </c>
      <c r="G27" s="42" t="str">
        <f>VLOOKUP(Ueberblick428[[#This Row],[Abrufhäufigkeit]],Dropdown!$A$2:$D$4,4,FALSE)</f>
        <v>X</v>
      </c>
      <c r="H27" s="42" t="str">
        <f>VLOOKUP(Ueberblick428[[#This Row],[spez. Leistung / Verbräuche]],Dropdown!$A$2:$D$4,4,FALSE)</f>
        <v>-</v>
      </c>
      <c r="I27" s="42" t="str">
        <f>VLOOKUP(Ueberblick428[[#This Row],[(soziale) Akzeptanz]],Dropdown!$A$2:$D$4,4,FALSE)</f>
        <v>-</v>
      </c>
      <c r="J27" s="42" t="str">
        <f>VLOOKUP(Ueberblick428[[#This Row],[Prozesseignung]],Dropdown!$A$2:$D$4,4,FALSE)</f>
        <v>-</v>
      </c>
      <c r="K27" s="42" t="str">
        <f>VLOOKUP(Ueberblick428[[#This Row],[Kosten(entwicklung)]],Dropdown!$A$2:$D$4,4,FALSE)</f>
        <v>-</v>
      </c>
      <c r="L27" s="42" t="str">
        <f>VLOOKUP(Ueberblick428[[#This Row],[Potenzialentwicklung]],Dropdown!$A$2:$D$4,4,FALSE)</f>
        <v>-</v>
      </c>
      <c r="M27" s="42" t="str">
        <f>VLOOKUP(Ueberblick428[[#This Row],[Simulationsdaten]],Dropdown!$A$2:$D$4,4,FALSE)</f>
        <v>-</v>
      </c>
      <c r="N27" s="42" t="str">
        <f>VLOOKUP(Ueberblick428[[#This Row],[Erheblichkeitsschwelle]],Dropdown!$A$2:$D$4,4,FALSE)</f>
        <v>-</v>
      </c>
      <c r="O27" s="42" t="str">
        <f>VLOOKUP(Ueberblick428[[#This Row],[Annahmen Elektormobilität]],Dropdown!$A$2:$D$4,4,FALSE)</f>
        <v>-</v>
      </c>
      <c r="P27" s="42" t="str">
        <f>VLOOKUP(Ueberblick428[[#This Row],[Symmetrieannahme]],Dropdown!$A$2:$D$4,4,FALSE)</f>
        <v>-</v>
      </c>
      <c r="Q27" s="42" t="str">
        <f>VLOOKUP(Ueberblick428[[#This Row],[Bereitstellungsalternative]],Dropdown!$A$2:$D$4,4,FALSE)</f>
        <v>-</v>
      </c>
      <c r="R27" s="8" t="s">
        <v>250</v>
      </c>
    </row>
    <row r="28" spans="1:18" x14ac:dyDescent="0.25">
      <c r="A28" s="18" t="s">
        <v>854</v>
      </c>
      <c r="B28" s="18">
        <f>Ueberblick428[[#Totals],[StV / Leistungen]]</f>
        <v>3</v>
      </c>
      <c r="C28" s="18">
        <f>Ueberblick428[[#Totals],[Durchdringungsraten]]</f>
        <v>8</v>
      </c>
      <c r="D28" s="18">
        <f>Ueberblick428[[#Totals],[Profile / Zeitverfügbarkeit]]</f>
        <v>13</v>
      </c>
      <c r="E28" s="18">
        <f>Ueberblick428[[#Totals],[flex. Leistung]]</f>
        <v>8</v>
      </c>
      <c r="F28" s="18">
        <f>Ueberblick428[[#Totals],[Zeitdauern]]</f>
        <v>10</v>
      </c>
      <c r="G28" s="18">
        <f>Ueberblick428[[#Totals],[Abrufhäufigkeit]]</f>
        <v>5</v>
      </c>
      <c r="H28" s="18">
        <f>Ueberblick428[[#Totals],[spez. Leistung / Verbräuche]]</f>
        <v>2</v>
      </c>
      <c r="I28" s="18">
        <f>Ueberblick428[[#Totals],[(soziale) Akzeptanz]]</f>
        <v>4</v>
      </c>
      <c r="J28" s="18">
        <f>Ueberblick428[[#Totals],[Prozesseignung]]</f>
        <v>1</v>
      </c>
      <c r="K28" s="18">
        <f>Ueberblick428[[#Totals],[Kosten(entwicklung)]]</f>
        <v>7</v>
      </c>
      <c r="L28" s="18">
        <f>Ueberblick428[[#Totals],[Potenzialentwicklung]]</f>
        <v>5</v>
      </c>
      <c r="M28" s="18">
        <f>Ueberblick428[[#Totals],[Simulationsdaten]]</f>
        <v>2</v>
      </c>
      <c r="N28" s="18">
        <f>Ueberblick428[[#Totals],[Erheblichkeitsschwelle]]</f>
        <v>1</v>
      </c>
      <c r="O28" s="18">
        <f>Ueberblick428[[#Totals],[Annahmen Elektormobilität]]</f>
        <v>2</v>
      </c>
      <c r="P28" s="18">
        <f>Ueberblick428[[#Totals],[Symmetrieannahme]]</f>
        <v>1</v>
      </c>
      <c r="Q28" s="18">
        <f>Ueberblick428[[#Totals],[Bereitstellungsalternative]]</f>
        <v>1</v>
      </c>
      <c r="R28" s="17"/>
    </row>
    <row r="29" spans="1:18" x14ac:dyDescent="0.25">
      <c r="A29" s="80" t="s">
        <v>1302</v>
      </c>
      <c r="B29" s="80" t="s">
        <v>1301</v>
      </c>
      <c r="C29" s="80" t="s">
        <v>1286</v>
      </c>
      <c r="D29" s="80" t="s">
        <v>1303</v>
      </c>
      <c r="E29" s="80" t="s">
        <v>1304</v>
      </c>
      <c r="F29" s="80" t="s">
        <v>1305</v>
      </c>
      <c r="G29" s="80" t="s">
        <v>1288</v>
      </c>
      <c r="H29" s="80" t="s">
        <v>1306</v>
      </c>
      <c r="I29" s="80" t="s">
        <v>1307</v>
      </c>
      <c r="J29" s="80" t="s">
        <v>1308</v>
      </c>
      <c r="K29" s="80" t="s">
        <v>1309</v>
      </c>
      <c r="L29" s="80" t="s">
        <v>1310</v>
      </c>
      <c r="M29" s="80" t="s">
        <v>1311</v>
      </c>
      <c r="N29" s="80" t="s">
        <v>1312</v>
      </c>
      <c r="O29" s="80" t="s">
        <v>1313</v>
      </c>
      <c r="P29" s="80" t="s">
        <v>1314</v>
      </c>
      <c r="Q29" s="80" t="s">
        <v>1315</v>
      </c>
      <c r="R29" s="81"/>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DCF9-16B7-4577-9D90-27F61E65D11E}">
  <sheetPr codeName="Tabelle18">
    <tabColor theme="7" tint="0.79998168889431442"/>
  </sheetPr>
  <dimension ref="A1:B47"/>
  <sheetViews>
    <sheetView workbookViewId="0">
      <selection activeCell="B7" sqref="B7"/>
    </sheetView>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1322</v>
      </c>
      <c r="B1" s="77" t="s">
        <v>872</v>
      </c>
    </row>
    <row r="2" spans="1:2" x14ac:dyDescent="0.2">
      <c r="A2" s="8" t="s">
        <v>1367</v>
      </c>
      <c r="B2" s="82">
        <v>1</v>
      </c>
    </row>
    <row r="3" spans="1:2" x14ac:dyDescent="0.2">
      <c r="A3" s="8" t="s">
        <v>1369</v>
      </c>
      <c r="B3" s="82">
        <v>2</v>
      </c>
    </row>
    <row r="4" spans="1:2" x14ac:dyDescent="0.2">
      <c r="A4" s="9" t="s">
        <v>1359</v>
      </c>
      <c r="B4" s="82">
        <v>3</v>
      </c>
    </row>
    <row r="5" spans="1:2" x14ac:dyDescent="0.2">
      <c r="A5" s="9" t="s">
        <v>1360</v>
      </c>
      <c r="B5" s="82">
        <v>4</v>
      </c>
    </row>
    <row r="6" spans="1:2" x14ac:dyDescent="0.2">
      <c r="A6" s="9" t="s">
        <v>1391</v>
      </c>
      <c r="B6" s="82">
        <v>16</v>
      </c>
    </row>
    <row r="7" spans="1:2" x14ac:dyDescent="0.2">
      <c r="A7" s="9" t="s">
        <v>1361</v>
      </c>
      <c r="B7" s="82">
        <v>5</v>
      </c>
    </row>
    <row r="8" spans="1:2" x14ac:dyDescent="0.2">
      <c r="A8" s="9" t="s">
        <v>1362</v>
      </c>
      <c r="B8" s="82">
        <v>6</v>
      </c>
    </row>
    <row r="9" spans="1:2" x14ac:dyDescent="0.2">
      <c r="A9" s="9" t="s">
        <v>1363</v>
      </c>
      <c r="B9" s="82">
        <v>7</v>
      </c>
    </row>
    <row r="10" spans="1:2" x14ac:dyDescent="0.2">
      <c r="A10" s="9" t="s">
        <v>1364</v>
      </c>
      <c r="B10" s="82">
        <v>8</v>
      </c>
    </row>
    <row r="11" spans="1:2" x14ac:dyDescent="0.2">
      <c r="A11" s="9" t="s">
        <v>1316</v>
      </c>
      <c r="B11" s="82">
        <v>9</v>
      </c>
    </row>
    <row r="12" spans="1:2" x14ac:dyDescent="0.2">
      <c r="A12" s="9" t="s">
        <v>1343</v>
      </c>
      <c r="B12" s="82">
        <v>10</v>
      </c>
    </row>
    <row r="13" spans="1:2" x14ac:dyDescent="0.2">
      <c r="A13" s="9" t="s">
        <v>1365</v>
      </c>
      <c r="B13" s="82">
        <v>11</v>
      </c>
    </row>
    <row r="14" spans="1:2" x14ac:dyDescent="0.2">
      <c r="A14" s="19" t="s">
        <v>1376</v>
      </c>
      <c r="B14" s="82">
        <v>12</v>
      </c>
    </row>
    <row r="15" spans="1:2" x14ac:dyDescent="0.2">
      <c r="A15" s="19" t="s">
        <v>1366</v>
      </c>
      <c r="B15" s="82">
        <v>13</v>
      </c>
    </row>
    <row r="16" spans="1:2" ht="25.5" x14ac:dyDescent="0.2">
      <c r="A16" s="17" t="s">
        <v>1373</v>
      </c>
      <c r="B16" s="83">
        <v>14</v>
      </c>
    </row>
    <row r="17" spans="1:2" x14ac:dyDescent="0.2">
      <c r="A17" s="17" t="s">
        <v>1375</v>
      </c>
      <c r="B17" s="83">
        <v>15</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sheetData>
  <pageMargins left="0.7" right="0.7" top="0.78740157499999996" bottom="0.78740157499999996"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FA53F-F566-4838-A5E6-92411849E752}">
  <sheetPr codeName="Tabelle19">
    <tabColor theme="7" tint="0.79998168889431442"/>
  </sheetPr>
  <dimension ref="A1:B46"/>
  <sheetViews>
    <sheetView workbookViewId="0"/>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1322</v>
      </c>
      <c r="B1" s="77" t="s">
        <v>872</v>
      </c>
    </row>
    <row r="2" spans="1:2" x14ac:dyDescent="0.2">
      <c r="A2" s="8" t="s">
        <v>1348</v>
      </c>
      <c r="B2" s="82">
        <v>1</v>
      </c>
    </row>
    <row r="3" spans="1:2" ht="38.25" x14ac:dyDescent="0.2">
      <c r="A3" s="8" t="s">
        <v>1349</v>
      </c>
      <c r="B3" s="82">
        <v>2</v>
      </c>
    </row>
    <row r="4" spans="1:2" ht="25.5" x14ac:dyDescent="0.2">
      <c r="A4" s="9" t="s">
        <v>1323</v>
      </c>
      <c r="B4" s="82">
        <v>3</v>
      </c>
    </row>
    <row r="5" spans="1:2" x14ac:dyDescent="0.2">
      <c r="A5" s="9" t="s">
        <v>1350</v>
      </c>
      <c r="B5" s="82">
        <v>1</v>
      </c>
    </row>
    <row r="6" spans="1:2" ht="25.5" x14ac:dyDescent="0.2">
      <c r="A6" s="9" t="s">
        <v>1324</v>
      </c>
      <c r="B6" s="82">
        <v>4</v>
      </c>
    </row>
    <row r="7" spans="1:2" ht="38.25" x14ac:dyDescent="0.2">
      <c r="A7" s="9" t="s">
        <v>1325</v>
      </c>
      <c r="B7" s="82">
        <v>5</v>
      </c>
    </row>
    <row r="8" spans="1:2" ht="25.5" x14ac:dyDescent="0.2">
      <c r="A8" s="9" t="s">
        <v>1326</v>
      </c>
      <c r="B8" s="82">
        <v>3</v>
      </c>
    </row>
    <row r="9" spans="1:2" ht="25.5" x14ac:dyDescent="0.2">
      <c r="A9" s="9" t="s">
        <v>1327</v>
      </c>
      <c r="B9" s="82">
        <v>1</v>
      </c>
    </row>
    <row r="10" spans="1:2" x14ac:dyDescent="0.2">
      <c r="A10" s="9" t="s">
        <v>1341</v>
      </c>
      <c r="B10" s="82">
        <v>6</v>
      </c>
    </row>
    <row r="11" spans="1:2" x14ac:dyDescent="0.2">
      <c r="A11" s="9" t="s">
        <v>1342</v>
      </c>
      <c r="B11" s="82">
        <v>7</v>
      </c>
    </row>
    <row r="12" spans="1:2" ht="38.25" x14ac:dyDescent="0.2">
      <c r="A12" s="9" t="s">
        <v>1328</v>
      </c>
      <c r="B12" s="82">
        <v>6</v>
      </c>
    </row>
    <row r="13" spans="1:2" x14ac:dyDescent="0.2">
      <c r="A13" s="19" t="s">
        <v>1329</v>
      </c>
      <c r="B13" s="82">
        <v>3</v>
      </c>
    </row>
    <row r="14" spans="1:2" ht="25.5" x14ac:dyDescent="0.2">
      <c r="A14" s="19" t="s">
        <v>1330</v>
      </c>
      <c r="B14" s="82">
        <v>8</v>
      </c>
    </row>
    <row r="15" spans="1:2" ht="25.5" x14ac:dyDescent="0.2">
      <c r="A15" s="19" t="s">
        <v>420</v>
      </c>
      <c r="B15" s="82">
        <v>3</v>
      </c>
    </row>
    <row r="16" spans="1:2" ht="38.25" x14ac:dyDescent="0.2">
      <c r="A16" s="9" t="s">
        <v>1331</v>
      </c>
      <c r="B16" s="82">
        <v>6</v>
      </c>
    </row>
    <row r="17" spans="1:2" ht="25.5" x14ac:dyDescent="0.2">
      <c r="A17" s="9" t="s">
        <v>1332</v>
      </c>
      <c r="B17" s="82">
        <v>3</v>
      </c>
    </row>
    <row r="18" spans="1:2" ht="38.25" x14ac:dyDescent="0.2">
      <c r="A18" s="9" t="s">
        <v>1333</v>
      </c>
      <c r="B18" s="82">
        <v>3</v>
      </c>
    </row>
    <row r="19" spans="1:2" x14ac:dyDescent="0.2">
      <c r="A19" s="9" t="s">
        <v>1316</v>
      </c>
      <c r="B19" s="82">
        <v>9</v>
      </c>
    </row>
    <row r="20" spans="1:2" x14ac:dyDescent="0.2">
      <c r="A20" s="9" t="s">
        <v>1343</v>
      </c>
      <c r="B20" s="82">
        <v>10</v>
      </c>
    </row>
    <row r="21" spans="1:2" x14ac:dyDescent="0.2">
      <c r="A21" s="9" t="s">
        <v>1344</v>
      </c>
      <c r="B21" s="82">
        <v>11</v>
      </c>
    </row>
    <row r="22" spans="1:2" x14ac:dyDescent="0.2">
      <c r="A22" s="8" t="s">
        <v>1351</v>
      </c>
      <c r="B22" s="82">
        <v>1</v>
      </c>
    </row>
    <row r="23" spans="1:2" ht="25.5" x14ac:dyDescent="0.2">
      <c r="A23" s="8" t="s">
        <v>1318</v>
      </c>
      <c r="B23" s="82">
        <v>6</v>
      </c>
    </row>
    <row r="24" spans="1:2" x14ac:dyDescent="0.2">
      <c r="A24" s="8" t="s">
        <v>1352</v>
      </c>
      <c r="B24" s="82">
        <v>3</v>
      </c>
    </row>
    <row r="25" spans="1:2" x14ac:dyDescent="0.2">
      <c r="A25" s="8" t="s">
        <v>1353</v>
      </c>
      <c r="B25" s="82">
        <v>2</v>
      </c>
    </row>
    <row r="26" spans="1:2" ht="38.25" x14ac:dyDescent="0.2">
      <c r="A26" s="9" t="s">
        <v>1334</v>
      </c>
      <c r="B26" s="82">
        <v>3</v>
      </c>
    </row>
    <row r="27" spans="1:2" x14ac:dyDescent="0.2">
      <c r="A27" s="9" t="s">
        <v>1354</v>
      </c>
      <c r="B27" s="82">
        <v>6</v>
      </c>
    </row>
    <row r="28" spans="1:2" x14ac:dyDescent="0.2">
      <c r="A28" s="9" t="s">
        <v>1345</v>
      </c>
      <c r="B28" s="82">
        <v>12</v>
      </c>
    </row>
    <row r="29" spans="1:2" x14ac:dyDescent="0.2">
      <c r="A29" s="9" t="s">
        <v>1355</v>
      </c>
      <c r="B29" s="82">
        <v>13</v>
      </c>
    </row>
    <row r="30" spans="1:2" ht="25.5" x14ac:dyDescent="0.2">
      <c r="A30" s="9" t="s">
        <v>1335</v>
      </c>
      <c r="B30" s="82">
        <v>1</v>
      </c>
    </row>
    <row r="31" spans="1:2" x14ac:dyDescent="0.2">
      <c r="A31" s="8" t="s">
        <v>1356</v>
      </c>
      <c r="B31" s="82">
        <v>2</v>
      </c>
    </row>
    <row r="32" spans="1:2" ht="25.5" x14ac:dyDescent="0.2">
      <c r="A32" s="8" t="s">
        <v>1317</v>
      </c>
      <c r="B32" s="82">
        <v>3</v>
      </c>
    </row>
    <row r="33" spans="1:2" x14ac:dyDescent="0.2">
      <c r="A33" s="8" t="s">
        <v>1351</v>
      </c>
      <c r="B33" s="82">
        <v>1</v>
      </c>
    </row>
    <row r="34" spans="1:2" ht="25.5" x14ac:dyDescent="0.2">
      <c r="A34" s="8" t="s">
        <v>1318</v>
      </c>
      <c r="B34" s="82">
        <v>6</v>
      </c>
    </row>
    <row r="35" spans="1:2" ht="25.5" x14ac:dyDescent="0.2">
      <c r="A35" s="9" t="s">
        <v>1336</v>
      </c>
      <c r="B35" s="82">
        <v>6</v>
      </c>
    </row>
    <row r="36" spans="1:2" ht="38.25" x14ac:dyDescent="0.2">
      <c r="A36" s="9" t="s">
        <v>1337</v>
      </c>
      <c r="B36" s="82">
        <v>3</v>
      </c>
    </row>
    <row r="37" spans="1:2" ht="25.5" x14ac:dyDescent="0.2">
      <c r="A37" s="8" t="s">
        <v>1338</v>
      </c>
      <c r="B37" s="82">
        <v>3</v>
      </c>
    </row>
    <row r="38" spans="1:2" x14ac:dyDescent="0.2">
      <c r="A38" s="8" t="s">
        <v>1320</v>
      </c>
      <c r="B38" s="82">
        <v>3</v>
      </c>
    </row>
    <row r="39" spans="1:2" x14ac:dyDescent="0.2">
      <c r="A39" s="8" t="s">
        <v>1319</v>
      </c>
      <c r="B39" s="82">
        <v>8</v>
      </c>
    </row>
    <row r="40" spans="1:2" ht="38.25" x14ac:dyDescent="0.2">
      <c r="A40" s="9" t="s">
        <v>1321</v>
      </c>
      <c r="B40" s="82">
        <v>3</v>
      </c>
    </row>
    <row r="41" spans="1:2" x14ac:dyDescent="0.2">
      <c r="A41" s="9" t="s">
        <v>1346</v>
      </c>
      <c r="B41" s="82">
        <v>6</v>
      </c>
    </row>
    <row r="42" spans="1:2" ht="25.5" x14ac:dyDescent="0.2">
      <c r="A42" s="9" t="s">
        <v>1339</v>
      </c>
      <c r="B42" s="82">
        <v>3</v>
      </c>
    </row>
    <row r="43" spans="1:2" x14ac:dyDescent="0.2">
      <c r="A43" s="9" t="s">
        <v>1347</v>
      </c>
      <c r="B43" s="82">
        <v>6</v>
      </c>
    </row>
    <row r="44" spans="1:2" ht="51" x14ac:dyDescent="0.2">
      <c r="A44" s="9" t="s">
        <v>1358</v>
      </c>
      <c r="B44" s="82">
        <v>3</v>
      </c>
    </row>
    <row r="45" spans="1:2" x14ac:dyDescent="0.2">
      <c r="A45" s="9" t="s">
        <v>1357</v>
      </c>
      <c r="B45" s="82">
        <v>2</v>
      </c>
    </row>
    <row r="46" spans="1:2" ht="38.25" x14ac:dyDescent="0.2">
      <c r="A46" s="17" t="s">
        <v>1340</v>
      </c>
      <c r="B46" s="83">
        <v>3</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AC933-02B7-4AEC-A1C1-F63C6316F10D}">
  <sheetPr codeName="Tabelle2">
    <tabColor theme="5" tint="0.79998168889431442"/>
  </sheetPr>
  <dimension ref="A1:B63"/>
  <sheetViews>
    <sheetView workbookViewId="0">
      <selection activeCell="C4" sqref="C4"/>
    </sheetView>
  </sheetViews>
  <sheetFormatPr baseColWidth="10" defaultColWidth="11" defaultRowHeight="14.25" x14ac:dyDescent="0.2"/>
  <cols>
    <col min="1" max="1" width="34.875" style="97" customWidth="1"/>
    <col min="2" max="16384" width="11" style="97"/>
  </cols>
  <sheetData>
    <row r="1" spans="1:2" ht="15" x14ac:dyDescent="0.25">
      <c r="A1" s="96" t="s">
        <v>1410</v>
      </c>
    </row>
    <row r="2" spans="1:2" ht="15" x14ac:dyDescent="0.25">
      <c r="A2" s="96"/>
    </row>
    <row r="3" spans="1:2" ht="15" x14ac:dyDescent="0.25">
      <c r="A3" s="96" t="s">
        <v>1566</v>
      </c>
      <c r="B3" s="96" t="s">
        <v>1567</v>
      </c>
    </row>
    <row r="4" spans="1:2" ht="15.75" x14ac:dyDescent="0.25">
      <c r="A4" s="99" t="s">
        <v>1414</v>
      </c>
      <c r="B4" s="97" t="s">
        <v>1558</v>
      </c>
    </row>
    <row r="5" spans="1:2" ht="15.75" x14ac:dyDescent="0.25">
      <c r="A5" s="99" t="s">
        <v>1483</v>
      </c>
      <c r="B5" s="97" t="s">
        <v>1559</v>
      </c>
    </row>
    <row r="6" spans="1:2" ht="15.75" x14ac:dyDescent="0.25">
      <c r="A6" s="99" t="s">
        <v>1500</v>
      </c>
      <c r="B6" s="97" t="s">
        <v>1560</v>
      </c>
    </row>
    <row r="7" spans="1:2" ht="15.75" x14ac:dyDescent="0.25">
      <c r="A7" s="99" t="s">
        <v>1501</v>
      </c>
      <c r="B7" s="97" t="s">
        <v>1561</v>
      </c>
    </row>
    <row r="8" spans="1:2" ht="15.75" x14ac:dyDescent="0.25">
      <c r="A8" s="99" t="s">
        <v>1502</v>
      </c>
      <c r="B8" s="97" t="s">
        <v>1562</v>
      </c>
    </row>
    <row r="9" spans="1:2" ht="15.75" x14ac:dyDescent="0.25">
      <c r="A9" s="99" t="s">
        <v>1503</v>
      </c>
      <c r="B9" s="97" t="s">
        <v>1618</v>
      </c>
    </row>
    <row r="10" spans="1:2" ht="15.75" x14ac:dyDescent="0.25">
      <c r="A10" s="99" t="s">
        <v>1504</v>
      </c>
      <c r="B10" s="97" t="s">
        <v>1619</v>
      </c>
    </row>
    <row r="11" spans="1:2" ht="15.75" x14ac:dyDescent="0.25">
      <c r="A11" s="99" t="s">
        <v>1505</v>
      </c>
      <c r="B11" s="97" t="s">
        <v>1563</v>
      </c>
    </row>
    <row r="12" spans="1:2" ht="15.75" x14ac:dyDescent="0.25">
      <c r="A12" s="99" t="s">
        <v>1506</v>
      </c>
      <c r="B12" s="97" t="s">
        <v>1564</v>
      </c>
    </row>
    <row r="13" spans="1:2" ht="15.75" x14ac:dyDescent="0.25">
      <c r="A13" s="99" t="s">
        <v>1507</v>
      </c>
      <c r="B13" s="97" t="s">
        <v>1565</v>
      </c>
    </row>
    <row r="14" spans="1:2" ht="15.75" x14ac:dyDescent="0.25">
      <c r="A14" s="99" t="s">
        <v>1508</v>
      </c>
      <c r="B14" s="97" t="s">
        <v>1568</v>
      </c>
    </row>
    <row r="15" spans="1:2" ht="15.75" x14ac:dyDescent="0.25">
      <c r="A15" s="99" t="s">
        <v>1509</v>
      </c>
      <c r="B15" s="97" t="s">
        <v>1569</v>
      </c>
    </row>
    <row r="16" spans="1:2" ht="15.75" x14ac:dyDescent="0.25">
      <c r="A16" s="99" t="s">
        <v>1510</v>
      </c>
      <c r="B16" s="97" t="s">
        <v>1570</v>
      </c>
    </row>
    <row r="17" spans="1:2" ht="15.75" x14ac:dyDescent="0.25">
      <c r="A17" s="99" t="s">
        <v>1511</v>
      </c>
      <c r="B17" s="97" t="s">
        <v>1571</v>
      </c>
    </row>
    <row r="18" spans="1:2" ht="15.75" x14ac:dyDescent="0.25">
      <c r="A18" s="99" t="s">
        <v>1512</v>
      </c>
      <c r="B18" s="97" t="s">
        <v>1572</v>
      </c>
    </row>
    <row r="19" spans="1:2" ht="15.75" x14ac:dyDescent="0.25">
      <c r="A19" s="99" t="s">
        <v>1513</v>
      </c>
      <c r="B19" s="97" t="s">
        <v>1573</v>
      </c>
    </row>
    <row r="20" spans="1:2" ht="15.75" x14ac:dyDescent="0.25">
      <c r="A20" s="99" t="s">
        <v>1514</v>
      </c>
      <c r="B20" s="97" t="s">
        <v>1574</v>
      </c>
    </row>
    <row r="21" spans="1:2" ht="15.75" x14ac:dyDescent="0.25">
      <c r="A21" s="99" t="s">
        <v>1515</v>
      </c>
      <c r="B21" s="97" t="s">
        <v>1575</v>
      </c>
    </row>
    <row r="22" spans="1:2" ht="15.75" x14ac:dyDescent="0.25">
      <c r="A22" s="99" t="s">
        <v>1516</v>
      </c>
      <c r="B22" s="97" t="s">
        <v>1576</v>
      </c>
    </row>
    <row r="23" spans="1:2" ht="15.75" x14ac:dyDescent="0.25">
      <c r="A23" s="99" t="s">
        <v>1517</v>
      </c>
      <c r="B23" s="97" t="s">
        <v>1579</v>
      </c>
    </row>
    <row r="24" spans="1:2" ht="15.75" x14ac:dyDescent="0.25">
      <c r="A24" s="99" t="s">
        <v>1518</v>
      </c>
      <c r="B24" s="97" t="s">
        <v>1577</v>
      </c>
    </row>
    <row r="25" spans="1:2" ht="15.75" x14ac:dyDescent="0.25">
      <c r="A25" s="99" t="s">
        <v>1519</v>
      </c>
      <c r="B25" s="97" t="s">
        <v>1581</v>
      </c>
    </row>
    <row r="26" spans="1:2" ht="15.75" x14ac:dyDescent="0.25">
      <c r="A26" s="99" t="s">
        <v>1520</v>
      </c>
      <c r="B26" s="97" t="s">
        <v>1580</v>
      </c>
    </row>
    <row r="27" spans="1:2" ht="15.75" x14ac:dyDescent="0.25">
      <c r="A27" s="99" t="s">
        <v>1521</v>
      </c>
      <c r="B27" s="97" t="s">
        <v>1578</v>
      </c>
    </row>
    <row r="28" spans="1:2" ht="15.75" x14ac:dyDescent="0.25">
      <c r="A28" s="99" t="s">
        <v>1522</v>
      </c>
      <c r="B28" s="97" t="s">
        <v>1582</v>
      </c>
    </row>
    <row r="29" spans="1:2" ht="15.75" x14ac:dyDescent="0.25">
      <c r="A29" s="99" t="s">
        <v>1523</v>
      </c>
      <c r="B29" s="97" t="s">
        <v>1594</v>
      </c>
    </row>
    <row r="30" spans="1:2" ht="15.75" x14ac:dyDescent="0.25">
      <c r="A30" s="99" t="s">
        <v>1524</v>
      </c>
      <c r="B30" s="97" t="s">
        <v>1595</v>
      </c>
    </row>
    <row r="31" spans="1:2" ht="15.75" x14ac:dyDescent="0.25">
      <c r="A31" s="99" t="s">
        <v>1525</v>
      </c>
      <c r="B31" s="97" t="s">
        <v>1593</v>
      </c>
    </row>
    <row r="32" spans="1:2" ht="15.75" x14ac:dyDescent="0.25">
      <c r="A32" s="99" t="s">
        <v>1526</v>
      </c>
      <c r="B32" s="97" t="s">
        <v>1592</v>
      </c>
    </row>
    <row r="33" spans="1:2" ht="15.75" x14ac:dyDescent="0.25">
      <c r="A33" s="99" t="s">
        <v>1527</v>
      </c>
      <c r="B33" s="97" t="s">
        <v>1596</v>
      </c>
    </row>
    <row r="34" spans="1:2" ht="15.75" x14ac:dyDescent="0.25">
      <c r="A34" s="99" t="s">
        <v>1528</v>
      </c>
      <c r="B34" s="97" t="s">
        <v>1597</v>
      </c>
    </row>
    <row r="35" spans="1:2" ht="15.75" x14ac:dyDescent="0.25">
      <c r="A35" s="99" t="s">
        <v>1529</v>
      </c>
      <c r="B35" s="97" t="s">
        <v>1598</v>
      </c>
    </row>
    <row r="36" spans="1:2" ht="15.75" x14ac:dyDescent="0.25">
      <c r="A36" s="99" t="s">
        <v>1530</v>
      </c>
      <c r="B36" s="97" t="s">
        <v>1599</v>
      </c>
    </row>
    <row r="37" spans="1:2" ht="15.75" x14ac:dyDescent="0.25">
      <c r="A37" s="99" t="s">
        <v>1531</v>
      </c>
      <c r="B37" s="97" t="s">
        <v>1602</v>
      </c>
    </row>
    <row r="38" spans="1:2" ht="15.75" x14ac:dyDescent="0.25">
      <c r="A38" s="99" t="s">
        <v>1532</v>
      </c>
      <c r="B38" s="97" t="s">
        <v>1600</v>
      </c>
    </row>
    <row r="39" spans="1:2" ht="15.75" x14ac:dyDescent="0.25">
      <c r="A39" s="99" t="s">
        <v>1533</v>
      </c>
      <c r="B39" s="97" t="s">
        <v>1601</v>
      </c>
    </row>
    <row r="40" spans="1:2" ht="15.75" x14ac:dyDescent="0.25">
      <c r="A40" s="99" t="s">
        <v>1534</v>
      </c>
      <c r="B40" s="97" t="s">
        <v>1603</v>
      </c>
    </row>
    <row r="41" spans="1:2" ht="15.75" x14ac:dyDescent="0.25">
      <c r="A41" s="99" t="s">
        <v>1535</v>
      </c>
      <c r="B41" s="97" t="s">
        <v>1604</v>
      </c>
    </row>
    <row r="42" spans="1:2" ht="15.75" x14ac:dyDescent="0.25">
      <c r="A42" s="99" t="s">
        <v>1536</v>
      </c>
      <c r="B42" s="97" t="s">
        <v>1605</v>
      </c>
    </row>
    <row r="43" spans="1:2" ht="15.75" x14ac:dyDescent="0.25">
      <c r="A43" s="99" t="s">
        <v>1537</v>
      </c>
      <c r="B43" s="97" t="s">
        <v>1606</v>
      </c>
    </row>
    <row r="44" spans="1:2" ht="15.75" x14ac:dyDescent="0.25">
      <c r="A44" s="99" t="s">
        <v>1538</v>
      </c>
      <c r="B44" s="97" t="s">
        <v>1607</v>
      </c>
    </row>
    <row r="45" spans="1:2" ht="15.75" x14ac:dyDescent="0.25">
      <c r="A45" s="99" t="s">
        <v>1539</v>
      </c>
      <c r="B45" s="97" t="s">
        <v>1608</v>
      </c>
    </row>
    <row r="46" spans="1:2" ht="15.75" x14ac:dyDescent="0.25">
      <c r="A46" s="99" t="s">
        <v>1540</v>
      </c>
      <c r="B46" s="97" t="s">
        <v>1609</v>
      </c>
    </row>
    <row r="47" spans="1:2" ht="15.75" x14ac:dyDescent="0.25">
      <c r="A47" s="99" t="s">
        <v>1541</v>
      </c>
      <c r="B47" s="97" t="s">
        <v>1610</v>
      </c>
    </row>
    <row r="48" spans="1:2" ht="15.75" x14ac:dyDescent="0.25">
      <c r="A48" s="99" t="s">
        <v>1542</v>
      </c>
      <c r="B48" s="97" t="s">
        <v>1611</v>
      </c>
    </row>
    <row r="49" spans="1:2" ht="15.75" x14ac:dyDescent="0.25">
      <c r="A49" s="99" t="s">
        <v>1543</v>
      </c>
      <c r="B49" s="97" t="s">
        <v>1612</v>
      </c>
    </row>
    <row r="50" spans="1:2" ht="15.75" x14ac:dyDescent="0.25">
      <c r="A50" s="99" t="s">
        <v>1544</v>
      </c>
      <c r="B50" s="97" t="s">
        <v>1613</v>
      </c>
    </row>
    <row r="51" spans="1:2" ht="15.75" x14ac:dyDescent="0.25">
      <c r="A51" s="99" t="s">
        <v>1545</v>
      </c>
      <c r="B51" s="97" t="s">
        <v>1614</v>
      </c>
    </row>
    <row r="52" spans="1:2" ht="15.75" x14ac:dyDescent="0.25">
      <c r="A52" s="99" t="s">
        <v>1546</v>
      </c>
      <c r="B52" s="97" t="s">
        <v>1583</v>
      </c>
    </row>
    <row r="53" spans="1:2" ht="15.75" x14ac:dyDescent="0.25">
      <c r="A53" s="99" t="s">
        <v>1547</v>
      </c>
      <c r="B53" s="97" t="s">
        <v>1584</v>
      </c>
    </row>
    <row r="54" spans="1:2" ht="15.75" x14ac:dyDescent="0.25">
      <c r="A54" s="99" t="s">
        <v>1548</v>
      </c>
      <c r="B54" s="97" t="s">
        <v>1585</v>
      </c>
    </row>
    <row r="55" spans="1:2" ht="15.75" x14ac:dyDescent="0.25">
      <c r="A55" s="99" t="s">
        <v>1549</v>
      </c>
      <c r="B55" s="97" t="s">
        <v>1586</v>
      </c>
    </row>
    <row r="56" spans="1:2" ht="15.75" x14ac:dyDescent="0.25">
      <c r="A56" s="99" t="s">
        <v>1550</v>
      </c>
      <c r="B56" s="97" t="s">
        <v>1587</v>
      </c>
    </row>
    <row r="57" spans="1:2" ht="15.75" x14ac:dyDescent="0.25">
      <c r="A57" s="99" t="s">
        <v>1551</v>
      </c>
      <c r="B57" s="97" t="s">
        <v>1588</v>
      </c>
    </row>
    <row r="58" spans="1:2" ht="15.75" x14ac:dyDescent="0.25">
      <c r="A58" s="99" t="s">
        <v>1552</v>
      </c>
      <c r="B58" s="97" t="s">
        <v>1589</v>
      </c>
    </row>
    <row r="59" spans="1:2" ht="15.75" x14ac:dyDescent="0.25">
      <c r="A59" s="99" t="s">
        <v>1553</v>
      </c>
      <c r="B59" s="97" t="s">
        <v>1590</v>
      </c>
    </row>
    <row r="60" spans="1:2" ht="15.75" x14ac:dyDescent="0.25">
      <c r="A60" s="99" t="s">
        <v>1554</v>
      </c>
      <c r="B60" s="97" t="s">
        <v>1591</v>
      </c>
    </row>
    <row r="61" spans="1:2" ht="15.75" x14ac:dyDescent="0.25">
      <c r="A61" s="99" t="s">
        <v>1555</v>
      </c>
      <c r="B61" s="97" t="s">
        <v>1615</v>
      </c>
    </row>
    <row r="62" spans="1:2" ht="15.75" x14ac:dyDescent="0.25">
      <c r="A62" s="99" t="s">
        <v>1556</v>
      </c>
      <c r="B62" s="97" t="s">
        <v>1616</v>
      </c>
    </row>
    <row r="63" spans="1:2" ht="15.75" x14ac:dyDescent="0.25">
      <c r="A63" s="99" t="s">
        <v>1557</v>
      </c>
      <c r="B63" s="97" t="s">
        <v>1617</v>
      </c>
    </row>
  </sheetData>
  <hyperlinks>
    <hyperlink ref="A4" location="'Inhalt'A1" display="Inhalt" xr:uid="{C981E12E-D6B5-444A-9EE5-F5AC661419FF}"/>
    <hyperlink ref="A5" location="'Dokumentation_Methode'A1" display="Dokumentation_Methode" xr:uid="{B051FA51-B7DC-4A37-AD15-4923745DEF0B}"/>
    <hyperlink ref="A6" location="'Gesamtueberblick'A1" display="Gesamtueberblick" xr:uid="{50D57F98-0D7F-41DF-B8F7-61F56962422A}"/>
    <hyperlink ref="A7" location="'00_Ueberblick_Biografie'A1" display="00_Ueberblick_Biografie" xr:uid="{F52AABE4-CEE6-4845-9299-4D49FDC57103}"/>
    <hyperlink ref="A8" location="'00_Zuordnung_Publikation_Nummer'A1" display="00_Zuordnung_Publikation_Nummer" xr:uid="{1F473F2A-CD6D-4781-861B-2B71102A6D35}"/>
    <hyperlink ref="A9" location="'01_Methode_Daten_kodiert'A1" display="01_Methode_Daten_kodiert" xr:uid="{5B1C0F44-178A-42BE-A66F-D1B597FA36ED}"/>
    <hyperlink ref="A10" location="'01_Methode_Daten_AUSW'A1" display="01_Methode_Daten_AUSW" xr:uid="{A8FC196C-397B-41EC-A64E-EACB3AFE71C1}"/>
    <hyperlink ref="A11" location="'02_Ind_QST_Urliste'A1" display="02_Ind_QST_Urliste" xr:uid="{AB5CE2AE-17F9-495C-AA15-EBFCC6C5FBDF}"/>
    <hyperlink ref="A12" location="'02_GHD_QST-Branchen_Urliste'A1" display="02_GHD_QST-Branchen_Urliste" xr:uid="{3496B8AE-0876-45C2-A0B8-29EA2BE10D08}"/>
    <hyperlink ref="A13" location="'02_HaHa_Urliste'A1" display="02_HaHa_Urliste" xr:uid="{0678E9EC-FB7D-4B5D-9F6B-55F8BCD85C7B}"/>
    <hyperlink ref="A14" location="'01_Methode_Daten_AUSW_NR'A1" display="01_Methode_Daten_AUSW_NR" xr:uid="{DE89EC56-2F6C-4C6B-9724-2A7CDB376D81}"/>
    <hyperlink ref="A15" location="'01_Annahmen_Kategorien'A1" display="01_Annahmen_Kategorien" xr:uid="{1E3B4FF4-5707-4246-AE50-DE6EF8E09EA5}"/>
    <hyperlink ref="A16" location="'01_Annahmen_Urliste'A1" display="01_Annahmen_Urliste" xr:uid="{2EA8FD67-0541-4704-A8B4-A937505CAE31}"/>
    <hyperlink ref="A17" location="'01_Annahmen_Daten_kodiert'A1" display="01_Annahmen_Daten_kodiert" xr:uid="{25D6D88B-1223-4DC1-BAE8-34CCBD3F5303}"/>
    <hyperlink ref="A18" location="'01_Annahmen_Daten_AUSW'A1" display="01_Annahmen_Daten_AUSW" xr:uid="{7269209E-F52E-4DA6-A590-0829257C77C9}"/>
    <hyperlink ref="A19" location="'01_Annahmen_Daten_AUSW_NR'A1" display="01_Annahmen_Daten_AUSW_NR" xr:uid="{49C67F38-9FFC-4FB2-B4F8-95CC7C881BF1}"/>
    <hyperlink ref="A20" location="'01_Datenbasis_Kategorien'A1" display="01_Datenbasis_Kategorien" xr:uid="{5C8CD639-E377-41BB-9372-4173FD397418}"/>
    <hyperlink ref="A21" location="'01_Datenbasis_Urliste'A1" display="01_Datenbasis_Urliste" xr:uid="{28D48C21-BDAD-4715-8ACA-27359CCD2B4E}"/>
    <hyperlink ref="A22" location="'01_Datenbasis_kodiert'A1" display="01_Datenbasis_kodiert" xr:uid="{927634FE-B937-4ADD-B2DC-D30930573522}"/>
    <hyperlink ref="A23" location="'01_Datenbasis_AUSW'A1" display="01_Datenbasis_AUSW" xr:uid="{6248F0E7-5A53-4C4C-A73C-0BADE4A9FA8F}"/>
    <hyperlink ref="A24" location="'01_Datenbasis_AUSW_NR'A1" display="01_Datenbasis_AUSW_NR" xr:uid="{E330E667-6266-4720-A460-1A2FBEE8BA42}"/>
    <hyperlink ref="A25" location="'01_Folgeanalyse_kodiert'A1" display="01_Folgeanalyse_kodiert" xr:uid="{E42A46CE-CB1B-494D-9C33-C50F4A4A8127}"/>
    <hyperlink ref="A26" location="'01_Folgeanalyse_AUSW'A1" display="01_Folgeanalyse_AUSW" xr:uid="{D1F1BCD6-BDC6-45AC-BBF0-CC31E5CF0572}"/>
    <hyperlink ref="A27" location="'01_Folgeanalyse_AUSW_NR'A1" display="01_Folgeanalyse_AUSW_NR" xr:uid="{27414972-B01B-411C-9D9F-C87531527B43}"/>
    <hyperlink ref="A28" location="'01_Zitationsanalyse_kodiert'A1" display="01_Zitationsanalyse_kodiert" xr:uid="{59E60752-43E4-4670-AFC0-EB4D551A7063}"/>
    <hyperlink ref="A29" location="'02_Ind_QST_Kategorien'A1" display="02_Ind_QST_Kategorien" xr:uid="{D392806B-F041-41F0-8C89-4D7E39D8A30A}"/>
    <hyperlink ref="A30" location="'02_GHD_QST-Branchen_Kategorien'A1" display="02_GHD_QST-Branchen_Kategorien" xr:uid="{CD2D4C12-2426-433C-BC8C-8FA6923B3E5A}"/>
    <hyperlink ref="A31" location="'02_HaHa_Kategorien'A1" display="02_HaHa_Kategorien" xr:uid="{59D49F7F-2520-4626-8EBE-C009C961F457}"/>
    <hyperlink ref="A32" location="'02_Ind_Prozesse_Kategorien'A1" display="02_Ind_Prozesse_Kategorien" xr:uid="{1DBFCAB3-2E42-4EE3-A30C-8A7A182C00AC}"/>
    <hyperlink ref="A33" location="'02_Ind_Prozesse_Urliste'A1" display="02_Ind_Prozesse_Urliste" xr:uid="{735B6CA9-90DA-4B3D-A739-345714CD6C3A}"/>
    <hyperlink ref="A34" location="'02_Ind_Prozesse_kodiert'A1" display="02_Ind_Prozesse_kodiert" xr:uid="{C3D4D1CE-2FDD-49BE-9794-9825F707281E}"/>
    <hyperlink ref="A35" location="'02_Ind_Prozesse_AUSW'A1" display="02_Ind_Prozesse_AUSW" xr:uid="{BDF39AF5-8479-495F-91C9-F33DE3117404}"/>
    <hyperlink ref="A36" location="'02_Ind_Prozesse_AUSW_NR'A1" display="02_Ind_Prozesse_AUSW_NR" xr:uid="{96E8BD97-4920-4CEC-ADB1-08A1CAD5D8ED}"/>
    <hyperlink ref="A37" location="'02_Ind_QST_kodiert'A1" display="02_Ind_QST_kodiert" xr:uid="{95075308-2E76-4B74-96DA-AC8C18489F59}"/>
    <hyperlink ref="A38" location="'02_Ind_QST_AUSW'A1" display="02_Ind_QST_AUSW" xr:uid="{50AB06B1-B2F6-4AF1-B810-79273AF587D3}"/>
    <hyperlink ref="A39" location="'02_Ind_QST_AUSW_NR'A1" display="02_Ind_QST_AUSW_NR" xr:uid="{A6F7169C-3CED-4B05-84E0-F0928950C756}"/>
    <hyperlink ref="A40" location="'02_GHD_QST-Branchen_kodiert'A1" display="02_GHD_QST-Branchen_kodiert" xr:uid="{F3539EE7-69C3-4F97-9F6E-5B985668118A}"/>
    <hyperlink ref="A41" location="'02_GHD_QST-Branchen_AUSW'A1" display="02_GHD_QST-Branchen_AUSW" xr:uid="{CEDE20EE-36EC-487F-8C37-79386948E553}"/>
    <hyperlink ref="A42" location="'02_GHD_QST-Branchen_AUSW_NR'A1" display="02_GHD_QST-Branchen_AUSW_NR" xr:uid="{A694A7F8-939C-4A67-9C86-48C8646F9A11}"/>
    <hyperlink ref="A43" location="'02_HaHa_kodiert'A1" display="02_HaHa_kodiert" xr:uid="{A9EED303-D3E8-4598-8A8A-91DE4705E97C}"/>
    <hyperlink ref="A44" location="'02_HaHa_AUSW'A1" display="02_HaHa_AUSW" xr:uid="{2C5F8554-FDE6-4FE6-97EB-CD070F93AA9E}"/>
    <hyperlink ref="A45" location="'02_HaHa_AUSW_NR'A1" display="02_HaHa_AUSW_NR" xr:uid="{80E4CE6A-83AE-4CE8-BE1E-75418E6C04F9}"/>
    <hyperlink ref="A46" location="'03_Flexparameter_kodiert'A1" display="03_Flexparameter_kodiert" xr:uid="{59DE026A-E19B-4A76-B17D-6D652B5DC513}"/>
    <hyperlink ref="A47" location="'03_Flexparameter_AUSW'A1" display="03_Flexparameter_AUSW" xr:uid="{467D62A7-C1C8-4E38-8D1B-AA6090532D5F}"/>
    <hyperlink ref="A48" location="'03_Flexparameter_AUSW_NR'A1" display="03_Flexparameter_AUSW_NR" xr:uid="{67EAF75D-84EE-4EA3-8DF1-228F24A55685}"/>
    <hyperlink ref="A49" location="'03_Zeitverfuegbarkeit_kodiert'A1" display="03_Zeitverfuegbarkeit_kodiert" xr:uid="{C2A53B2C-BD61-4C26-B609-54E9B994426F}"/>
    <hyperlink ref="A50" location="'03_Zeitverfuegbarkeit_AUSW'A1" display="03_Zeitverfuegbarkeit_AUSW" xr:uid="{57E01629-BD80-40CD-B0EE-6C462DF0CD3D}"/>
    <hyperlink ref="A51" location="'03_Zeitverfuegbarkeit_AUSW_NR'A1" display="03_Zeitverfuegbarkeit_AUSW_NR" xr:uid="{2231B918-C217-4ABB-823A-20FD03ABF80A}"/>
    <hyperlink ref="A52" location="'04_Potenzialbegriff_kodiert'A1" display="04_Potenzialbegriff_kodiert" xr:uid="{DD1F3E84-D266-4374-90A4-40354627A72B}"/>
    <hyperlink ref="A53" location="'04_Potenzialbegriff_AUSW'A1" display="04_Potenzialbegriff_AUSW" xr:uid="{31A5A90E-095C-485A-918F-C42F260EE219}"/>
    <hyperlink ref="A54" location="'04_Potenzialbegriff_AUSW_NR'A1" display="04_Potenzialbegriff_AUSW_NR" xr:uid="{BF0C09E7-5085-4636-BB61-50E396474224}"/>
    <hyperlink ref="A55" location="'05_Betrachtungshorizont_kodiert'A1" display="05_Betrachtungshorizont_kodiert" xr:uid="{EEFAB001-8110-4783-8EAD-89D7B7B8BDA3}"/>
    <hyperlink ref="A56" location="'05_Betrachtungshorizont_AUSW'A1" display="05_Betrachtungshorizont_AUSW" xr:uid="{D177843C-5460-4ACC-8888-BA6E02DF6273}"/>
    <hyperlink ref="A57" location="'05_Betrachtungshorizont_AUSW_NR'A1" display="05_Betrachtungshorizont_AUSW_NR" xr:uid="{63358C65-3DD0-4BD5-8A68-6250023C233C}"/>
    <hyperlink ref="A58" location="'05_Basisjahr_kodiert'A1" display="05_Basisjahr_kodiert" xr:uid="{96CEC911-BF79-4991-AC5A-F063CAB9464B}"/>
    <hyperlink ref="A59" location="'05_Basisjahr_AUSW'A1" display="05_Basisjahr_AUSW" xr:uid="{A7DA6783-DB9A-4A31-896C-FEFDAB6E7170}"/>
    <hyperlink ref="A60" location="'05_Basisjahr_AUSW_NR'A1" display="05_Basisjahr_AUSW_NR" xr:uid="{D4CBA7C4-E51F-4CAD-9D5A-AB5F342DBA9F}"/>
    <hyperlink ref="A61" location="'Dropdown'A1" display="Dropdown" xr:uid="{386E1ACF-929A-40C4-B44F-18F3DF2E69DD}"/>
    <hyperlink ref="A62" location="'Auswertung_Flexpotenziale'A1" display="Auswertung_Flexpotenziale" xr:uid="{2144D1D0-99F7-472F-AF34-5F4AE0724E05}"/>
    <hyperlink ref="A63" location="'EnArgus'A1" display="EnArgus" xr:uid="{47B83B42-C5E3-4435-90E4-0E00198D4809}"/>
  </hyperlinks>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A96DD-186A-4E2D-88C6-05827D5F951B}">
  <sheetPr codeName="Tabelle20">
    <tabColor theme="7" tint="0.79998168889431442"/>
  </sheetPr>
  <dimension ref="A1:R28"/>
  <sheetViews>
    <sheetView topLeftCell="A2" workbookViewId="0">
      <selection activeCell="R7" sqref="R7"/>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t="s">
        <v>101</v>
      </c>
      <c r="D1" s="3" t="s">
        <v>101</v>
      </c>
      <c r="E1" s="3" t="s">
        <v>101</v>
      </c>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3" t="s">
        <v>1620</v>
      </c>
      <c r="C2" s="43" t="s">
        <v>1374</v>
      </c>
      <c r="D2" s="43" t="s">
        <v>1621</v>
      </c>
      <c r="E2" s="43" t="s">
        <v>1452</v>
      </c>
      <c r="F2" s="43" t="s">
        <v>1359</v>
      </c>
      <c r="G2" s="43" t="s">
        <v>1360</v>
      </c>
      <c r="H2" s="43" t="s">
        <v>1622</v>
      </c>
      <c r="I2" s="43" t="s">
        <v>1361</v>
      </c>
      <c r="J2" s="43" t="s">
        <v>1362</v>
      </c>
      <c r="K2" s="43" t="s">
        <v>1363</v>
      </c>
      <c r="L2" s="43" t="s">
        <v>1364</v>
      </c>
      <c r="M2" s="43" t="s">
        <v>1316</v>
      </c>
      <c r="N2" s="43" t="s">
        <v>1343</v>
      </c>
      <c r="O2" s="43" t="s">
        <v>1623</v>
      </c>
      <c r="P2" s="43" t="s">
        <v>1624</v>
      </c>
      <c r="Q2" s="43" t="s">
        <v>1366</v>
      </c>
      <c r="R2" s="3" t="s">
        <v>104</v>
      </c>
    </row>
    <row r="3" spans="1:18" x14ac:dyDescent="0.25">
      <c r="A3" s="6" t="s">
        <v>12</v>
      </c>
      <c r="B3" s="8">
        <v>1</v>
      </c>
      <c r="C3" s="8">
        <v>1</v>
      </c>
      <c r="D3" s="8">
        <v>1</v>
      </c>
      <c r="E3" s="8">
        <v>1</v>
      </c>
      <c r="F3" s="8">
        <v>1</v>
      </c>
      <c r="G3" s="8"/>
      <c r="H3" s="8"/>
      <c r="I3" s="8"/>
      <c r="J3" s="8">
        <v>1</v>
      </c>
      <c r="K3" s="8"/>
      <c r="L3" s="8"/>
      <c r="M3" s="8"/>
      <c r="N3" s="8"/>
      <c r="O3" s="8">
        <v>1</v>
      </c>
      <c r="P3" s="8"/>
      <c r="Q3" s="8"/>
      <c r="R3" s="8" t="s">
        <v>1371</v>
      </c>
    </row>
    <row r="4" spans="1:18" ht="25.5" x14ac:dyDescent="0.25">
      <c r="A4" s="6" t="s">
        <v>347</v>
      </c>
      <c r="B4" s="8">
        <v>1</v>
      </c>
      <c r="C4" s="8"/>
      <c r="D4" s="8">
        <v>1</v>
      </c>
      <c r="E4" s="8">
        <v>1</v>
      </c>
      <c r="F4" s="8">
        <v>1</v>
      </c>
      <c r="G4" s="8">
        <v>1</v>
      </c>
      <c r="H4" s="8"/>
      <c r="I4" s="8">
        <v>1</v>
      </c>
      <c r="J4" s="8"/>
      <c r="K4" s="8"/>
      <c r="L4" s="8"/>
      <c r="M4" s="8">
        <v>1</v>
      </c>
      <c r="N4" s="8"/>
      <c r="O4" s="8">
        <v>1</v>
      </c>
      <c r="P4" s="8"/>
      <c r="Q4" s="8"/>
      <c r="R4" s="8" t="s">
        <v>1370</v>
      </c>
    </row>
    <row r="5" spans="1:18" s="11" customFormat="1" ht="25.5" x14ac:dyDescent="0.25">
      <c r="A5" s="6" t="s">
        <v>348</v>
      </c>
      <c r="B5" s="8"/>
      <c r="C5" s="8"/>
      <c r="D5" s="8"/>
      <c r="E5" s="8"/>
      <c r="F5" s="8">
        <v>1</v>
      </c>
      <c r="G5" s="8"/>
      <c r="H5" s="8"/>
      <c r="I5" s="8"/>
      <c r="J5" s="8">
        <v>1</v>
      </c>
      <c r="K5" s="8"/>
      <c r="L5" s="8"/>
      <c r="M5" s="8"/>
      <c r="N5" s="8"/>
      <c r="O5" s="8"/>
      <c r="P5" s="8">
        <v>1</v>
      </c>
      <c r="Q5" s="8"/>
      <c r="R5" s="8" t="s">
        <v>1377</v>
      </c>
    </row>
    <row r="6" spans="1:18" s="11" customFormat="1" ht="25.5" x14ac:dyDescent="0.25">
      <c r="A6" s="6" t="s">
        <v>183</v>
      </c>
      <c r="B6" s="8">
        <v>1</v>
      </c>
      <c r="C6" s="8">
        <v>1</v>
      </c>
      <c r="D6" s="8"/>
      <c r="E6" s="8"/>
      <c r="F6" s="8">
        <v>1</v>
      </c>
      <c r="G6" s="8"/>
      <c r="H6" s="8"/>
      <c r="I6" s="8"/>
      <c r="J6" s="8">
        <v>1</v>
      </c>
      <c r="K6" s="8"/>
      <c r="L6" s="8"/>
      <c r="M6" s="8"/>
      <c r="N6" s="8"/>
      <c r="O6" s="8">
        <v>1</v>
      </c>
      <c r="P6" s="8"/>
      <c r="Q6" s="8"/>
      <c r="R6" s="8" t="s">
        <v>1372</v>
      </c>
    </row>
    <row r="7" spans="1:18" s="11" customFormat="1" ht="25.5" x14ac:dyDescent="0.25">
      <c r="A7" s="6" t="s">
        <v>258</v>
      </c>
      <c r="B7" s="8">
        <v>1</v>
      </c>
      <c r="C7" s="8">
        <v>1</v>
      </c>
      <c r="D7" s="8">
        <v>1</v>
      </c>
      <c r="E7" s="8">
        <v>1</v>
      </c>
      <c r="F7" s="8">
        <v>1</v>
      </c>
      <c r="G7" s="8"/>
      <c r="H7" s="8"/>
      <c r="I7" s="8"/>
      <c r="J7" s="8">
        <v>1</v>
      </c>
      <c r="K7" s="8"/>
      <c r="L7" s="8"/>
      <c r="M7" s="8">
        <v>1</v>
      </c>
      <c r="N7" s="8"/>
      <c r="O7" s="8">
        <v>1</v>
      </c>
      <c r="P7" s="8">
        <v>1</v>
      </c>
      <c r="Q7" s="8"/>
      <c r="R7" s="8" t="s">
        <v>1378</v>
      </c>
    </row>
    <row r="8" spans="1:18" s="11" customFormat="1" ht="25.5" x14ac:dyDescent="0.25">
      <c r="A8" s="18" t="s">
        <v>355</v>
      </c>
      <c r="B8" s="79">
        <v>1</v>
      </c>
      <c r="C8" s="79"/>
      <c r="D8" s="79">
        <v>1</v>
      </c>
      <c r="E8" s="79"/>
      <c r="F8" s="79">
        <v>1</v>
      </c>
      <c r="G8" s="79"/>
      <c r="H8" s="79"/>
      <c r="I8" s="79"/>
      <c r="J8" s="79"/>
      <c r="K8" s="79">
        <v>1</v>
      </c>
      <c r="L8" s="79">
        <v>1</v>
      </c>
      <c r="M8" s="79">
        <v>1</v>
      </c>
      <c r="N8" s="79"/>
      <c r="O8" s="79"/>
      <c r="P8" s="79">
        <v>1</v>
      </c>
      <c r="Q8" s="79"/>
      <c r="R8" s="17" t="s">
        <v>1380</v>
      </c>
    </row>
    <row r="9" spans="1:18" ht="25.5" x14ac:dyDescent="0.25">
      <c r="A9" s="18" t="s">
        <v>431</v>
      </c>
      <c r="B9" s="79">
        <v>1</v>
      </c>
      <c r="C9" s="79"/>
      <c r="D9" s="79"/>
      <c r="E9" s="79"/>
      <c r="F9" s="79">
        <v>1</v>
      </c>
      <c r="G9" s="79"/>
      <c r="H9" s="79"/>
      <c r="I9" s="79"/>
      <c r="J9" s="79"/>
      <c r="K9" s="79"/>
      <c r="L9" s="79"/>
      <c r="M9" s="79"/>
      <c r="N9" s="79"/>
      <c r="O9" s="79"/>
      <c r="P9" s="79"/>
      <c r="Q9" s="79"/>
      <c r="R9" s="17" t="s">
        <v>1379</v>
      </c>
    </row>
    <row r="10" spans="1:18" x14ac:dyDescent="0.25">
      <c r="A10" s="6" t="s">
        <v>410</v>
      </c>
      <c r="B10" s="8">
        <v>1</v>
      </c>
      <c r="C10" s="8">
        <v>1</v>
      </c>
      <c r="D10" s="8"/>
      <c r="E10" s="8"/>
      <c r="F10" s="8">
        <v>1</v>
      </c>
      <c r="G10" s="8"/>
      <c r="H10" s="8">
        <v>1</v>
      </c>
      <c r="I10" s="8"/>
      <c r="J10" s="8">
        <v>1</v>
      </c>
      <c r="K10" s="8">
        <v>1</v>
      </c>
      <c r="L10" s="8">
        <v>1</v>
      </c>
      <c r="M10" s="8"/>
      <c r="N10" s="8"/>
      <c r="O10" s="8"/>
      <c r="P10" s="8"/>
      <c r="Q10" s="8"/>
      <c r="R10" s="8" t="s">
        <v>1381</v>
      </c>
    </row>
    <row r="11" spans="1:18" s="11" customFormat="1" x14ac:dyDescent="0.25">
      <c r="A11" s="6" t="s">
        <v>393</v>
      </c>
      <c r="B11" s="8"/>
      <c r="C11" s="8"/>
      <c r="D11" s="8"/>
      <c r="E11" s="8"/>
      <c r="F11" s="8">
        <v>1</v>
      </c>
      <c r="G11" s="8"/>
      <c r="H11" s="8"/>
      <c r="I11" s="8"/>
      <c r="J11" s="8"/>
      <c r="K11" s="8"/>
      <c r="L11" s="8"/>
      <c r="M11" s="8">
        <v>1</v>
      </c>
      <c r="N11" s="8">
        <v>1</v>
      </c>
      <c r="O11" s="8">
        <v>1</v>
      </c>
      <c r="P11" s="8">
        <v>1</v>
      </c>
      <c r="Q11" s="8"/>
      <c r="R11" s="8" t="s">
        <v>1388</v>
      </c>
    </row>
    <row r="12" spans="1:18" s="11" customFormat="1" ht="51" x14ac:dyDescent="0.25">
      <c r="A12" s="21" t="s">
        <v>380</v>
      </c>
      <c r="B12" s="8"/>
      <c r="C12" s="8"/>
      <c r="D12" s="8"/>
      <c r="E12" s="8"/>
      <c r="F12" s="8">
        <v>1</v>
      </c>
      <c r="G12" s="8"/>
      <c r="H12" s="8"/>
      <c r="I12" s="8"/>
      <c r="J12" s="8"/>
      <c r="K12" s="8"/>
      <c r="L12" s="8">
        <v>1</v>
      </c>
      <c r="M12" s="8"/>
      <c r="N12" s="8"/>
      <c r="O12" s="8"/>
      <c r="P12" s="8"/>
      <c r="Q12" s="8"/>
      <c r="R12" s="12" t="s">
        <v>153</v>
      </c>
    </row>
    <row r="13" spans="1:18" ht="25.5" x14ac:dyDescent="0.25">
      <c r="A13" s="6" t="s">
        <v>95</v>
      </c>
      <c r="B13" s="8">
        <v>1</v>
      </c>
      <c r="C13" s="8">
        <v>1</v>
      </c>
      <c r="D13" s="8">
        <v>1</v>
      </c>
      <c r="E13" s="8">
        <v>1</v>
      </c>
      <c r="F13" s="8">
        <v>1</v>
      </c>
      <c r="G13" s="8"/>
      <c r="H13" s="8"/>
      <c r="I13" s="8"/>
      <c r="J13" s="8">
        <v>1</v>
      </c>
      <c r="K13" s="8"/>
      <c r="L13" s="8"/>
      <c r="M13" s="8">
        <v>1</v>
      </c>
      <c r="N13" s="8"/>
      <c r="O13" s="8">
        <v>1</v>
      </c>
      <c r="P13" s="8">
        <v>1</v>
      </c>
      <c r="Q13" s="8"/>
      <c r="R13" s="8" t="s">
        <v>1389</v>
      </c>
    </row>
    <row r="14" spans="1:18" s="11" customFormat="1" ht="63.75" x14ac:dyDescent="0.25">
      <c r="A14" s="6" t="s">
        <v>1709</v>
      </c>
      <c r="B14" s="8">
        <v>1</v>
      </c>
      <c r="C14" s="8">
        <v>1</v>
      </c>
      <c r="D14" s="8">
        <v>1</v>
      </c>
      <c r="E14" s="8"/>
      <c r="F14" s="8">
        <v>1</v>
      </c>
      <c r="G14" s="8"/>
      <c r="H14" s="8">
        <v>1</v>
      </c>
      <c r="I14" s="8"/>
      <c r="J14" s="8"/>
      <c r="K14" s="8">
        <v>1</v>
      </c>
      <c r="L14" s="8">
        <v>1</v>
      </c>
      <c r="M14" s="8">
        <v>1</v>
      </c>
      <c r="N14" s="8"/>
      <c r="O14" s="8">
        <v>1</v>
      </c>
      <c r="P14" s="8"/>
      <c r="Q14" s="8"/>
      <c r="R14" s="8" t="s">
        <v>1392</v>
      </c>
    </row>
    <row r="15" spans="1:18" ht="25.5" x14ac:dyDescent="0.25">
      <c r="A15" s="6" t="s">
        <v>179</v>
      </c>
      <c r="B15" s="8"/>
      <c r="C15" s="8"/>
      <c r="D15" s="8">
        <v>1</v>
      </c>
      <c r="E15" s="8"/>
      <c r="F15" s="8">
        <v>1</v>
      </c>
      <c r="G15" s="8"/>
      <c r="H15" s="8"/>
      <c r="I15" s="8"/>
      <c r="J15" s="8"/>
      <c r="K15" s="8"/>
      <c r="L15" s="8"/>
      <c r="M15" s="8"/>
      <c r="N15" s="8"/>
      <c r="O15" s="8"/>
      <c r="P15" s="8"/>
      <c r="Q15" s="8"/>
      <c r="R15" s="8" t="s">
        <v>322</v>
      </c>
    </row>
    <row r="16" spans="1:18" s="11" customFormat="1" ht="25.5" x14ac:dyDescent="0.25">
      <c r="A16" s="6" t="s">
        <v>341</v>
      </c>
      <c r="B16" s="8">
        <v>1</v>
      </c>
      <c r="C16" s="8">
        <v>1</v>
      </c>
      <c r="D16" s="8"/>
      <c r="E16" s="8"/>
      <c r="F16" s="8">
        <v>1</v>
      </c>
      <c r="G16" s="8"/>
      <c r="H16" s="8">
        <v>1</v>
      </c>
      <c r="I16" s="8"/>
      <c r="J16" s="8">
        <v>1</v>
      </c>
      <c r="K16" s="8"/>
      <c r="L16" s="8"/>
      <c r="M16" s="8"/>
      <c r="N16" s="8">
        <v>1</v>
      </c>
      <c r="O16" s="8">
        <v>1</v>
      </c>
      <c r="P16" s="8">
        <v>1</v>
      </c>
      <c r="Q16" s="8">
        <v>1</v>
      </c>
      <c r="R16" s="8" t="s">
        <v>1393</v>
      </c>
    </row>
    <row r="17" spans="1:18" ht="25.5" x14ac:dyDescent="0.25">
      <c r="A17" s="6" t="s">
        <v>22</v>
      </c>
      <c r="B17" s="8">
        <v>1</v>
      </c>
      <c r="C17" s="8"/>
      <c r="D17" s="8"/>
      <c r="E17" s="8"/>
      <c r="F17" s="8">
        <v>1</v>
      </c>
      <c r="G17" s="8"/>
      <c r="H17" s="8"/>
      <c r="I17" s="8"/>
      <c r="J17" s="8">
        <v>1</v>
      </c>
      <c r="K17" s="8"/>
      <c r="L17" s="8"/>
      <c r="M17" s="8"/>
      <c r="N17" s="8"/>
      <c r="O17" s="8">
        <v>1</v>
      </c>
      <c r="P17" s="8">
        <v>1</v>
      </c>
      <c r="Q17" s="8"/>
      <c r="R17" s="8" t="s">
        <v>1395</v>
      </c>
    </row>
    <row r="18" spans="1:18" s="11" customFormat="1" ht="25.5" x14ac:dyDescent="0.25">
      <c r="A18" s="6" t="s">
        <v>188</v>
      </c>
      <c r="B18" s="8">
        <v>1</v>
      </c>
      <c r="C18" s="8"/>
      <c r="D18" s="8">
        <v>1</v>
      </c>
      <c r="E18" s="8"/>
      <c r="F18" s="8">
        <v>1</v>
      </c>
      <c r="G18" s="8"/>
      <c r="H18" s="8"/>
      <c r="I18" s="8">
        <v>1</v>
      </c>
      <c r="J18" s="8">
        <v>1</v>
      </c>
      <c r="K18" s="8"/>
      <c r="L18" s="8"/>
      <c r="M18" s="8"/>
      <c r="N18" s="8"/>
      <c r="O18" s="8"/>
      <c r="P18" s="8"/>
      <c r="Q18" s="8">
        <v>1</v>
      </c>
      <c r="R18" s="8" t="s">
        <v>1394</v>
      </c>
    </row>
    <row r="19" spans="1:18" ht="38.25" x14ac:dyDescent="0.25">
      <c r="A19" s="6" t="s">
        <v>133</v>
      </c>
      <c r="B19" s="8"/>
      <c r="C19" s="8">
        <v>1</v>
      </c>
      <c r="D19" s="8">
        <v>1</v>
      </c>
      <c r="E19" s="8">
        <v>1</v>
      </c>
      <c r="F19" s="8">
        <v>1</v>
      </c>
      <c r="G19" s="8"/>
      <c r="H19" s="8"/>
      <c r="I19" s="8"/>
      <c r="J19" s="8">
        <v>1</v>
      </c>
      <c r="K19" s="8"/>
      <c r="L19" s="8"/>
      <c r="M19" s="8"/>
      <c r="N19" s="8"/>
      <c r="O19" s="8"/>
      <c r="P19" s="8">
        <v>1</v>
      </c>
      <c r="Q19" s="8"/>
      <c r="R19" s="8" t="s">
        <v>164</v>
      </c>
    </row>
    <row r="20" spans="1:18" s="11" customFormat="1" ht="25.5" x14ac:dyDescent="0.25">
      <c r="A20" s="6" t="s">
        <v>10</v>
      </c>
      <c r="B20" s="8"/>
      <c r="C20" s="8"/>
      <c r="D20" s="8"/>
      <c r="E20" s="8">
        <v>1</v>
      </c>
      <c r="F20" s="8">
        <v>1</v>
      </c>
      <c r="G20" s="8"/>
      <c r="H20" s="8"/>
      <c r="I20" s="8"/>
      <c r="J20" s="8"/>
      <c r="K20" s="8"/>
      <c r="L20" s="8"/>
      <c r="M20" s="8"/>
      <c r="N20" s="8"/>
      <c r="O20" s="8">
        <v>1</v>
      </c>
      <c r="P20" s="8"/>
      <c r="Q20" s="8">
        <v>1</v>
      </c>
      <c r="R20" s="8" t="s">
        <v>1396</v>
      </c>
    </row>
    <row r="21" spans="1:18" ht="38.25" x14ac:dyDescent="0.25">
      <c r="A21" s="6" t="s">
        <v>832</v>
      </c>
      <c r="B21" s="8">
        <v>1</v>
      </c>
      <c r="C21" s="8">
        <v>1</v>
      </c>
      <c r="D21" s="8">
        <v>1</v>
      </c>
      <c r="E21" s="8"/>
      <c r="F21" s="8">
        <v>1</v>
      </c>
      <c r="G21" s="8"/>
      <c r="H21" s="8">
        <v>1</v>
      </c>
      <c r="I21" s="8"/>
      <c r="J21" s="8">
        <v>1</v>
      </c>
      <c r="K21" s="8">
        <v>1</v>
      </c>
      <c r="L21" s="8">
        <v>1</v>
      </c>
      <c r="M21" s="8"/>
      <c r="N21" s="8"/>
      <c r="O21" s="8"/>
      <c r="P21" s="8"/>
      <c r="Q21" s="8"/>
      <c r="R21" s="8" t="s">
        <v>1397</v>
      </c>
    </row>
    <row r="22" spans="1:18" s="11" customFormat="1" x14ac:dyDescent="0.25">
      <c r="A22" s="6" t="s">
        <v>16</v>
      </c>
      <c r="B22" s="8">
        <v>1</v>
      </c>
      <c r="C22" s="8"/>
      <c r="D22" s="8"/>
      <c r="E22" s="8"/>
      <c r="F22" s="8">
        <v>1</v>
      </c>
      <c r="G22" s="8"/>
      <c r="H22" s="8"/>
      <c r="I22" s="8"/>
      <c r="J22" s="8"/>
      <c r="K22" s="8"/>
      <c r="L22" s="8">
        <v>1</v>
      </c>
      <c r="M22" s="8"/>
      <c r="N22" s="8"/>
      <c r="O22" s="8"/>
      <c r="P22" s="8"/>
      <c r="Q22" s="8"/>
      <c r="R22" s="8" t="s">
        <v>1398</v>
      </c>
    </row>
    <row r="23" spans="1:18" ht="25.5" x14ac:dyDescent="0.25">
      <c r="A23" s="6" t="s">
        <v>7</v>
      </c>
      <c r="B23" s="8"/>
      <c r="C23" s="8"/>
      <c r="D23" s="8">
        <v>1</v>
      </c>
      <c r="E23" s="8"/>
      <c r="F23" s="8">
        <v>1</v>
      </c>
      <c r="G23" s="8"/>
      <c r="H23" s="8">
        <v>1</v>
      </c>
      <c r="I23" s="8"/>
      <c r="J23" s="8"/>
      <c r="K23" s="8"/>
      <c r="L23" s="8">
        <v>1</v>
      </c>
      <c r="M23" s="8">
        <v>1</v>
      </c>
      <c r="N23" s="8"/>
      <c r="O23" s="8"/>
      <c r="P23" s="8">
        <v>1</v>
      </c>
      <c r="Q23" s="8"/>
      <c r="R23" s="8" t="s">
        <v>1399</v>
      </c>
    </row>
    <row r="24" spans="1:18" s="11" customFormat="1" ht="25.5" x14ac:dyDescent="0.25">
      <c r="A24" s="6" t="s">
        <v>18</v>
      </c>
      <c r="B24" s="8">
        <v>1</v>
      </c>
      <c r="C24" s="8">
        <v>1</v>
      </c>
      <c r="D24" s="8">
        <v>1</v>
      </c>
      <c r="E24" s="8"/>
      <c r="F24" s="8">
        <v>1</v>
      </c>
      <c r="G24" s="8"/>
      <c r="H24" s="8"/>
      <c r="I24" s="8"/>
      <c r="J24" s="8">
        <v>1</v>
      </c>
      <c r="K24" s="8"/>
      <c r="L24" s="8"/>
      <c r="M24" s="8">
        <v>1</v>
      </c>
      <c r="N24" s="8"/>
      <c r="O24" s="8">
        <v>1</v>
      </c>
      <c r="P24" s="8">
        <v>1</v>
      </c>
      <c r="Q24" s="8"/>
      <c r="R24" s="8" t="s">
        <v>1400</v>
      </c>
    </row>
    <row r="25" spans="1:18" x14ac:dyDescent="0.25">
      <c r="A25" s="6" t="s">
        <v>338</v>
      </c>
      <c r="B25" s="8">
        <v>1</v>
      </c>
      <c r="C25" s="8"/>
      <c r="D25" s="8">
        <v>1</v>
      </c>
      <c r="E25" s="8">
        <v>1</v>
      </c>
      <c r="F25" s="8"/>
      <c r="G25" s="8"/>
      <c r="H25" s="8"/>
      <c r="I25" s="8"/>
      <c r="J25" s="8">
        <v>1</v>
      </c>
      <c r="K25" s="8">
        <v>1</v>
      </c>
      <c r="L25" s="8"/>
      <c r="M25" s="8"/>
      <c r="N25" s="8"/>
      <c r="O25" s="8">
        <v>1</v>
      </c>
      <c r="P25" s="8"/>
      <c r="Q25" s="8"/>
      <c r="R25" s="8" t="s">
        <v>1401</v>
      </c>
    </row>
    <row r="26" spans="1:18" s="11" customFormat="1" ht="38.25" x14ac:dyDescent="0.25">
      <c r="A26" s="6" t="s">
        <v>351</v>
      </c>
      <c r="B26" s="8">
        <v>1</v>
      </c>
      <c r="C26" s="8">
        <v>1</v>
      </c>
      <c r="D26" s="8">
        <v>1</v>
      </c>
      <c r="E26" s="8">
        <v>1</v>
      </c>
      <c r="F26" s="8">
        <v>1</v>
      </c>
      <c r="G26" s="8"/>
      <c r="H26" s="8">
        <v>1</v>
      </c>
      <c r="I26" s="8"/>
      <c r="J26" s="8">
        <v>1</v>
      </c>
      <c r="K26" s="8"/>
      <c r="L26" s="8"/>
      <c r="M26" s="8">
        <v>1</v>
      </c>
      <c r="N26" s="8">
        <v>1</v>
      </c>
      <c r="O26" s="8">
        <v>1</v>
      </c>
      <c r="P26" s="8">
        <v>1</v>
      </c>
      <c r="Q26" s="8"/>
      <c r="R26" s="8" t="s">
        <v>1403</v>
      </c>
    </row>
    <row r="27" spans="1:18" s="11" customFormat="1" ht="51" x14ac:dyDescent="0.25">
      <c r="A27" s="6" t="s">
        <v>24</v>
      </c>
      <c r="B27" s="8">
        <v>1</v>
      </c>
      <c r="C27" s="8">
        <v>1</v>
      </c>
      <c r="D27" s="8"/>
      <c r="E27" s="8"/>
      <c r="F27" s="8">
        <v>1</v>
      </c>
      <c r="G27" s="8"/>
      <c r="H27" s="8"/>
      <c r="I27" s="8"/>
      <c r="J27" s="8"/>
      <c r="K27" s="8"/>
      <c r="L27" s="8"/>
      <c r="M27" s="8"/>
      <c r="N27" s="8"/>
      <c r="O27" s="8"/>
      <c r="P27" s="8"/>
      <c r="Q27" s="8"/>
      <c r="R27" s="8" t="s">
        <v>1402</v>
      </c>
    </row>
    <row r="28" spans="1:18" x14ac:dyDescent="0.25">
      <c r="A28" s="18" t="s">
        <v>854</v>
      </c>
      <c r="B28" s="18">
        <f>SUBTOTAL(109,Ueberblick42848[öffentliche Statistiken])</f>
        <v>18</v>
      </c>
      <c r="C28" s="18">
        <f>SUBTOTAL(109,Ueberblick42848[Energiverbrauchsstatistik])</f>
        <v>12</v>
      </c>
      <c r="D28" s="18">
        <f>SUBTOTAL(109,Ueberblick42848[Smart Metering- und 
Lastamanagementfeldstudien])</f>
        <v>14</v>
      </c>
      <c r="E28" s="18">
        <f>SUBTOTAL(109,Ueberblick42848[methodisch fokussierte Paper])</f>
        <v>8</v>
      </c>
      <c r="F28" s="18">
        <f>SUBTOTAL(109,Ueberblick42848[Lastmanagementpotenzialstudien])</f>
        <v>24</v>
      </c>
      <c r="G28" s="18">
        <f>SUBTOTAL(109,Ueberblick42848[Lastprofilgeneratoren])</f>
        <v>1</v>
      </c>
      <c r="H28" s="18">
        <f>SUBTOTAL(109,Ueberblick42848[VNB-Daten (z. B. 
Einspeisemanagement)])</f>
        <v>6</v>
      </c>
      <c r="I28" s="18">
        <f>SUBTOTAL(109,Ueberblick42848[sozialwissenschaftliche Studien])</f>
        <v>2</v>
      </c>
      <c r="J28" s="18">
        <f>SUBTOTAL(109,Ueberblick42848[Branchen- und Verbandsstatistiken])</f>
        <v>14</v>
      </c>
      <c r="K28" s="18">
        <f>SUBTOTAL(109,Ueberblick42848[reale Lastgangdaten])</f>
        <v>5</v>
      </c>
      <c r="L28" s="18">
        <f>SUBTOTAL(109,Ueberblick42848[eigene Datenbasis / Datenbank])</f>
        <v>7</v>
      </c>
      <c r="M28" s="18">
        <f>SUBTOTAL(109,Ueberblick42848[Energiesystemanalysen])</f>
        <v>9</v>
      </c>
      <c r="N28" s="18">
        <f>SUBTOTAL(109,Ueberblick42848[Herstellerangaben])</f>
        <v>3</v>
      </c>
      <c r="O28" s="18">
        <f>SUBTOTAL(109,Ueberblick42848[technische Publikationen 
zu Prozessen])</f>
        <v>13</v>
      </c>
      <c r="P28" s="18">
        <f>SUBTOTAL(109,Ueberblick42848[Datenportale: Verbrauchs-, 
Wetter-, Preisdaten])</f>
        <v>11</v>
      </c>
      <c r="Q28" s="18">
        <f>SUBTOTAL(109,Ueberblick42848[Literatur zu Elekrotmobilität])</f>
        <v>3</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DAC90-EB25-473E-A951-F3ACAE77AC04}">
  <sheetPr codeName="Tabelle21">
    <tabColor theme="7" tint="0.79998168889431442"/>
  </sheetPr>
  <dimension ref="A1:R28"/>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c r="D1" s="3" t="s">
        <v>101</v>
      </c>
      <c r="E1" s="3"/>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3" t="s">
        <v>1367</v>
      </c>
      <c r="C2" s="43" t="s">
        <v>1374</v>
      </c>
      <c r="D2" s="43" t="s">
        <v>1368</v>
      </c>
      <c r="E2" s="43" t="s">
        <v>1452</v>
      </c>
      <c r="F2" s="43" t="s">
        <v>1359</v>
      </c>
      <c r="G2" s="43" t="s">
        <v>1360</v>
      </c>
      <c r="H2" s="43" t="s">
        <v>1391</v>
      </c>
      <c r="I2" s="43" t="s">
        <v>1361</v>
      </c>
      <c r="J2" s="43" t="s">
        <v>1362</v>
      </c>
      <c r="K2" s="43" t="s">
        <v>1363</v>
      </c>
      <c r="L2" s="43" t="s">
        <v>1364</v>
      </c>
      <c r="M2" s="43" t="s">
        <v>1316</v>
      </c>
      <c r="N2" s="43" t="s">
        <v>1343</v>
      </c>
      <c r="O2" s="43" t="s">
        <v>1365</v>
      </c>
      <c r="P2" s="43" t="s">
        <v>1453</v>
      </c>
      <c r="Q2" s="43" t="s">
        <v>1366</v>
      </c>
      <c r="R2" s="3" t="s">
        <v>104</v>
      </c>
    </row>
    <row r="3" spans="1:18" x14ac:dyDescent="0.25">
      <c r="A3" s="6" t="s">
        <v>12</v>
      </c>
      <c r="B3" s="42" t="str">
        <f>VLOOKUP(Ueberblick42848[[#This Row],[öffentliche Statistiken]],Dropdown!$A$2:$D$4,4,FALSE)</f>
        <v>X</v>
      </c>
      <c r="C3" s="42" t="str">
        <f>VLOOKUP(Ueberblick42848[[#This Row],[Energiverbrauchsstatistik]],Dropdown!$A$2:$D$4,4,FALSE)</f>
        <v>X</v>
      </c>
      <c r="D3" s="42" t="str">
        <f>VLOOKUP(Ueberblick42848[[#This Row],[Smart Metering- und 
Lastamanagementfeldstudien]],Dropdown!$A$2:$D$4,4,FALSE)</f>
        <v>X</v>
      </c>
      <c r="E3" s="42" t="str">
        <f>VLOOKUP(Ueberblick42848[[#This Row],[methodisch fokussierte Paper]],Dropdown!$A$2:$D$4,4,FALSE)</f>
        <v>X</v>
      </c>
      <c r="F3" s="42" t="str">
        <f>VLOOKUP(Ueberblick42848[[#This Row],[Lastmanagementpotenzialstudien]],Dropdown!$A$2:$D$4,4,FALSE)</f>
        <v>X</v>
      </c>
      <c r="G3" s="42" t="str">
        <f>VLOOKUP(Ueberblick42848[[#This Row],[Lastprofilgeneratoren]],Dropdown!$A$2:$D$4,4,FALSE)</f>
        <v>-</v>
      </c>
      <c r="H3" s="42" t="str">
        <f>VLOOKUP(Ueberblick42848[[#This Row],[VNB-Daten (z. B. 
Einspeisemanagement)]],Dropdown!$A$2:$D$4,4,FALSE)</f>
        <v>-</v>
      </c>
      <c r="I3" s="42" t="str">
        <f>VLOOKUP(Ueberblick42848[[#This Row],[sozialwissenschaftliche Studien]],Dropdown!$A$2:$D$4,4,FALSE)</f>
        <v>-</v>
      </c>
      <c r="J3" s="42" t="str">
        <f>VLOOKUP(Ueberblick42848[[#This Row],[Branchen- und Verbandsstatistiken]],Dropdown!$A$2:$D$4,4,FALSE)</f>
        <v>X</v>
      </c>
      <c r="K3" s="42" t="str">
        <f>VLOOKUP(Ueberblick42848[[#This Row],[reale Lastgangdaten]],Dropdown!$A$2:$D$4,4,FALSE)</f>
        <v>-</v>
      </c>
      <c r="L3" s="42" t="str">
        <f>VLOOKUP(Ueberblick42848[[#This Row],[eigene Datenbasis / Datenbank]],Dropdown!$A$2:$D$4,4,FALSE)</f>
        <v>-</v>
      </c>
      <c r="M3" s="42" t="str">
        <f>VLOOKUP(Ueberblick42848[[#This Row],[Energiesystemanalysen]],Dropdown!$A$2:$D$4,4,FALSE)</f>
        <v>-</v>
      </c>
      <c r="N3" s="42" t="str">
        <f>VLOOKUP(Ueberblick42848[[#This Row],[Herstellerangaben]],Dropdown!$A$2:$D$4,4,FALSE)</f>
        <v>-</v>
      </c>
      <c r="O3" s="42" t="str">
        <f>VLOOKUP(Ueberblick42848[[#This Row],[technische Publikationen 
zu Prozessen]],Dropdown!$A$2:$D$4,4,FALSE)</f>
        <v>X</v>
      </c>
      <c r="P3" s="42" t="str">
        <f>VLOOKUP(Ueberblick42848[[#This Row],[Datenportale: Verbrauchs-, 
Wetter-, Preisdaten]],Dropdown!$A$2:$D$4,4,FALSE)</f>
        <v>-</v>
      </c>
      <c r="Q3" s="42" t="str">
        <f>VLOOKUP(Ueberblick42848[[#This Row],[Literatur zu Elekrotmobilität]],Dropdown!$A$2:$D$4,4,FALSE)</f>
        <v>-</v>
      </c>
      <c r="R3" s="8" t="s">
        <v>1371</v>
      </c>
    </row>
    <row r="4" spans="1:18" ht="25.5" x14ac:dyDescent="0.25">
      <c r="A4" s="6" t="s">
        <v>347</v>
      </c>
      <c r="B4" s="42" t="str">
        <f>VLOOKUP(Ueberblick42848[[#This Row],[öffentliche Statistiken]],Dropdown!$A$2:$D$4,4,FALSE)</f>
        <v>X</v>
      </c>
      <c r="C4" s="42" t="str">
        <f>VLOOKUP(Ueberblick42848[[#This Row],[Energiverbrauchsstatistik]],Dropdown!$A$2:$D$4,4,FALSE)</f>
        <v>-</v>
      </c>
      <c r="D4" s="42" t="str">
        <f>VLOOKUP(Ueberblick42848[[#This Row],[Smart Metering- und 
Lastamanagementfeldstudien]],Dropdown!$A$2:$D$4,4,FALSE)</f>
        <v>X</v>
      </c>
      <c r="E4" s="42" t="str">
        <f>VLOOKUP(Ueberblick42848[[#This Row],[methodisch fokussierte Paper]],Dropdown!$A$2:$D$4,4,FALSE)</f>
        <v>X</v>
      </c>
      <c r="F4" s="42" t="str">
        <f>VLOOKUP(Ueberblick42848[[#This Row],[Lastmanagementpotenzialstudien]],Dropdown!$A$2:$D$4,4,FALSE)</f>
        <v>X</v>
      </c>
      <c r="G4" s="42" t="str">
        <f>VLOOKUP(Ueberblick42848[[#This Row],[Lastprofilgeneratoren]],Dropdown!$A$2:$D$4,4,FALSE)</f>
        <v>X</v>
      </c>
      <c r="H4" s="42" t="str">
        <f>VLOOKUP(Ueberblick42848[[#This Row],[VNB-Daten (z. B. 
Einspeisemanagement)]],Dropdown!$A$2:$D$4,4,FALSE)</f>
        <v>-</v>
      </c>
      <c r="I4" s="42" t="str">
        <f>VLOOKUP(Ueberblick42848[[#This Row],[sozialwissenschaftliche Studien]],Dropdown!$A$2:$D$4,4,FALSE)</f>
        <v>X</v>
      </c>
      <c r="J4" s="42" t="str">
        <f>VLOOKUP(Ueberblick42848[[#This Row],[Branchen- und Verbandsstatistiken]],Dropdown!$A$2:$D$4,4,FALSE)</f>
        <v>-</v>
      </c>
      <c r="K4" s="42" t="str">
        <f>VLOOKUP(Ueberblick42848[[#This Row],[reale Lastgangdaten]],Dropdown!$A$2:$D$4,4,FALSE)</f>
        <v>-</v>
      </c>
      <c r="L4" s="42" t="str">
        <f>VLOOKUP(Ueberblick42848[[#This Row],[eigene Datenbasis / Datenbank]],Dropdown!$A$2:$D$4,4,FALSE)</f>
        <v>-</v>
      </c>
      <c r="M4" s="42" t="str">
        <f>VLOOKUP(Ueberblick42848[[#This Row],[Energiesystemanalysen]],Dropdown!$A$2:$D$4,4,FALSE)</f>
        <v>X</v>
      </c>
      <c r="N4" s="42" t="str">
        <f>VLOOKUP(Ueberblick42848[[#This Row],[Herstellerangaben]],Dropdown!$A$2:$D$4,4,FALSE)</f>
        <v>-</v>
      </c>
      <c r="O4" s="42" t="str">
        <f>VLOOKUP(Ueberblick42848[[#This Row],[technische Publikationen 
zu Prozessen]],Dropdown!$A$2:$D$4,4,FALSE)</f>
        <v>X</v>
      </c>
      <c r="P4" s="42" t="str">
        <f>VLOOKUP(Ueberblick42848[[#This Row],[Datenportale: Verbrauchs-, 
Wetter-, Preisdaten]],Dropdown!$A$2:$D$4,4,FALSE)</f>
        <v>-</v>
      </c>
      <c r="Q4" s="42" t="str">
        <f>VLOOKUP(Ueberblick42848[[#This Row],[Literatur zu Elekrotmobilität]],Dropdown!$A$2:$D$4,4,FALSE)</f>
        <v>-</v>
      </c>
      <c r="R4" s="8" t="s">
        <v>1370</v>
      </c>
    </row>
    <row r="5" spans="1:18" s="11" customFormat="1" ht="25.5" x14ac:dyDescent="0.25">
      <c r="A5" s="6" t="s">
        <v>348</v>
      </c>
      <c r="B5" s="42" t="str">
        <f>VLOOKUP(Ueberblick42848[[#This Row],[öffentliche Statistiken]],Dropdown!$A$2:$D$4,4,FALSE)</f>
        <v>-</v>
      </c>
      <c r="C5" s="42" t="str">
        <f>VLOOKUP(Ueberblick42848[[#This Row],[Energiverbrauchsstatistik]],Dropdown!$A$2:$D$4,4,FALSE)</f>
        <v>-</v>
      </c>
      <c r="D5" s="42" t="str">
        <f>VLOOKUP(Ueberblick42848[[#This Row],[Smart Metering- und 
Lastamanagementfeldstudien]],Dropdown!$A$2:$D$4,4,FALSE)</f>
        <v>-</v>
      </c>
      <c r="E5" s="42" t="str">
        <f>VLOOKUP(Ueberblick42848[[#This Row],[methodisch fokussierte Paper]],Dropdown!$A$2:$D$4,4,FALSE)</f>
        <v>-</v>
      </c>
      <c r="F5" s="42" t="str">
        <f>VLOOKUP(Ueberblick42848[[#This Row],[Lastmanagementpotenzialstudien]],Dropdown!$A$2:$D$4,4,FALSE)</f>
        <v>X</v>
      </c>
      <c r="G5" s="42" t="str">
        <f>VLOOKUP(Ueberblick42848[[#This Row],[Lastprofilgeneratoren]],Dropdown!$A$2:$D$4,4,FALSE)</f>
        <v>-</v>
      </c>
      <c r="H5" s="42" t="str">
        <f>VLOOKUP(Ueberblick42848[[#This Row],[VNB-Daten (z. B. 
Einspeisemanagement)]],Dropdown!$A$2:$D$4,4,FALSE)</f>
        <v>-</v>
      </c>
      <c r="I5" s="42" t="str">
        <f>VLOOKUP(Ueberblick42848[[#This Row],[sozialwissenschaftliche Studien]],Dropdown!$A$2:$D$4,4,FALSE)</f>
        <v>-</v>
      </c>
      <c r="J5" s="42" t="str">
        <f>VLOOKUP(Ueberblick42848[[#This Row],[Branchen- und Verbandsstatistiken]],Dropdown!$A$2:$D$4,4,FALSE)</f>
        <v>X</v>
      </c>
      <c r="K5" s="42" t="str">
        <f>VLOOKUP(Ueberblick42848[[#This Row],[reale Lastgangdaten]],Dropdown!$A$2:$D$4,4,FALSE)</f>
        <v>-</v>
      </c>
      <c r="L5" s="42" t="str">
        <f>VLOOKUP(Ueberblick42848[[#This Row],[eigene Datenbasis / Datenbank]],Dropdown!$A$2:$D$4,4,FALSE)</f>
        <v>-</v>
      </c>
      <c r="M5" s="42" t="str">
        <f>VLOOKUP(Ueberblick42848[[#This Row],[Energiesystemanalysen]],Dropdown!$A$2:$D$4,4,FALSE)</f>
        <v>-</v>
      </c>
      <c r="N5" s="42" t="str">
        <f>VLOOKUP(Ueberblick42848[[#This Row],[Herstellerangaben]],Dropdown!$A$2:$D$4,4,FALSE)</f>
        <v>-</v>
      </c>
      <c r="O5" s="42" t="str">
        <f>VLOOKUP(Ueberblick42848[[#This Row],[technische Publikationen 
zu Prozessen]],Dropdown!$A$2:$D$4,4,FALSE)</f>
        <v>-</v>
      </c>
      <c r="P5" s="42" t="str">
        <f>VLOOKUP(Ueberblick42848[[#This Row],[Datenportale: Verbrauchs-, 
Wetter-, Preisdaten]],Dropdown!$A$2:$D$4,4,FALSE)</f>
        <v>X</v>
      </c>
      <c r="Q5" s="42" t="str">
        <f>VLOOKUP(Ueberblick42848[[#This Row],[Literatur zu Elekrotmobilität]],Dropdown!$A$2:$D$4,4,FALSE)</f>
        <v>-</v>
      </c>
      <c r="R5" s="8" t="s">
        <v>1377</v>
      </c>
    </row>
    <row r="6" spans="1:18" s="11" customFormat="1" ht="25.5" x14ac:dyDescent="0.25">
      <c r="A6" s="6" t="s">
        <v>183</v>
      </c>
      <c r="B6" s="42" t="str">
        <f>VLOOKUP(Ueberblick42848[[#This Row],[öffentliche Statistiken]],Dropdown!$A$2:$D$4,4,FALSE)</f>
        <v>X</v>
      </c>
      <c r="C6" s="42" t="str">
        <f>VLOOKUP(Ueberblick42848[[#This Row],[Energiverbrauchsstatistik]],Dropdown!$A$2:$D$4,4,FALSE)</f>
        <v>X</v>
      </c>
      <c r="D6" s="42" t="str">
        <f>VLOOKUP(Ueberblick42848[[#This Row],[Smart Metering- und 
Lastamanagementfeldstudien]],Dropdown!$A$2:$D$4,4,FALSE)</f>
        <v>-</v>
      </c>
      <c r="E6" s="42" t="str">
        <f>VLOOKUP(Ueberblick42848[[#This Row],[methodisch fokussierte Paper]],Dropdown!$A$2:$D$4,4,FALSE)</f>
        <v>-</v>
      </c>
      <c r="F6" s="42" t="str">
        <f>VLOOKUP(Ueberblick42848[[#This Row],[Lastmanagementpotenzialstudien]],Dropdown!$A$2:$D$4,4,FALSE)</f>
        <v>X</v>
      </c>
      <c r="G6" s="42" t="str">
        <f>VLOOKUP(Ueberblick42848[[#This Row],[Lastprofilgeneratoren]],Dropdown!$A$2:$D$4,4,FALSE)</f>
        <v>-</v>
      </c>
      <c r="H6" s="42" t="str">
        <f>VLOOKUP(Ueberblick42848[[#This Row],[VNB-Daten (z. B. 
Einspeisemanagement)]],Dropdown!$A$2:$D$4,4,FALSE)</f>
        <v>-</v>
      </c>
      <c r="I6" s="42" t="str">
        <f>VLOOKUP(Ueberblick42848[[#This Row],[sozialwissenschaftliche Studien]],Dropdown!$A$2:$D$4,4,FALSE)</f>
        <v>-</v>
      </c>
      <c r="J6" s="42" t="str">
        <f>VLOOKUP(Ueberblick42848[[#This Row],[Branchen- und Verbandsstatistiken]],Dropdown!$A$2:$D$4,4,FALSE)</f>
        <v>X</v>
      </c>
      <c r="K6" s="42" t="str">
        <f>VLOOKUP(Ueberblick42848[[#This Row],[reale Lastgangdaten]],Dropdown!$A$2:$D$4,4,FALSE)</f>
        <v>-</v>
      </c>
      <c r="L6" s="42" t="str">
        <f>VLOOKUP(Ueberblick42848[[#This Row],[eigene Datenbasis / Datenbank]],Dropdown!$A$2:$D$4,4,FALSE)</f>
        <v>-</v>
      </c>
      <c r="M6" s="42" t="str">
        <f>VLOOKUP(Ueberblick42848[[#This Row],[Energiesystemanalysen]],Dropdown!$A$2:$D$4,4,FALSE)</f>
        <v>-</v>
      </c>
      <c r="N6" s="42" t="str">
        <f>VLOOKUP(Ueberblick42848[[#This Row],[Herstellerangaben]],Dropdown!$A$2:$D$4,4,FALSE)</f>
        <v>-</v>
      </c>
      <c r="O6" s="42" t="str">
        <f>VLOOKUP(Ueberblick42848[[#This Row],[technische Publikationen 
zu Prozessen]],Dropdown!$A$2:$D$4,4,FALSE)</f>
        <v>X</v>
      </c>
      <c r="P6" s="42" t="str">
        <f>VLOOKUP(Ueberblick42848[[#This Row],[Datenportale: Verbrauchs-, 
Wetter-, Preisdaten]],Dropdown!$A$2:$D$4,4,FALSE)</f>
        <v>-</v>
      </c>
      <c r="Q6" s="42" t="str">
        <f>VLOOKUP(Ueberblick42848[[#This Row],[Literatur zu Elekrotmobilität]],Dropdown!$A$2:$D$4,4,FALSE)</f>
        <v>-</v>
      </c>
      <c r="R6" s="8" t="s">
        <v>1372</v>
      </c>
    </row>
    <row r="7" spans="1:18" s="11" customFormat="1" ht="25.5" x14ac:dyDescent="0.25">
      <c r="A7" s="6" t="s">
        <v>258</v>
      </c>
      <c r="B7" s="42" t="str">
        <f>VLOOKUP(Ueberblick42848[[#This Row],[öffentliche Statistiken]],Dropdown!$A$2:$D$4,4,FALSE)</f>
        <v>X</v>
      </c>
      <c r="C7" s="42" t="str">
        <f>VLOOKUP(Ueberblick42848[[#This Row],[Energiverbrauchsstatistik]],Dropdown!$A$2:$D$4,4,FALSE)</f>
        <v>X</v>
      </c>
      <c r="D7" s="42" t="str">
        <f>VLOOKUP(Ueberblick42848[[#This Row],[Smart Metering- und 
Lastamanagementfeldstudien]],Dropdown!$A$2:$D$4,4,FALSE)</f>
        <v>X</v>
      </c>
      <c r="E7" s="42" t="str">
        <f>VLOOKUP(Ueberblick42848[[#This Row],[methodisch fokussierte Paper]],Dropdown!$A$2:$D$4,4,FALSE)</f>
        <v>X</v>
      </c>
      <c r="F7" s="42" t="str">
        <f>VLOOKUP(Ueberblick42848[[#This Row],[Lastmanagementpotenzialstudien]],Dropdown!$A$2:$D$4,4,FALSE)</f>
        <v>X</v>
      </c>
      <c r="G7" s="42" t="str">
        <f>VLOOKUP(Ueberblick42848[[#This Row],[Lastprofilgeneratoren]],Dropdown!$A$2:$D$4,4,FALSE)</f>
        <v>-</v>
      </c>
      <c r="H7" s="42" t="str">
        <f>VLOOKUP(Ueberblick42848[[#This Row],[VNB-Daten (z. B. 
Einspeisemanagement)]],Dropdown!$A$2:$D$4,4,FALSE)</f>
        <v>-</v>
      </c>
      <c r="I7" s="42" t="str">
        <f>VLOOKUP(Ueberblick42848[[#This Row],[sozialwissenschaftliche Studien]],Dropdown!$A$2:$D$4,4,FALSE)</f>
        <v>-</v>
      </c>
      <c r="J7" s="42" t="str">
        <f>VLOOKUP(Ueberblick42848[[#This Row],[Branchen- und Verbandsstatistiken]],Dropdown!$A$2:$D$4,4,FALSE)</f>
        <v>X</v>
      </c>
      <c r="K7" s="42" t="str">
        <f>VLOOKUP(Ueberblick42848[[#This Row],[reale Lastgangdaten]],Dropdown!$A$2:$D$4,4,FALSE)</f>
        <v>-</v>
      </c>
      <c r="L7" s="42" t="str">
        <f>VLOOKUP(Ueberblick42848[[#This Row],[eigene Datenbasis / Datenbank]],Dropdown!$A$2:$D$4,4,FALSE)</f>
        <v>-</v>
      </c>
      <c r="M7" s="42" t="str">
        <f>VLOOKUP(Ueberblick42848[[#This Row],[Energiesystemanalysen]],Dropdown!$A$2:$D$4,4,FALSE)</f>
        <v>X</v>
      </c>
      <c r="N7" s="42" t="str">
        <f>VLOOKUP(Ueberblick42848[[#This Row],[Herstellerangaben]],Dropdown!$A$2:$D$4,4,FALSE)</f>
        <v>-</v>
      </c>
      <c r="O7" s="42" t="str">
        <f>VLOOKUP(Ueberblick42848[[#This Row],[technische Publikationen 
zu Prozessen]],Dropdown!$A$2:$D$4,4,FALSE)</f>
        <v>X</v>
      </c>
      <c r="P7" s="42" t="str">
        <f>VLOOKUP(Ueberblick42848[[#This Row],[Datenportale: Verbrauchs-, 
Wetter-, Preisdaten]],Dropdown!$A$2:$D$4,4,FALSE)</f>
        <v>X</v>
      </c>
      <c r="Q7" s="42" t="str">
        <f>VLOOKUP(Ueberblick42848[[#This Row],[Literatur zu Elekrotmobilität]],Dropdown!$A$2:$D$4,4,FALSE)</f>
        <v>-</v>
      </c>
      <c r="R7" s="8" t="s">
        <v>1378</v>
      </c>
    </row>
    <row r="8" spans="1:18" s="11" customFormat="1" ht="25.5" x14ac:dyDescent="0.25">
      <c r="A8" s="18" t="s">
        <v>355</v>
      </c>
      <c r="B8" s="42" t="str">
        <f>VLOOKUP(Ueberblick42848[[#This Row],[öffentliche Statistiken]],Dropdown!$A$2:$D$4,4,FALSE)</f>
        <v>X</v>
      </c>
      <c r="C8" s="42" t="str">
        <f>VLOOKUP(Ueberblick42848[[#This Row],[Energiverbrauchsstatistik]],Dropdown!$A$2:$D$4,4,FALSE)</f>
        <v>-</v>
      </c>
      <c r="D8" s="42" t="str">
        <f>VLOOKUP(Ueberblick42848[[#This Row],[Smart Metering- und 
Lastamanagementfeldstudien]],Dropdown!$A$2:$D$4,4,FALSE)</f>
        <v>X</v>
      </c>
      <c r="E8" s="42" t="str">
        <f>VLOOKUP(Ueberblick42848[[#This Row],[methodisch fokussierte Paper]],Dropdown!$A$2:$D$4,4,FALSE)</f>
        <v>-</v>
      </c>
      <c r="F8" s="42" t="str">
        <f>VLOOKUP(Ueberblick42848[[#This Row],[Lastmanagementpotenzialstudien]],Dropdown!$A$2:$D$4,4,FALSE)</f>
        <v>X</v>
      </c>
      <c r="G8" s="42" t="str">
        <f>VLOOKUP(Ueberblick42848[[#This Row],[Lastprofilgeneratoren]],Dropdown!$A$2:$D$4,4,FALSE)</f>
        <v>-</v>
      </c>
      <c r="H8" s="42" t="str">
        <f>VLOOKUP(Ueberblick42848[[#This Row],[VNB-Daten (z. B. 
Einspeisemanagement)]],Dropdown!$A$2:$D$4,4,FALSE)</f>
        <v>-</v>
      </c>
      <c r="I8" s="42" t="str">
        <f>VLOOKUP(Ueberblick42848[[#This Row],[sozialwissenschaftliche Studien]],Dropdown!$A$2:$D$4,4,FALSE)</f>
        <v>-</v>
      </c>
      <c r="J8" s="42" t="str">
        <f>VLOOKUP(Ueberblick42848[[#This Row],[Branchen- und Verbandsstatistiken]],Dropdown!$A$2:$D$4,4,FALSE)</f>
        <v>-</v>
      </c>
      <c r="K8" s="42" t="str">
        <f>VLOOKUP(Ueberblick42848[[#This Row],[reale Lastgangdaten]],Dropdown!$A$2:$D$4,4,FALSE)</f>
        <v>X</v>
      </c>
      <c r="L8" s="42" t="str">
        <f>VLOOKUP(Ueberblick42848[[#This Row],[eigene Datenbasis / Datenbank]],Dropdown!$A$2:$D$4,4,FALSE)</f>
        <v>X</v>
      </c>
      <c r="M8" s="42" t="str">
        <f>VLOOKUP(Ueberblick42848[[#This Row],[Energiesystemanalysen]],Dropdown!$A$2:$D$4,4,FALSE)</f>
        <v>X</v>
      </c>
      <c r="N8" s="42" t="str">
        <f>VLOOKUP(Ueberblick42848[[#This Row],[Herstellerangaben]],Dropdown!$A$2:$D$4,4,FALSE)</f>
        <v>-</v>
      </c>
      <c r="O8" s="42" t="str">
        <f>VLOOKUP(Ueberblick42848[[#This Row],[technische Publikationen 
zu Prozessen]],Dropdown!$A$2:$D$4,4,FALSE)</f>
        <v>-</v>
      </c>
      <c r="P8" s="42" t="str">
        <f>VLOOKUP(Ueberblick42848[[#This Row],[Datenportale: Verbrauchs-, 
Wetter-, Preisdaten]],Dropdown!$A$2:$D$4,4,FALSE)</f>
        <v>X</v>
      </c>
      <c r="Q8" s="42" t="str">
        <f>VLOOKUP(Ueberblick42848[[#This Row],[Literatur zu Elekrotmobilität]],Dropdown!$A$2:$D$4,4,FALSE)</f>
        <v>-</v>
      </c>
      <c r="R8" s="17" t="s">
        <v>1380</v>
      </c>
    </row>
    <row r="9" spans="1:18" ht="25.5" x14ac:dyDescent="0.25">
      <c r="A9" s="18" t="s">
        <v>431</v>
      </c>
      <c r="B9" s="42" t="str">
        <f>VLOOKUP(Ueberblick42848[[#This Row],[öffentliche Statistiken]],Dropdown!$A$2:$D$4,4,FALSE)</f>
        <v>X</v>
      </c>
      <c r="C9" s="42" t="str">
        <f>VLOOKUP(Ueberblick42848[[#This Row],[Energiverbrauchsstatistik]],Dropdown!$A$2:$D$4,4,FALSE)</f>
        <v>-</v>
      </c>
      <c r="D9" s="42" t="str">
        <f>VLOOKUP(Ueberblick42848[[#This Row],[Smart Metering- und 
Lastamanagementfeldstudien]],Dropdown!$A$2:$D$4,4,FALSE)</f>
        <v>-</v>
      </c>
      <c r="E9" s="42" t="str">
        <f>VLOOKUP(Ueberblick42848[[#This Row],[methodisch fokussierte Paper]],Dropdown!$A$2:$D$4,4,FALSE)</f>
        <v>-</v>
      </c>
      <c r="F9" s="42" t="str">
        <f>VLOOKUP(Ueberblick42848[[#This Row],[Lastmanagementpotenzialstudien]],Dropdown!$A$2:$D$4,4,FALSE)</f>
        <v>X</v>
      </c>
      <c r="G9" s="42" t="str">
        <f>VLOOKUP(Ueberblick42848[[#This Row],[Lastprofilgeneratoren]],Dropdown!$A$2:$D$4,4,FALSE)</f>
        <v>-</v>
      </c>
      <c r="H9" s="42" t="str">
        <f>VLOOKUP(Ueberblick42848[[#This Row],[VNB-Daten (z. B. 
Einspeisemanagement)]],Dropdown!$A$2:$D$4,4,FALSE)</f>
        <v>-</v>
      </c>
      <c r="I9" s="42" t="str">
        <f>VLOOKUP(Ueberblick42848[[#This Row],[sozialwissenschaftliche Studien]],Dropdown!$A$2:$D$4,4,FALSE)</f>
        <v>-</v>
      </c>
      <c r="J9" s="42" t="str">
        <f>VLOOKUP(Ueberblick42848[[#This Row],[Branchen- und Verbandsstatistiken]],Dropdown!$A$2:$D$4,4,FALSE)</f>
        <v>-</v>
      </c>
      <c r="K9" s="42" t="str">
        <f>VLOOKUP(Ueberblick42848[[#This Row],[reale Lastgangdaten]],Dropdown!$A$2:$D$4,4,FALSE)</f>
        <v>-</v>
      </c>
      <c r="L9" s="42" t="str">
        <f>VLOOKUP(Ueberblick42848[[#This Row],[eigene Datenbasis / Datenbank]],Dropdown!$A$2:$D$4,4,FALSE)</f>
        <v>-</v>
      </c>
      <c r="M9" s="42" t="str">
        <f>VLOOKUP(Ueberblick42848[[#This Row],[Energiesystemanalysen]],Dropdown!$A$2:$D$4,4,FALSE)</f>
        <v>-</v>
      </c>
      <c r="N9" s="42" t="str">
        <f>VLOOKUP(Ueberblick42848[[#This Row],[Herstellerangaben]],Dropdown!$A$2:$D$4,4,FALSE)</f>
        <v>-</v>
      </c>
      <c r="O9" s="42" t="str">
        <f>VLOOKUP(Ueberblick42848[[#This Row],[technische Publikationen 
zu Prozessen]],Dropdown!$A$2:$D$4,4,FALSE)</f>
        <v>-</v>
      </c>
      <c r="P9" s="42" t="str">
        <f>VLOOKUP(Ueberblick42848[[#This Row],[Datenportale: Verbrauchs-, 
Wetter-, Preisdaten]],Dropdown!$A$2:$D$4,4,FALSE)</f>
        <v>-</v>
      </c>
      <c r="Q9" s="42" t="str">
        <f>VLOOKUP(Ueberblick42848[[#This Row],[Literatur zu Elekrotmobilität]],Dropdown!$A$2:$D$4,4,FALSE)</f>
        <v>-</v>
      </c>
      <c r="R9" s="17" t="s">
        <v>1379</v>
      </c>
    </row>
    <row r="10" spans="1:18" x14ac:dyDescent="0.25">
      <c r="A10" s="6" t="s">
        <v>410</v>
      </c>
      <c r="B10" s="42" t="str">
        <f>VLOOKUP(Ueberblick42848[[#This Row],[öffentliche Statistiken]],Dropdown!$A$2:$D$4,4,FALSE)</f>
        <v>X</v>
      </c>
      <c r="C10" s="42" t="str">
        <f>VLOOKUP(Ueberblick42848[[#This Row],[Energiverbrauchsstatistik]],Dropdown!$A$2:$D$4,4,FALSE)</f>
        <v>X</v>
      </c>
      <c r="D10" s="42" t="str">
        <f>VLOOKUP(Ueberblick42848[[#This Row],[Smart Metering- und 
Lastamanagementfeldstudien]],Dropdown!$A$2:$D$4,4,FALSE)</f>
        <v>-</v>
      </c>
      <c r="E10" s="42" t="str">
        <f>VLOOKUP(Ueberblick42848[[#This Row],[methodisch fokussierte Paper]],Dropdown!$A$2:$D$4,4,FALSE)</f>
        <v>-</v>
      </c>
      <c r="F10" s="42" t="str">
        <f>VLOOKUP(Ueberblick42848[[#This Row],[Lastmanagementpotenzialstudien]],Dropdown!$A$2:$D$4,4,FALSE)</f>
        <v>X</v>
      </c>
      <c r="G10" s="42" t="str">
        <f>VLOOKUP(Ueberblick42848[[#This Row],[Lastprofilgeneratoren]],Dropdown!$A$2:$D$4,4,FALSE)</f>
        <v>-</v>
      </c>
      <c r="H10" s="42" t="str">
        <f>VLOOKUP(Ueberblick42848[[#This Row],[VNB-Daten (z. B. 
Einspeisemanagement)]],Dropdown!$A$2:$D$4,4,FALSE)</f>
        <v>X</v>
      </c>
      <c r="I10" s="42" t="str">
        <f>VLOOKUP(Ueberblick42848[[#This Row],[sozialwissenschaftliche Studien]],Dropdown!$A$2:$D$4,4,FALSE)</f>
        <v>-</v>
      </c>
      <c r="J10" s="42" t="str">
        <f>VLOOKUP(Ueberblick42848[[#This Row],[Branchen- und Verbandsstatistiken]],Dropdown!$A$2:$D$4,4,FALSE)</f>
        <v>X</v>
      </c>
      <c r="K10" s="42" t="str">
        <f>VLOOKUP(Ueberblick42848[[#This Row],[reale Lastgangdaten]],Dropdown!$A$2:$D$4,4,FALSE)</f>
        <v>X</v>
      </c>
      <c r="L10" s="42" t="str">
        <f>VLOOKUP(Ueberblick42848[[#This Row],[eigene Datenbasis / Datenbank]],Dropdown!$A$2:$D$4,4,FALSE)</f>
        <v>X</v>
      </c>
      <c r="M10" s="42" t="str">
        <f>VLOOKUP(Ueberblick42848[[#This Row],[Energiesystemanalysen]],Dropdown!$A$2:$D$4,4,FALSE)</f>
        <v>-</v>
      </c>
      <c r="N10" s="42" t="str">
        <f>VLOOKUP(Ueberblick42848[[#This Row],[Herstellerangaben]],Dropdown!$A$2:$D$4,4,FALSE)</f>
        <v>-</v>
      </c>
      <c r="O10" s="42" t="str">
        <f>VLOOKUP(Ueberblick42848[[#This Row],[technische Publikationen 
zu Prozessen]],Dropdown!$A$2:$D$4,4,FALSE)</f>
        <v>-</v>
      </c>
      <c r="P10" s="42" t="str">
        <f>VLOOKUP(Ueberblick42848[[#This Row],[Datenportale: Verbrauchs-, 
Wetter-, Preisdaten]],Dropdown!$A$2:$D$4,4,FALSE)</f>
        <v>-</v>
      </c>
      <c r="Q10" s="42" t="str">
        <f>VLOOKUP(Ueberblick42848[[#This Row],[Literatur zu Elekrotmobilität]],Dropdown!$A$2:$D$4,4,FALSE)</f>
        <v>-</v>
      </c>
      <c r="R10" s="8" t="s">
        <v>1381</v>
      </c>
    </row>
    <row r="11" spans="1:18" s="11" customFormat="1" x14ac:dyDescent="0.25">
      <c r="A11" s="6" t="s">
        <v>393</v>
      </c>
      <c r="B11" s="42" t="str">
        <f>VLOOKUP(Ueberblick42848[[#This Row],[öffentliche Statistiken]],Dropdown!$A$2:$D$4,4,FALSE)</f>
        <v>-</v>
      </c>
      <c r="C11" s="42" t="str">
        <f>VLOOKUP(Ueberblick42848[[#This Row],[Energiverbrauchsstatistik]],Dropdown!$A$2:$D$4,4,FALSE)</f>
        <v>-</v>
      </c>
      <c r="D11" s="42" t="str">
        <f>VLOOKUP(Ueberblick42848[[#This Row],[Smart Metering- und 
Lastamanagementfeldstudien]],Dropdown!$A$2:$D$4,4,FALSE)</f>
        <v>-</v>
      </c>
      <c r="E11" s="42" t="str">
        <f>VLOOKUP(Ueberblick42848[[#This Row],[methodisch fokussierte Paper]],Dropdown!$A$2:$D$4,4,FALSE)</f>
        <v>-</v>
      </c>
      <c r="F11" s="42" t="str">
        <f>VLOOKUP(Ueberblick42848[[#This Row],[Lastmanagementpotenzialstudien]],Dropdown!$A$2:$D$4,4,FALSE)</f>
        <v>X</v>
      </c>
      <c r="G11" s="42" t="str">
        <f>VLOOKUP(Ueberblick42848[[#This Row],[Lastprofilgeneratoren]],Dropdown!$A$2:$D$4,4,FALSE)</f>
        <v>-</v>
      </c>
      <c r="H11" s="42" t="str">
        <f>VLOOKUP(Ueberblick42848[[#This Row],[VNB-Daten (z. B. 
Einspeisemanagement)]],Dropdown!$A$2:$D$4,4,FALSE)</f>
        <v>-</v>
      </c>
      <c r="I11" s="42" t="str">
        <f>VLOOKUP(Ueberblick42848[[#This Row],[sozialwissenschaftliche Studien]],Dropdown!$A$2:$D$4,4,FALSE)</f>
        <v>-</v>
      </c>
      <c r="J11" s="42" t="str">
        <f>VLOOKUP(Ueberblick42848[[#This Row],[Branchen- und Verbandsstatistiken]],Dropdown!$A$2:$D$4,4,FALSE)</f>
        <v>-</v>
      </c>
      <c r="K11" s="42" t="str">
        <f>VLOOKUP(Ueberblick42848[[#This Row],[reale Lastgangdaten]],Dropdown!$A$2:$D$4,4,FALSE)</f>
        <v>-</v>
      </c>
      <c r="L11" s="42" t="str">
        <f>VLOOKUP(Ueberblick42848[[#This Row],[eigene Datenbasis / Datenbank]],Dropdown!$A$2:$D$4,4,FALSE)</f>
        <v>-</v>
      </c>
      <c r="M11" s="42" t="str">
        <f>VLOOKUP(Ueberblick42848[[#This Row],[Energiesystemanalysen]],Dropdown!$A$2:$D$4,4,FALSE)</f>
        <v>X</v>
      </c>
      <c r="N11" s="42" t="str">
        <f>VLOOKUP(Ueberblick42848[[#This Row],[Herstellerangaben]],Dropdown!$A$2:$D$4,4,FALSE)</f>
        <v>X</v>
      </c>
      <c r="O11" s="42" t="str">
        <f>VLOOKUP(Ueberblick42848[[#This Row],[technische Publikationen 
zu Prozessen]],Dropdown!$A$2:$D$4,4,FALSE)</f>
        <v>X</v>
      </c>
      <c r="P11" s="42" t="str">
        <f>VLOOKUP(Ueberblick42848[[#This Row],[Datenportale: Verbrauchs-, 
Wetter-, Preisdaten]],Dropdown!$A$2:$D$4,4,FALSE)</f>
        <v>X</v>
      </c>
      <c r="Q11" s="42" t="str">
        <f>VLOOKUP(Ueberblick42848[[#This Row],[Literatur zu Elekrotmobilität]],Dropdown!$A$2:$D$4,4,FALSE)</f>
        <v>-</v>
      </c>
      <c r="R11" s="8" t="s">
        <v>1388</v>
      </c>
    </row>
    <row r="12" spans="1:18" s="11" customFormat="1" ht="51" x14ac:dyDescent="0.25">
      <c r="A12" s="21" t="s">
        <v>380</v>
      </c>
      <c r="B12" s="42" t="str">
        <f>VLOOKUP(Ueberblick42848[[#This Row],[öffentliche Statistiken]],Dropdown!$A$2:$D$4,4,FALSE)</f>
        <v>-</v>
      </c>
      <c r="C12" s="42" t="str">
        <f>VLOOKUP(Ueberblick42848[[#This Row],[Energiverbrauchsstatistik]],Dropdown!$A$2:$D$4,4,FALSE)</f>
        <v>-</v>
      </c>
      <c r="D12" s="42" t="str">
        <f>VLOOKUP(Ueberblick42848[[#This Row],[Smart Metering- und 
Lastamanagementfeldstudien]],Dropdown!$A$2:$D$4,4,FALSE)</f>
        <v>-</v>
      </c>
      <c r="E12" s="42" t="str">
        <f>VLOOKUP(Ueberblick42848[[#This Row],[methodisch fokussierte Paper]],Dropdown!$A$2:$D$4,4,FALSE)</f>
        <v>-</v>
      </c>
      <c r="F12" s="42" t="str">
        <f>VLOOKUP(Ueberblick42848[[#This Row],[Lastmanagementpotenzialstudien]],Dropdown!$A$2:$D$4,4,FALSE)</f>
        <v>X</v>
      </c>
      <c r="G12" s="42" t="str">
        <f>VLOOKUP(Ueberblick42848[[#This Row],[Lastprofilgeneratoren]],Dropdown!$A$2:$D$4,4,FALSE)</f>
        <v>-</v>
      </c>
      <c r="H12" s="42" t="str">
        <f>VLOOKUP(Ueberblick42848[[#This Row],[VNB-Daten (z. B. 
Einspeisemanagement)]],Dropdown!$A$2:$D$4,4,FALSE)</f>
        <v>-</v>
      </c>
      <c r="I12" s="42" t="str">
        <f>VLOOKUP(Ueberblick42848[[#This Row],[sozialwissenschaftliche Studien]],Dropdown!$A$2:$D$4,4,FALSE)</f>
        <v>-</v>
      </c>
      <c r="J12" s="42" t="str">
        <f>VLOOKUP(Ueberblick42848[[#This Row],[Branchen- und Verbandsstatistiken]],Dropdown!$A$2:$D$4,4,FALSE)</f>
        <v>-</v>
      </c>
      <c r="K12" s="42" t="str">
        <f>VLOOKUP(Ueberblick42848[[#This Row],[reale Lastgangdaten]],Dropdown!$A$2:$D$4,4,FALSE)</f>
        <v>-</v>
      </c>
      <c r="L12" s="42" t="str">
        <f>VLOOKUP(Ueberblick42848[[#This Row],[eigene Datenbasis / Datenbank]],Dropdown!$A$2:$D$4,4,FALSE)</f>
        <v>X</v>
      </c>
      <c r="M12" s="42" t="str">
        <f>VLOOKUP(Ueberblick42848[[#This Row],[Energiesystemanalysen]],Dropdown!$A$2:$D$4,4,FALSE)</f>
        <v>-</v>
      </c>
      <c r="N12" s="42" t="str">
        <f>VLOOKUP(Ueberblick42848[[#This Row],[Herstellerangaben]],Dropdown!$A$2:$D$4,4,FALSE)</f>
        <v>-</v>
      </c>
      <c r="O12" s="42" t="str">
        <f>VLOOKUP(Ueberblick42848[[#This Row],[technische Publikationen 
zu Prozessen]],Dropdown!$A$2:$D$4,4,FALSE)</f>
        <v>-</v>
      </c>
      <c r="P12" s="42" t="str">
        <f>VLOOKUP(Ueberblick42848[[#This Row],[Datenportale: Verbrauchs-, 
Wetter-, Preisdaten]],Dropdown!$A$2:$D$4,4,FALSE)</f>
        <v>-</v>
      </c>
      <c r="Q12" s="42" t="str">
        <f>VLOOKUP(Ueberblick42848[[#This Row],[Literatur zu Elekrotmobilität]],Dropdown!$A$2:$D$4,4,FALSE)</f>
        <v>-</v>
      </c>
      <c r="R12" s="22" t="s">
        <v>391</v>
      </c>
    </row>
    <row r="13" spans="1:18" ht="25.5" x14ac:dyDescent="0.25">
      <c r="A13" s="6" t="s">
        <v>95</v>
      </c>
      <c r="B13" s="42" t="str">
        <f>VLOOKUP(Ueberblick42848[[#This Row],[öffentliche Statistiken]],Dropdown!$A$2:$D$4,4,FALSE)</f>
        <v>X</v>
      </c>
      <c r="C13" s="42" t="str">
        <f>VLOOKUP(Ueberblick42848[[#This Row],[Energiverbrauchsstatistik]],Dropdown!$A$2:$D$4,4,FALSE)</f>
        <v>X</v>
      </c>
      <c r="D13" s="42" t="str">
        <f>VLOOKUP(Ueberblick42848[[#This Row],[Smart Metering- und 
Lastamanagementfeldstudien]],Dropdown!$A$2:$D$4,4,FALSE)</f>
        <v>X</v>
      </c>
      <c r="E13" s="42" t="str">
        <f>VLOOKUP(Ueberblick42848[[#This Row],[methodisch fokussierte Paper]],Dropdown!$A$2:$D$4,4,FALSE)</f>
        <v>X</v>
      </c>
      <c r="F13" s="42" t="str">
        <f>VLOOKUP(Ueberblick42848[[#This Row],[Lastmanagementpotenzialstudien]],Dropdown!$A$2:$D$4,4,FALSE)</f>
        <v>X</v>
      </c>
      <c r="G13" s="42" t="str">
        <f>VLOOKUP(Ueberblick42848[[#This Row],[Lastprofilgeneratoren]],Dropdown!$A$2:$D$4,4,FALSE)</f>
        <v>-</v>
      </c>
      <c r="H13" s="42" t="str">
        <f>VLOOKUP(Ueberblick42848[[#This Row],[VNB-Daten (z. B. 
Einspeisemanagement)]],Dropdown!$A$2:$D$4,4,FALSE)</f>
        <v>-</v>
      </c>
      <c r="I13" s="42" t="str">
        <f>VLOOKUP(Ueberblick42848[[#This Row],[sozialwissenschaftliche Studien]],Dropdown!$A$2:$D$4,4,FALSE)</f>
        <v>-</v>
      </c>
      <c r="J13" s="42" t="str">
        <f>VLOOKUP(Ueberblick42848[[#This Row],[Branchen- und Verbandsstatistiken]],Dropdown!$A$2:$D$4,4,FALSE)</f>
        <v>X</v>
      </c>
      <c r="K13" s="42" t="str">
        <f>VLOOKUP(Ueberblick42848[[#This Row],[reale Lastgangdaten]],Dropdown!$A$2:$D$4,4,FALSE)</f>
        <v>-</v>
      </c>
      <c r="L13" s="42" t="str">
        <f>VLOOKUP(Ueberblick42848[[#This Row],[eigene Datenbasis / Datenbank]],Dropdown!$A$2:$D$4,4,FALSE)</f>
        <v>-</v>
      </c>
      <c r="M13" s="42" t="str">
        <f>VLOOKUP(Ueberblick42848[[#This Row],[Energiesystemanalysen]],Dropdown!$A$2:$D$4,4,FALSE)</f>
        <v>X</v>
      </c>
      <c r="N13" s="42" t="str">
        <f>VLOOKUP(Ueberblick42848[[#This Row],[Herstellerangaben]],Dropdown!$A$2:$D$4,4,FALSE)</f>
        <v>-</v>
      </c>
      <c r="O13" s="42" t="str">
        <f>VLOOKUP(Ueberblick42848[[#This Row],[technische Publikationen 
zu Prozessen]],Dropdown!$A$2:$D$4,4,FALSE)</f>
        <v>X</v>
      </c>
      <c r="P13" s="42" t="str">
        <f>VLOOKUP(Ueberblick42848[[#This Row],[Datenportale: Verbrauchs-, 
Wetter-, Preisdaten]],Dropdown!$A$2:$D$4,4,FALSE)</f>
        <v>X</v>
      </c>
      <c r="Q13" s="42" t="str">
        <f>VLOOKUP(Ueberblick42848[[#This Row],[Literatur zu Elekrotmobilität]],Dropdown!$A$2:$D$4,4,FALSE)</f>
        <v>-</v>
      </c>
      <c r="R13" s="8" t="s">
        <v>121</v>
      </c>
    </row>
    <row r="14" spans="1:18" s="11" customFormat="1" ht="63.75" x14ac:dyDescent="0.25">
      <c r="A14" s="6" t="s">
        <v>1709</v>
      </c>
      <c r="B14" s="42" t="str">
        <f>VLOOKUP(Ueberblick42848[[#This Row],[öffentliche Statistiken]],Dropdown!$A$2:$D$4,4,FALSE)</f>
        <v>X</v>
      </c>
      <c r="C14" s="42" t="str">
        <f>VLOOKUP(Ueberblick42848[[#This Row],[Energiverbrauchsstatistik]],Dropdown!$A$2:$D$4,4,FALSE)</f>
        <v>X</v>
      </c>
      <c r="D14" s="42" t="str">
        <f>VLOOKUP(Ueberblick42848[[#This Row],[Smart Metering- und 
Lastamanagementfeldstudien]],Dropdown!$A$2:$D$4,4,FALSE)</f>
        <v>X</v>
      </c>
      <c r="E14" s="42" t="str">
        <f>VLOOKUP(Ueberblick42848[[#This Row],[methodisch fokussierte Paper]],Dropdown!$A$2:$D$4,4,FALSE)</f>
        <v>-</v>
      </c>
      <c r="F14" s="42" t="str">
        <f>VLOOKUP(Ueberblick42848[[#This Row],[Lastmanagementpotenzialstudien]],Dropdown!$A$2:$D$4,4,FALSE)</f>
        <v>X</v>
      </c>
      <c r="G14" s="42" t="str">
        <f>VLOOKUP(Ueberblick42848[[#This Row],[Lastprofilgeneratoren]],Dropdown!$A$2:$D$4,4,FALSE)</f>
        <v>-</v>
      </c>
      <c r="H14" s="42" t="str">
        <f>VLOOKUP(Ueberblick42848[[#This Row],[VNB-Daten (z. B. 
Einspeisemanagement)]],Dropdown!$A$2:$D$4,4,FALSE)</f>
        <v>X</v>
      </c>
      <c r="I14" s="42" t="str">
        <f>VLOOKUP(Ueberblick42848[[#This Row],[sozialwissenschaftliche Studien]],Dropdown!$A$2:$D$4,4,FALSE)</f>
        <v>-</v>
      </c>
      <c r="J14" s="42" t="str">
        <f>VLOOKUP(Ueberblick42848[[#This Row],[Branchen- und Verbandsstatistiken]],Dropdown!$A$2:$D$4,4,FALSE)</f>
        <v>-</v>
      </c>
      <c r="K14" s="42" t="str">
        <f>VLOOKUP(Ueberblick42848[[#This Row],[reale Lastgangdaten]],Dropdown!$A$2:$D$4,4,FALSE)</f>
        <v>X</v>
      </c>
      <c r="L14" s="42" t="str">
        <f>VLOOKUP(Ueberblick42848[[#This Row],[eigene Datenbasis / Datenbank]],Dropdown!$A$2:$D$4,4,FALSE)</f>
        <v>X</v>
      </c>
      <c r="M14" s="42" t="str">
        <f>VLOOKUP(Ueberblick42848[[#This Row],[Energiesystemanalysen]],Dropdown!$A$2:$D$4,4,FALSE)</f>
        <v>X</v>
      </c>
      <c r="N14" s="42" t="str">
        <f>VLOOKUP(Ueberblick42848[[#This Row],[Herstellerangaben]],Dropdown!$A$2:$D$4,4,FALSE)</f>
        <v>-</v>
      </c>
      <c r="O14" s="42" t="str">
        <f>VLOOKUP(Ueberblick42848[[#This Row],[technische Publikationen 
zu Prozessen]],Dropdown!$A$2:$D$4,4,FALSE)</f>
        <v>X</v>
      </c>
      <c r="P14" s="42" t="str">
        <f>VLOOKUP(Ueberblick42848[[#This Row],[Datenportale: Verbrauchs-, 
Wetter-, Preisdaten]],Dropdown!$A$2:$D$4,4,FALSE)</f>
        <v>-</v>
      </c>
      <c r="Q14" s="42" t="str">
        <f>VLOOKUP(Ueberblick42848[[#This Row],[Literatur zu Elekrotmobilität]],Dropdown!$A$2:$D$4,4,FALSE)</f>
        <v>-</v>
      </c>
      <c r="R14" s="8">
        <v>22</v>
      </c>
    </row>
    <row r="15" spans="1:18" ht="25.5" x14ac:dyDescent="0.25">
      <c r="A15" s="6" t="s">
        <v>179</v>
      </c>
      <c r="B15" s="42" t="str">
        <f>VLOOKUP(Ueberblick42848[[#This Row],[öffentliche Statistiken]],Dropdown!$A$2:$D$4,4,FALSE)</f>
        <v>-</v>
      </c>
      <c r="C15" s="42" t="str">
        <f>VLOOKUP(Ueberblick42848[[#This Row],[Energiverbrauchsstatistik]],Dropdown!$A$2:$D$4,4,FALSE)</f>
        <v>-</v>
      </c>
      <c r="D15" s="42" t="str">
        <f>VLOOKUP(Ueberblick42848[[#This Row],[Smart Metering- und 
Lastamanagementfeldstudien]],Dropdown!$A$2:$D$4,4,FALSE)</f>
        <v>X</v>
      </c>
      <c r="E15" s="42" t="str">
        <f>VLOOKUP(Ueberblick42848[[#This Row],[methodisch fokussierte Paper]],Dropdown!$A$2:$D$4,4,FALSE)</f>
        <v>-</v>
      </c>
      <c r="F15" s="42" t="str">
        <f>VLOOKUP(Ueberblick42848[[#This Row],[Lastmanagementpotenzialstudien]],Dropdown!$A$2:$D$4,4,FALSE)</f>
        <v>X</v>
      </c>
      <c r="G15" s="42" t="str">
        <f>VLOOKUP(Ueberblick42848[[#This Row],[Lastprofilgeneratoren]],Dropdown!$A$2:$D$4,4,FALSE)</f>
        <v>-</v>
      </c>
      <c r="H15" s="42" t="str">
        <f>VLOOKUP(Ueberblick42848[[#This Row],[VNB-Daten (z. B. 
Einspeisemanagement)]],Dropdown!$A$2:$D$4,4,FALSE)</f>
        <v>-</v>
      </c>
      <c r="I15" s="42" t="str">
        <f>VLOOKUP(Ueberblick42848[[#This Row],[sozialwissenschaftliche Studien]],Dropdown!$A$2:$D$4,4,FALSE)</f>
        <v>-</v>
      </c>
      <c r="J15" s="42" t="str">
        <f>VLOOKUP(Ueberblick42848[[#This Row],[Branchen- und Verbandsstatistiken]],Dropdown!$A$2:$D$4,4,FALSE)</f>
        <v>-</v>
      </c>
      <c r="K15" s="42" t="str">
        <f>VLOOKUP(Ueberblick42848[[#This Row],[reale Lastgangdaten]],Dropdown!$A$2:$D$4,4,FALSE)</f>
        <v>-</v>
      </c>
      <c r="L15" s="42" t="str">
        <f>VLOOKUP(Ueberblick42848[[#This Row],[eigene Datenbasis / Datenbank]],Dropdown!$A$2:$D$4,4,FALSE)</f>
        <v>-</v>
      </c>
      <c r="M15" s="42" t="str">
        <f>VLOOKUP(Ueberblick42848[[#This Row],[Energiesystemanalysen]],Dropdown!$A$2:$D$4,4,FALSE)</f>
        <v>-</v>
      </c>
      <c r="N15" s="42" t="str">
        <f>VLOOKUP(Ueberblick42848[[#This Row],[Herstellerangaben]],Dropdown!$A$2:$D$4,4,FALSE)</f>
        <v>-</v>
      </c>
      <c r="O15" s="42" t="str">
        <f>VLOOKUP(Ueberblick42848[[#This Row],[technische Publikationen 
zu Prozessen]],Dropdown!$A$2:$D$4,4,FALSE)</f>
        <v>-</v>
      </c>
      <c r="P15" s="42" t="str">
        <f>VLOOKUP(Ueberblick42848[[#This Row],[Datenportale: Verbrauchs-, 
Wetter-, Preisdaten]],Dropdown!$A$2:$D$4,4,FALSE)</f>
        <v>-</v>
      </c>
      <c r="Q15" s="42" t="str">
        <f>VLOOKUP(Ueberblick42848[[#This Row],[Literatur zu Elekrotmobilität]],Dropdown!$A$2:$D$4,4,FALSE)</f>
        <v>-</v>
      </c>
      <c r="R15" s="8" t="s">
        <v>322</v>
      </c>
    </row>
    <row r="16" spans="1:18" s="11" customFormat="1" ht="25.5" x14ac:dyDescent="0.25">
      <c r="A16" s="6" t="s">
        <v>341</v>
      </c>
      <c r="B16" s="42" t="str">
        <f>VLOOKUP(Ueberblick42848[[#This Row],[öffentliche Statistiken]],Dropdown!$A$2:$D$4,4,FALSE)</f>
        <v>X</v>
      </c>
      <c r="C16" s="42" t="str">
        <f>VLOOKUP(Ueberblick42848[[#This Row],[Energiverbrauchsstatistik]],Dropdown!$A$2:$D$4,4,FALSE)</f>
        <v>X</v>
      </c>
      <c r="D16" s="42" t="str">
        <f>VLOOKUP(Ueberblick42848[[#This Row],[Smart Metering- und 
Lastamanagementfeldstudien]],Dropdown!$A$2:$D$4,4,FALSE)</f>
        <v>-</v>
      </c>
      <c r="E16" s="42" t="str">
        <f>VLOOKUP(Ueberblick42848[[#This Row],[methodisch fokussierte Paper]],Dropdown!$A$2:$D$4,4,FALSE)</f>
        <v>-</v>
      </c>
      <c r="F16" s="42" t="str">
        <f>VLOOKUP(Ueberblick42848[[#This Row],[Lastmanagementpotenzialstudien]],Dropdown!$A$2:$D$4,4,FALSE)</f>
        <v>X</v>
      </c>
      <c r="G16" s="42" t="str">
        <f>VLOOKUP(Ueberblick42848[[#This Row],[Lastprofilgeneratoren]],Dropdown!$A$2:$D$4,4,FALSE)</f>
        <v>-</v>
      </c>
      <c r="H16" s="42" t="str">
        <f>VLOOKUP(Ueberblick42848[[#This Row],[VNB-Daten (z. B. 
Einspeisemanagement)]],Dropdown!$A$2:$D$4,4,FALSE)</f>
        <v>X</v>
      </c>
      <c r="I16" s="42" t="str">
        <f>VLOOKUP(Ueberblick42848[[#This Row],[sozialwissenschaftliche Studien]],Dropdown!$A$2:$D$4,4,FALSE)</f>
        <v>-</v>
      </c>
      <c r="J16" s="42" t="str">
        <f>VLOOKUP(Ueberblick42848[[#This Row],[Branchen- und Verbandsstatistiken]],Dropdown!$A$2:$D$4,4,FALSE)</f>
        <v>X</v>
      </c>
      <c r="K16" s="42" t="str">
        <f>VLOOKUP(Ueberblick42848[[#This Row],[reale Lastgangdaten]],Dropdown!$A$2:$D$4,4,FALSE)</f>
        <v>-</v>
      </c>
      <c r="L16" s="42" t="str">
        <f>VLOOKUP(Ueberblick42848[[#This Row],[eigene Datenbasis / Datenbank]],Dropdown!$A$2:$D$4,4,FALSE)</f>
        <v>-</v>
      </c>
      <c r="M16" s="42" t="str">
        <f>VLOOKUP(Ueberblick42848[[#This Row],[Energiesystemanalysen]],Dropdown!$A$2:$D$4,4,FALSE)</f>
        <v>-</v>
      </c>
      <c r="N16" s="42" t="str">
        <f>VLOOKUP(Ueberblick42848[[#This Row],[Herstellerangaben]],Dropdown!$A$2:$D$4,4,FALSE)</f>
        <v>X</v>
      </c>
      <c r="O16" s="42" t="str">
        <f>VLOOKUP(Ueberblick42848[[#This Row],[technische Publikationen 
zu Prozessen]],Dropdown!$A$2:$D$4,4,FALSE)</f>
        <v>X</v>
      </c>
      <c r="P16" s="42" t="str">
        <f>VLOOKUP(Ueberblick42848[[#This Row],[Datenportale: Verbrauchs-, 
Wetter-, Preisdaten]],Dropdown!$A$2:$D$4,4,FALSE)</f>
        <v>X</v>
      </c>
      <c r="Q16" s="42" t="str">
        <f>VLOOKUP(Ueberblick42848[[#This Row],[Literatur zu Elekrotmobilität]],Dropdown!$A$2:$D$4,4,FALSE)</f>
        <v>X</v>
      </c>
      <c r="R16" s="8" t="s">
        <v>446</v>
      </c>
    </row>
    <row r="17" spans="1:18" ht="25.5" x14ac:dyDescent="0.25">
      <c r="A17" s="6" t="s">
        <v>22</v>
      </c>
      <c r="B17" s="42" t="str">
        <f>VLOOKUP(Ueberblick42848[[#This Row],[öffentliche Statistiken]],Dropdown!$A$2:$D$4,4,FALSE)</f>
        <v>X</v>
      </c>
      <c r="C17" s="42" t="str">
        <f>VLOOKUP(Ueberblick42848[[#This Row],[Energiverbrauchsstatistik]],Dropdown!$A$2:$D$4,4,FALSE)</f>
        <v>-</v>
      </c>
      <c r="D17" s="42" t="str">
        <f>VLOOKUP(Ueberblick42848[[#This Row],[Smart Metering- und 
Lastamanagementfeldstudien]],Dropdown!$A$2:$D$4,4,FALSE)</f>
        <v>-</v>
      </c>
      <c r="E17" s="42" t="str">
        <f>VLOOKUP(Ueberblick42848[[#This Row],[methodisch fokussierte Paper]],Dropdown!$A$2:$D$4,4,FALSE)</f>
        <v>-</v>
      </c>
      <c r="F17" s="42" t="str">
        <f>VLOOKUP(Ueberblick42848[[#This Row],[Lastmanagementpotenzialstudien]],Dropdown!$A$2:$D$4,4,FALSE)</f>
        <v>X</v>
      </c>
      <c r="G17" s="42" t="str">
        <f>VLOOKUP(Ueberblick42848[[#This Row],[Lastprofilgeneratoren]],Dropdown!$A$2:$D$4,4,FALSE)</f>
        <v>-</v>
      </c>
      <c r="H17" s="42" t="str">
        <f>VLOOKUP(Ueberblick42848[[#This Row],[VNB-Daten (z. B. 
Einspeisemanagement)]],Dropdown!$A$2:$D$4,4,FALSE)</f>
        <v>-</v>
      </c>
      <c r="I17" s="42" t="str">
        <f>VLOOKUP(Ueberblick42848[[#This Row],[sozialwissenschaftliche Studien]],Dropdown!$A$2:$D$4,4,FALSE)</f>
        <v>-</v>
      </c>
      <c r="J17" s="42" t="str">
        <f>VLOOKUP(Ueberblick42848[[#This Row],[Branchen- und Verbandsstatistiken]],Dropdown!$A$2:$D$4,4,FALSE)</f>
        <v>X</v>
      </c>
      <c r="K17" s="42" t="str">
        <f>VLOOKUP(Ueberblick42848[[#This Row],[reale Lastgangdaten]],Dropdown!$A$2:$D$4,4,FALSE)</f>
        <v>-</v>
      </c>
      <c r="L17" s="42" t="str">
        <f>VLOOKUP(Ueberblick42848[[#This Row],[eigene Datenbasis / Datenbank]],Dropdown!$A$2:$D$4,4,FALSE)</f>
        <v>-</v>
      </c>
      <c r="M17" s="42" t="str">
        <f>VLOOKUP(Ueberblick42848[[#This Row],[Energiesystemanalysen]],Dropdown!$A$2:$D$4,4,FALSE)</f>
        <v>-</v>
      </c>
      <c r="N17" s="42" t="str">
        <f>VLOOKUP(Ueberblick42848[[#This Row],[Herstellerangaben]],Dropdown!$A$2:$D$4,4,FALSE)</f>
        <v>-</v>
      </c>
      <c r="O17" s="42" t="str">
        <f>VLOOKUP(Ueberblick42848[[#This Row],[technische Publikationen 
zu Prozessen]],Dropdown!$A$2:$D$4,4,FALSE)</f>
        <v>X</v>
      </c>
      <c r="P17" s="42" t="str">
        <f>VLOOKUP(Ueberblick42848[[#This Row],[Datenportale: Verbrauchs-, 
Wetter-, Preisdaten]],Dropdown!$A$2:$D$4,4,FALSE)</f>
        <v>X</v>
      </c>
      <c r="Q17" s="42" t="str">
        <f>VLOOKUP(Ueberblick42848[[#This Row],[Literatur zu Elekrotmobilität]],Dropdown!$A$2:$D$4,4,FALSE)</f>
        <v>-</v>
      </c>
      <c r="R17" s="8">
        <v>87</v>
      </c>
    </row>
    <row r="18" spans="1:18" s="11" customFormat="1" ht="25.5" x14ac:dyDescent="0.25">
      <c r="A18" s="6" t="s">
        <v>188</v>
      </c>
      <c r="B18" s="42" t="str">
        <f>VLOOKUP(Ueberblick42848[[#This Row],[öffentliche Statistiken]],Dropdown!$A$2:$D$4,4,FALSE)</f>
        <v>X</v>
      </c>
      <c r="C18" s="42" t="str">
        <f>VLOOKUP(Ueberblick42848[[#This Row],[Energiverbrauchsstatistik]],Dropdown!$A$2:$D$4,4,FALSE)</f>
        <v>-</v>
      </c>
      <c r="D18" s="42" t="str">
        <f>VLOOKUP(Ueberblick42848[[#This Row],[Smart Metering- und 
Lastamanagementfeldstudien]],Dropdown!$A$2:$D$4,4,FALSE)</f>
        <v>X</v>
      </c>
      <c r="E18" s="42" t="str">
        <f>VLOOKUP(Ueberblick42848[[#This Row],[methodisch fokussierte Paper]],Dropdown!$A$2:$D$4,4,FALSE)</f>
        <v>-</v>
      </c>
      <c r="F18" s="42" t="str">
        <f>VLOOKUP(Ueberblick42848[[#This Row],[Lastmanagementpotenzialstudien]],Dropdown!$A$2:$D$4,4,FALSE)</f>
        <v>X</v>
      </c>
      <c r="G18" s="42" t="str">
        <f>VLOOKUP(Ueberblick42848[[#This Row],[Lastprofilgeneratoren]],Dropdown!$A$2:$D$4,4,FALSE)</f>
        <v>-</v>
      </c>
      <c r="H18" s="42" t="str">
        <f>VLOOKUP(Ueberblick42848[[#This Row],[VNB-Daten (z. B. 
Einspeisemanagement)]],Dropdown!$A$2:$D$4,4,FALSE)</f>
        <v>-</v>
      </c>
      <c r="I18" s="42" t="str">
        <f>VLOOKUP(Ueberblick42848[[#This Row],[sozialwissenschaftliche Studien]],Dropdown!$A$2:$D$4,4,FALSE)</f>
        <v>X</v>
      </c>
      <c r="J18" s="42" t="str">
        <f>VLOOKUP(Ueberblick42848[[#This Row],[Branchen- und Verbandsstatistiken]],Dropdown!$A$2:$D$4,4,FALSE)</f>
        <v>X</v>
      </c>
      <c r="K18" s="42" t="str">
        <f>VLOOKUP(Ueberblick42848[[#This Row],[reale Lastgangdaten]],Dropdown!$A$2:$D$4,4,FALSE)</f>
        <v>-</v>
      </c>
      <c r="L18" s="42" t="str">
        <f>VLOOKUP(Ueberblick42848[[#This Row],[eigene Datenbasis / Datenbank]],Dropdown!$A$2:$D$4,4,FALSE)</f>
        <v>-</v>
      </c>
      <c r="M18" s="42" t="str">
        <f>VLOOKUP(Ueberblick42848[[#This Row],[Energiesystemanalysen]],Dropdown!$A$2:$D$4,4,FALSE)</f>
        <v>-</v>
      </c>
      <c r="N18" s="42" t="str">
        <f>VLOOKUP(Ueberblick42848[[#This Row],[Herstellerangaben]],Dropdown!$A$2:$D$4,4,FALSE)</f>
        <v>-</v>
      </c>
      <c r="O18" s="42" t="str">
        <f>VLOOKUP(Ueberblick42848[[#This Row],[technische Publikationen 
zu Prozessen]],Dropdown!$A$2:$D$4,4,FALSE)</f>
        <v>-</v>
      </c>
      <c r="P18" s="42" t="str">
        <f>VLOOKUP(Ueberblick42848[[#This Row],[Datenportale: Verbrauchs-, 
Wetter-, Preisdaten]],Dropdown!$A$2:$D$4,4,FALSE)</f>
        <v>-</v>
      </c>
      <c r="Q18" s="42" t="str">
        <f>VLOOKUP(Ueberblick42848[[#This Row],[Literatur zu Elekrotmobilität]],Dropdown!$A$2:$D$4,4,FALSE)</f>
        <v>X</v>
      </c>
      <c r="R18" s="8" t="s">
        <v>333</v>
      </c>
    </row>
    <row r="19" spans="1:18" ht="38.25" x14ac:dyDescent="0.25">
      <c r="A19" s="6" t="s">
        <v>133</v>
      </c>
      <c r="B19" s="42" t="str">
        <f>VLOOKUP(Ueberblick42848[[#This Row],[öffentliche Statistiken]],Dropdown!$A$2:$D$4,4,FALSE)</f>
        <v>-</v>
      </c>
      <c r="C19" s="42" t="str">
        <f>VLOOKUP(Ueberblick42848[[#This Row],[Energiverbrauchsstatistik]],Dropdown!$A$2:$D$4,4,FALSE)</f>
        <v>X</v>
      </c>
      <c r="D19" s="42" t="str">
        <f>VLOOKUP(Ueberblick42848[[#This Row],[Smart Metering- und 
Lastamanagementfeldstudien]],Dropdown!$A$2:$D$4,4,FALSE)</f>
        <v>X</v>
      </c>
      <c r="E19" s="42" t="str">
        <f>VLOOKUP(Ueberblick42848[[#This Row],[methodisch fokussierte Paper]],Dropdown!$A$2:$D$4,4,FALSE)</f>
        <v>X</v>
      </c>
      <c r="F19" s="42" t="str">
        <f>VLOOKUP(Ueberblick42848[[#This Row],[Lastmanagementpotenzialstudien]],Dropdown!$A$2:$D$4,4,FALSE)</f>
        <v>X</v>
      </c>
      <c r="G19" s="42" t="str">
        <f>VLOOKUP(Ueberblick42848[[#This Row],[Lastprofilgeneratoren]],Dropdown!$A$2:$D$4,4,FALSE)</f>
        <v>-</v>
      </c>
      <c r="H19" s="42" t="str">
        <f>VLOOKUP(Ueberblick42848[[#This Row],[VNB-Daten (z. B. 
Einspeisemanagement)]],Dropdown!$A$2:$D$4,4,FALSE)</f>
        <v>-</v>
      </c>
      <c r="I19" s="42" t="str">
        <f>VLOOKUP(Ueberblick42848[[#This Row],[sozialwissenschaftliche Studien]],Dropdown!$A$2:$D$4,4,FALSE)</f>
        <v>-</v>
      </c>
      <c r="J19" s="42" t="str">
        <f>VLOOKUP(Ueberblick42848[[#This Row],[Branchen- und Verbandsstatistiken]],Dropdown!$A$2:$D$4,4,FALSE)</f>
        <v>X</v>
      </c>
      <c r="K19" s="42" t="str">
        <f>VLOOKUP(Ueberblick42848[[#This Row],[reale Lastgangdaten]],Dropdown!$A$2:$D$4,4,FALSE)</f>
        <v>-</v>
      </c>
      <c r="L19" s="42" t="str">
        <f>VLOOKUP(Ueberblick42848[[#This Row],[eigene Datenbasis / Datenbank]],Dropdown!$A$2:$D$4,4,FALSE)</f>
        <v>-</v>
      </c>
      <c r="M19" s="42" t="str">
        <f>VLOOKUP(Ueberblick42848[[#This Row],[Energiesystemanalysen]],Dropdown!$A$2:$D$4,4,FALSE)</f>
        <v>-</v>
      </c>
      <c r="N19" s="42" t="str">
        <f>VLOOKUP(Ueberblick42848[[#This Row],[Herstellerangaben]],Dropdown!$A$2:$D$4,4,FALSE)</f>
        <v>-</v>
      </c>
      <c r="O19" s="42" t="str">
        <f>VLOOKUP(Ueberblick42848[[#This Row],[technische Publikationen 
zu Prozessen]],Dropdown!$A$2:$D$4,4,FALSE)</f>
        <v>-</v>
      </c>
      <c r="P19" s="42" t="str">
        <f>VLOOKUP(Ueberblick42848[[#This Row],[Datenportale: Verbrauchs-, 
Wetter-, Preisdaten]],Dropdown!$A$2:$D$4,4,FALSE)</f>
        <v>X</v>
      </c>
      <c r="Q19" s="42" t="str">
        <f>VLOOKUP(Ueberblick42848[[#This Row],[Literatur zu Elekrotmobilität]],Dropdown!$A$2:$D$4,4,FALSE)</f>
        <v>-</v>
      </c>
      <c r="R19" s="8" t="s">
        <v>164</v>
      </c>
    </row>
    <row r="20" spans="1:18" s="11" customFormat="1" ht="25.5" x14ac:dyDescent="0.25">
      <c r="A20" s="6" t="s">
        <v>10</v>
      </c>
      <c r="B20" s="42" t="str">
        <f>VLOOKUP(Ueberblick42848[[#This Row],[öffentliche Statistiken]],Dropdown!$A$2:$D$4,4,FALSE)</f>
        <v>-</v>
      </c>
      <c r="C20" s="42" t="str">
        <f>VLOOKUP(Ueberblick42848[[#This Row],[Energiverbrauchsstatistik]],Dropdown!$A$2:$D$4,4,FALSE)</f>
        <v>-</v>
      </c>
      <c r="D20" s="42" t="str">
        <f>VLOOKUP(Ueberblick42848[[#This Row],[Smart Metering- und 
Lastamanagementfeldstudien]],Dropdown!$A$2:$D$4,4,FALSE)</f>
        <v>-</v>
      </c>
      <c r="E20" s="42" t="str">
        <f>VLOOKUP(Ueberblick42848[[#This Row],[methodisch fokussierte Paper]],Dropdown!$A$2:$D$4,4,FALSE)</f>
        <v>X</v>
      </c>
      <c r="F20" s="42" t="str">
        <f>VLOOKUP(Ueberblick42848[[#This Row],[Lastmanagementpotenzialstudien]],Dropdown!$A$2:$D$4,4,FALSE)</f>
        <v>X</v>
      </c>
      <c r="G20" s="42" t="str">
        <f>VLOOKUP(Ueberblick42848[[#This Row],[Lastprofilgeneratoren]],Dropdown!$A$2:$D$4,4,FALSE)</f>
        <v>-</v>
      </c>
      <c r="H20" s="42" t="str">
        <f>VLOOKUP(Ueberblick42848[[#This Row],[VNB-Daten (z. B. 
Einspeisemanagement)]],Dropdown!$A$2:$D$4,4,FALSE)</f>
        <v>-</v>
      </c>
      <c r="I20" s="42" t="str">
        <f>VLOOKUP(Ueberblick42848[[#This Row],[sozialwissenschaftliche Studien]],Dropdown!$A$2:$D$4,4,FALSE)</f>
        <v>-</v>
      </c>
      <c r="J20" s="42" t="str">
        <f>VLOOKUP(Ueberblick42848[[#This Row],[Branchen- und Verbandsstatistiken]],Dropdown!$A$2:$D$4,4,FALSE)</f>
        <v>-</v>
      </c>
      <c r="K20" s="42" t="str">
        <f>VLOOKUP(Ueberblick42848[[#This Row],[reale Lastgangdaten]],Dropdown!$A$2:$D$4,4,FALSE)</f>
        <v>-</v>
      </c>
      <c r="L20" s="42" t="str">
        <f>VLOOKUP(Ueberblick42848[[#This Row],[eigene Datenbasis / Datenbank]],Dropdown!$A$2:$D$4,4,FALSE)</f>
        <v>-</v>
      </c>
      <c r="M20" s="42" t="str">
        <f>VLOOKUP(Ueberblick42848[[#This Row],[Energiesystemanalysen]],Dropdown!$A$2:$D$4,4,FALSE)</f>
        <v>-</v>
      </c>
      <c r="N20" s="42" t="str">
        <f>VLOOKUP(Ueberblick42848[[#This Row],[Herstellerangaben]],Dropdown!$A$2:$D$4,4,FALSE)</f>
        <v>-</v>
      </c>
      <c r="O20" s="42" t="str">
        <f>VLOOKUP(Ueberblick42848[[#This Row],[technische Publikationen 
zu Prozessen]],Dropdown!$A$2:$D$4,4,FALSE)</f>
        <v>X</v>
      </c>
      <c r="P20" s="42" t="str">
        <f>VLOOKUP(Ueberblick42848[[#This Row],[Datenportale: Verbrauchs-, 
Wetter-, Preisdaten]],Dropdown!$A$2:$D$4,4,FALSE)</f>
        <v>-</v>
      </c>
      <c r="Q20" s="42" t="str">
        <f>VLOOKUP(Ueberblick42848[[#This Row],[Literatur zu Elekrotmobilität]],Dropdown!$A$2:$D$4,4,FALSE)</f>
        <v>X</v>
      </c>
      <c r="R20" s="8">
        <v>434</v>
      </c>
    </row>
    <row r="21" spans="1:18" ht="38.25" x14ac:dyDescent="0.25">
      <c r="A21" s="6" t="s">
        <v>832</v>
      </c>
      <c r="B21" s="42" t="str">
        <f>VLOOKUP(Ueberblick42848[[#This Row],[öffentliche Statistiken]],Dropdown!$A$2:$D$4,4,FALSE)</f>
        <v>X</v>
      </c>
      <c r="C21" s="42" t="str">
        <f>VLOOKUP(Ueberblick42848[[#This Row],[Energiverbrauchsstatistik]],Dropdown!$A$2:$D$4,4,FALSE)</f>
        <v>X</v>
      </c>
      <c r="D21" s="42" t="str">
        <f>VLOOKUP(Ueberblick42848[[#This Row],[Smart Metering- und 
Lastamanagementfeldstudien]],Dropdown!$A$2:$D$4,4,FALSE)</f>
        <v>X</v>
      </c>
      <c r="E21" s="42" t="str">
        <f>VLOOKUP(Ueberblick42848[[#This Row],[methodisch fokussierte Paper]],Dropdown!$A$2:$D$4,4,FALSE)</f>
        <v>-</v>
      </c>
      <c r="F21" s="42" t="str">
        <f>VLOOKUP(Ueberblick42848[[#This Row],[Lastmanagementpotenzialstudien]],Dropdown!$A$2:$D$4,4,FALSE)</f>
        <v>X</v>
      </c>
      <c r="G21" s="42" t="str">
        <f>VLOOKUP(Ueberblick42848[[#This Row],[Lastprofilgeneratoren]],Dropdown!$A$2:$D$4,4,FALSE)</f>
        <v>-</v>
      </c>
      <c r="H21" s="42" t="str">
        <f>VLOOKUP(Ueberblick42848[[#This Row],[VNB-Daten (z. B. 
Einspeisemanagement)]],Dropdown!$A$2:$D$4,4,FALSE)</f>
        <v>X</v>
      </c>
      <c r="I21" s="42" t="str">
        <f>VLOOKUP(Ueberblick42848[[#This Row],[sozialwissenschaftliche Studien]],Dropdown!$A$2:$D$4,4,FALSE)</f>
        <v>-</v>
      </c>
      <c r="J21" s="42" t="str">
        <f>VLOOKUP(Ueberblick42848[[#This Row],[Branchen- und Verbandsstatistiken]],Dropdown!$A$2:$D$4,4,FALSE)</f>
        <v>X</v>
      </c>
      <c r="K21" s="42" t="str">
        <f>VLOOKUP(Ueberblick42848[[#This Row],[reale Lastgangdaten]],Dropdown!$A$2:$D$4,4,FALSE)</f>
        <v>X</v>
      </c>
      <c r="L21" s="42" t="str">
        <f>VLOOKUP(Ueberblick42848[[#This Row],[eigene Datenbasis / Datenbank]],Dropdown!$A$2:$D$4,4,FALSE)</f>
        <v>X</v>
      </c>
      <c r="M21" s="42" t="str">
        <f>VLOOKUP(Ueberblick42848[[#This Row],[Energiesystemanalysen]],Dropdown!$A$2:$D$4,4,FALSE)</f>
        <v>-</v>
      </c>
      <c r="N21" s="42" t="str">
        <f>VLOOKUP(Ueberblick42848[[#This Row],[Herstellerangaben]],Dropdown!$A$2:$D$4,4,FALSE)</f>
        <v>-</v>
      </c>
      <c r="O21" s="42" t="str">
        <f>VLOOKUP(Ueberblick42848[[#This Row],[technische Publikationen 
zu Prozessen]],Dropdown!$A$2:$D$4,4,FALSE)</f>
        <v>-</v>
      </c>
      <c r="P21" s="42" t="str">
        <f>VLOOKUP(Ueberblick42848[[#This Row],[Datenportale: Verbrauchs-, 
Wetter-, Preisdaten]],Dropdown!$A$2:$D$4,4,FALSE)</f>
        <v>-</v>
      </c>
      <c r="Q21" s="42" t="str">
        <f>VLOOKUP(Ueberblick42848[[#This Row],[Literatur zu Elekrotmobilität]],Dropdown!$A$2:$D$4,4,FALSE)</f>
        <v>-</v>
      </c>
      <c r="R21" s="8">
        <v>186</v>
      </c>
    </row>
    <row r="22" spans="1:18" s="11" customFormat="1" x14ac:dyDescent="0.25">
      <c r="A22" s="6" t="s">
        <v>16</v>
      </c>
      <c r="B22" s="42" t="str">
        <f>VLOOKUP(Ueberblick42848[[#This Row],[öffentliche Statistiken]],Dropdown!$A$2:$D$4,4,FALSE)</f>
        <v>X</v>
      </c>
      <c r="C22" s="42" t="str">
        <f>VLOOKUP(Ueberblick42848[[#This Row],[Energiverbrauchsstatistik]],Dropdown!$A$2:$D$4,4,FALSE)</f>
        <v>-</v>
      </c>
      <c r="D22" s="42" t="str">
        <f>VLOOKUP(Ueberblick42848[[#This Row],[Smart Metering- und 
Lastamanagementfeldstudien]],Dropdown!$A$2:$D$4,4,FALSE)</f>
        <v>-</v>
      </c>
      <c r="E22" s="42" t="str">
        <f>VLOOKUP(Ueberblick42848[[#This Row],[methodisch fokussierte Paper]],Dropdown!$A$2:$D$4,4,FALSE)</f>
        <v>-</v>
      </c>
      <c r="F22" s="42" t="str">
        <f>VLOOKUP(Ueberblick42848[[#This Row],[Lastmanagementpotenzialstudien]],Dropdown!$A$2:$D$4,4,FALSE)</f>
        <v>X</v>
      </c>
      <c r="G22" s="42" t="str">
        <f>VLOOKUP(Ueberblick42848[[#This Row],[Lastprofilgeneratoren]],Dropdown!$A$2:$D$4,4,FALSE)</f>
        <v>-</v>
      </c>
      <c r="H22" s="42" t="str">
        <f>VLOOKUP(Ueberblick42848[[#This Row],[VNB-Daten (z. B. 
Einspeisemanagement)]],Dropdown!$A$2:$D$4,4,FALSE)</f>
        <v>-</v>
      </c>
      <c r="I22" s="42" t="str">
        <f>VLOOKUP(Ueberblick42848[[#This Row],[sozialwissenschaftliche Studien]],Dropdown!$A$2:$D$4,4,FALSE)</f>
        <v>-</v>
      </c>
      <c r="J22" s="42" t="str">
        <f>VLOOKUP(Ueberblick42848[[#This Row],[Branchen- und Verbandsstatistiken]],Dropdown!$A$2:$D$4,4,FALSE)</f>
        <v>-</v>
      </c>
      <c r="K22" s="42" t="str">
        <f>VLOOKUP(Ueberblick42848[[#This Row],[reale Lastgangdaten]],Dropdown!$A$2:$D$4,4,FALSE)</f>
        <v>-</v>
      </c>
      <c r="L22" s="42" t="str">
        <f>VLOOKUP(Ueberblick42848[[#This Row],[eigene Datenbasis / Datenbank]],Dropdown!$A$2:$D$4,4,FALSE)</f>
        <v>X</v>
      </c>
      <c r="M22" s="42" t="str">
        <f>VLOOKUP(Ueberblick42848[[#This Row],[Energiesystemanalysen]],Dropdown!$A$2:$D$4,4,FALSE)</f>
        <v>-</v>
      </c>
      <c r="N22" s="42" t="str">
        <f>VLOOKUP(Ueberblick42848[[#This Row],[Herstellerangaben]],Dropdown!$A$2:$D$4,4,FALSE)</f>
        <v>-</v>
      </c>
      <c r="O22" s="42" t="str">
        <f>VLOOKUP(Ueberblick42848[[#This Row],[technische Publikationen 
zu Prozessen]],Dropdown!$A$2:$D$4,4,FALSE)</f>
        <v>-</v>
      </c>
      <c r="P22" s="42" t="str">
        <f>VLOOKUP(Ueberblick42848[[#This Row],[Datenportale: Verbrauchs-, 
Wetter-, Preisdaten]],Dropdown!$A$2:$D$4,4,FALSE)</f>
        <v>-</v>
      </c>
      <c r="Q22" s="42" t="str">
        <f>VLOOKUP(Ueberblick42848[[#This Row],[Literatur zu Elekrotmobilität]],Dropdown!$A$2:$D$4,4,FALSE)</f>
        <v>-</v>
      </c>
      <c r="R22" s="8">
        <v>77</v>
      </c>
    </row>
    <row r="23" spans="1:18" ht="25.5" x14ac:dyDescent="0.25">
      <c r="A23" s="6" t="s">
        <v>7</v>
      </c>
      <c r="B23" s="42" t="str">
        <f>VLOOKUP(Ueberblick42848[[#This Row],[öffentliche Statistiken]],Dropdown!$A$2:$D$4,4,FALSE)</f>
        <v>-</v>
      </c>
      <c r="C23" s="42" t="str">
        <f>VLOOKUP(Ueberblick42848[[#This Row],[Energiverbrauchsstatistik]],Dropdown!$A$2:$D$4,4,FALSE)</f>
        <v>-</v>
      </c>
      <c r="D23" s="42" t="str">
        <f>VLOOKUP(Ueberblick42848[[#This Row],[Smart Metering- und 
Lastamanagementfeldstudien]],Dropdown!$A$2:$D$4,4,FALSE)</f>
        <v>X</v>
      </c>
      <c r="E23" s="42" t="str">
        <f>VLOOKUP(Ueberblick42848[[#This Row],[methodisch fokussierte Paper]],Dropdown!$A$2:$D$4,4,FALSE)</f>
        <v>-</v>
      </c>
      <c r="F23" s="42" t="str">
        <f>VLOOKUP(Ueberblick42848[[#This Row],[Lastmanagementpotenzialstudien]],Dropdown!$A$2:$D$4,4,FALSE)</f>
        <v>X</v>
      </c>
      <c r="G23" s="42" t="str">
        <f>VLOOKUP(Ueberblick42848[[#This Row],[Lastprofilgeneratoren]],Dropdown!$A$2:$D$4,4,FALSE)</f>
        <v>-</v>
      </c>
      <c r="H23" s="42" t="str">
        <f>VLOOKUP(Ueberblick42848[[#This Row],[VNB-Daten (z. B. 
Einspeisemanagement)]],Dropdown!$A$2:$D$4,4,FALSE)</f>
        <v>X</v>
      </c>
      <c r="I23" s="42" t="str">
        <f>VLOOKUP(Ueberblick42848[[#This Row],[sozialwissenschaftliche Studien]],Dropdown!$A$2:$D$4,4,FALSE)</f>
        <v>-</v>
      </c>
      <c r="J23" s="42" t="str">
        <f>VLOOKUP(Ueberblick42848[[#This Row],[Branchen- und Verbandsstatistiken]],Dropdown!$A$2:$D$4,4,FALSE)</f>
        <v>-</v>
      </c>
      <c r="K23" s="42" t="str">
        <f>VLOOKUP(Ueberblick42848[[#This Row],[reale Lastgangdaten]],Dropdown!$A$2:$D$4,4,FALSE)</f>
        <v>-</v>
      </c>
      <c r="L23" s="42" t="str">
        <f>VLOOKUP(Ueberblick42848[[#This Row],[eigene Datenbasis / Datenbank]],Dropdown!$A$2:$D$4,4,FALSE)</f>
        <v>X</v>
      </c>
      <c r="M23" s="42" t="str">
        <f>VLOOKUP(Ueberblick42848[[#This Row],[Energiesystemanalysen]],Dropdown!$A$2:$D$4,4,FALSE)</f>
        <v>X</v>
      </c>
      <c r="N23" s="42" t="str">
        <f>VLOOKUP(Ueberblick42848[[#This Row],[Herstellerangaben]],Dropdown!$A$2:$D$4,4,FALSE)</f>
        <v>-</v>
      </c>
      <c r="O23" s="42" t="str">
        <f>VLOOKUP(Ueberblick42848[[#This Row],[technische Publikationen 
zu Prozessen]],Dropdown!$A$2:$D$4,4,FALSE)</f>
        <v>-</v>
      </c>
      <c r="P23" s="42" t="str">
        <f>VLOOKUP(Ueberblick42848[[#This Row],[Datenportale: Verbrauchs-, 
Wetter-, Preisdaten]],Dropdown!$A$2:$D$4,4,FALSE)</f>
        <v>X</v>
      </c>
      <c r="Q23" s="42" t="str">
        <f>VLOOKUP(Ueberblick42848[[#This Row],[Literatur zu Elekrotmobilität]],Dropdown!$A$2:$D$4,4,FALSE)</f>
        <v>-</v>
      </c>
      <c r="R23" s="8">
        <v>14</v>
      </c>
    </row>
    <row r="24" spans="1:18" s="11" customFormat="1" ht="25.5" x14ac:dyDescent="0.25">
      <c r="A24" s="6" t="s">
        <v>18</v>
      </c>
      <c r="B24" s="42" t="str">
        <f>VLOOKUP(Ueberblick42848[[#This Row],[öffentliche Statistiken]],Dropdown!$A$2:$D$4,4,FALSE)</f>
        <v>X</v>
      </c>
      <c r="C24" s="42" t="str">
        <f>VLOOKUP(Ueberblick42848[[#This Row],[Energiverbrauchsstatistik]],Dropdown!$A$2:$D$4,4,FALSE)</f>
        <v>X</v>
      </c>
      <c r="D24" s="42" t="str">
        <f>VLOOKUP(Ueberblick42848[[#This Row],[Smart Metering- und 
Lastamanagementfeldstudien]],Dropdown!$A$2:$D$4,4,FALSE)</f>
        <v>X</v>
      </c>
      <c r="E24" s="42" t="str">
        <f>VLOOKUP(Ueberblick42848[[#This Row],[methodisch fokussierte Paper]],Dropdown!$A$2:$D$4,4,FALSE)</f>
        <v>-</v>
      </c>
      <c r="F24" s="42" t="str">
        <f>VLOOKUP(Ueberblick42848[[#This Row],[Lastmanagementpotenzialstudien]],Dropdown!$A$2:$D$4,4,FALSE)</f>
        <v>X</v>
      </c>
      <c r="G24" s="42" t="str">
        <f>VLOOKUP(Ueberblick42848[[#This Row],[Lastprofilgeneratoren]],Dropdown!$A$2:$D$4,4,FALSE)</f>
        <v>-</v>
      </c>
      <c r="H24" s="42" t="str">
        <f>VLOOKUP(Ueberblick42848[[#This Row],[VNB-Daten (z. B. 
Einspeisemanagement)]],Dropdown!$A$2:$D$4,4,FALSE)</f>
        <v>-</v>
      </c>
      <c r="I24" s="42" t="str">
        <f>VLOOKUP(Ueberblick42848[[#This Row],[sozialwissenschaftliche Studien]],Dropdown!$A$2:$D$4,4,FALSE)</f>
        <v>-</v>
      </c>
      <c r="J24" s="42" t="str">
        <f>VLOOKUP(Ueberblick42848[[#This Row],[Branchen- und Verbandsstatistiken]],Dropdown!$A$2:$D$4,4,FALSE)</f>
        <v>X</v>
      </c>
      <c r="K24" s="42" t="str">
        <f>VLOOKUP(Ueberblick42848[[#This Row],[reale Lastgangdaten]],Dropdown!$A$2:$D$4,4,FALSE)</f>
        <v>-</v>
      </c>
      <c r="L24" s="42" t="str">
        <f>VLOOKUP(Ueberblick42848[[#This Row],[eigene Datenbasis / Datenbank]],Dropdown!$A$2:$D$4,4,FALSE)</f>
        <v>-</v>
      </c>
      <c r="M24" s="42" t="str">
        <f>VLOOKUP(Ueberblick42848[[#This Row],[Energiesystemanalysen]],Dropdown!$A$2:$D$4,4,FALSE)</f>
        <v>X</v>
      </c>
      <c r="N24" s="42" t="str">
        <f>VLOOKUP(Ueberblick42848[[#This Row],[Herstellerangaben]],Dropdown!$A$2:$D$4,4,FALSE)</f>
        <v>-</v>
      </c>
      <c r="O24" s="42" t="str">
        <f>VLOOKUP(Ueberblick42848[[#This Row],[technische Publikationen 
zu Prozessen]],Dropdown!$A$2:$D$4,4,FALSE)</f>
        <v>X</v>
      </c>
      <c r="P24" s="42" t="str">
        <f>VLOOKUP(Ueberblick42848[[#This Row],[Datenportale: Verbrauchs-, 
Wetter-, Preisdaten]],Dropdown!$A$2:$D$4,4,FALSE)</f>
        <v>X</v>
      </c>
      <c r="Q24" s="42" t="str">
        <f>VLOOKUP(Ueberblick42848[[#This Row],[Literatur zu Elekrotmobilität]],Dropdown!$A$2:$D$4,4,FALSE)</f>
        <v>-</v>
      </c>
      <c r="R24" s="8" t="s">
        <v>236</v>
      </c>
    </row>
    <row r="25" spans="1:18" x14ac:dyDescent="0.25">
      <c r="A25" s="6" t="s">
        <v>338</v>
      </c>
      <c r="B25" s="42" t="str">
        <f>VLOOKUP(Ueberblick42848[[#This Row],[öffentliche Statistiken]],Dropdown!$A$2:$D$4,4,FALSE)</f>
        <v>X</v>
      </c>
      <c r="C25" s="42" t="str">
        <f>VLOOKUP(Ueberblick42848[[#This Row],[Energiverbrauchsstatistik]],Dropdown!$A$2:$D$4,4,FALSE)</f>
        <v>-</v>
      </c>
      <c r="D25" s="42" t="str">
        <f>VLOOKUP(Ueberblick42848[[#This Row],[Smart Metering- und 
Lastamanagementfeldstudien]],Dropdown!$A$2:$D$4,4,FALSE)</f>
        <v>X</v>
      </c>
      <c r="E25" s="42" t="str">
        <f>VLOOKUP(Ueberblick42848[[#This Row],[methodisch fokussierte Paper]],Dropdown!$A$2:$D$4,4,FALSE)</f>
        <v>X</v>
      </c>
      <c r="F25" s="42" t="str">
        <f>VLOOKUP(Ueberblick42848[[#This Row],[Lastmanagementpotenzialstudien]],Dropdown!$A$2:$D$4,4,FALSE)</f>
        <v>-</v>
      </c>
      <c r="G25" s="42" t="str">
        <f>VLOOKUP(Ueberblick42848[[#This Row],[Lastprofilgeneratoren]],Dropdown!$A$2:$D$4,4,FALSE)</f>
        <v>-</v>
      </c>
      <c r="H25" s="42" t="str">
        <f>VLOOKUP(Ueberblick42848[[#This Row],[VNB-Daten (z. B. 
Einspeisemanagement)]],Dropdown!$A$2:$D$4,4,FALSE)</f>
        <v>-</v>
      </c>
      <c r="I25" s="42" t="str">
        <f>VLOOKUP(Ueberblick42848[[#This Row],[sozialwissenschaftliche Studien]],Dropdown!$A$2:$D$4,4,FALSE)</f>
        <v>-</v>
      </c>
      <c r="J25" s="42" t="str">
        <f>VLOOKUP(Ueberblick42848[[#This Row],[Branchen- und Verbandsstatistiken]],Dropdown!$A$2:$D$4,4,FALSE)</f>
        <v>X</v>
      </c>
      <c r="K25" s="42" t="str">
        <f>VLOOKUP(Ueberblick42848[[#This Row],[reale Lastgangdaten]],Dropdown!$A$2:$D$4,4,FALSE)</f>
        <v>X</v>
      </c>
      <c r="L25" s="42" t="str">
        <f>VLOOKUP(Ueberblick42848[[#This Row],[eigene Datenbasis / Datenbank]],Dropdown!$A$2:$D$4,4,FALSE)</f>
        <v>-</v>
      </c>
      <c r="M25" s="42" t="str">
        <f>VLOOKUP(Ueberblick42848[[#This Row],[Energiesystemanalysen]],Dropdown!$A$2:$D$4,4,FALSE)</f>
        <v>-</v>
      </c>
      <c r="N25" s="42" t="str">
        <f>VLOOKUP(Ueberblick42848[[#This Row],[Herstellerangaben]],Dropdown!$A$2:$D$4,4,FALSE)</f>
        <v>-</v>
      </c>
      <c r="O25" s="42" t="str">
        <f>VLOOKUP(Ueberblick42848[[#This Row],[technische Publikationen 
zu Prozessen]],Dropdown!$A$2:$D$4,4,FALSE)</f>
        <v>X</v>
      </c>
      <c r="P25" s="42" t="str">
        <f>VLOOKUP(Ueberblick42848[[#This Row],[Datenportale: Verbrauchs-, 
Wetter-, Preisdaten]],Dropdown!$A$2:$D$4,4,FALSE)</f>
        <v>-</v>
      </c>
      <c r="Q25" s="42" t="str">
        <f>VLOOKUP(Ueberblick42848[[#This Row],[Literatur zu Elekrotmobilität]],Dropdown!$A$2:$D$4,4,FALSE)</f>
        <v>-</v>
      </c>
      <c r="R25" s="8">
        <v>49</v>
      </c>
    </row>
    <row r="26" spans="1:18" s="11" customFormat="1" ht="38.25" x14ac:dyDescent="0.25">
      <c r="A26" s="6" t="s">
        <v>351</v>
      </c>
      <c r="B26" s="42" t="str">
        <f>VLOOKUP(Ueberblick42848[[#This Row],[öffentliche Statistiken]],Dropdown!$A$2:$D$4,4,FALSE)</f>
        <v>X</v>
      </c>
      <c r="C26" s="42" t="str">
        <f>VLOOKUP(Ueberblick42848[[#This Row],[Energiverbrauchsstatistik]],Dropdown!$A$2:$D$4,4,FALSE)</f>
        <v>X</v>
      </c>
      <c r="D26" s="42" t="str">
        <f>VLOOKUP(Ueberblick42848[[#This Row],[Smart Metering- und 
Lastamanagementfeldstudien]],Dropdown!$A$2:$D$4,4,FALSE)</f>
        <v>X</v>
      </c>
      <c r="E26" s="42" t="str">
        <f>VLOOKUP(Ueberblick42848[[#This Row],[methodisch fokussierte Paper]],Dropdown!$A$2:$D$4,4,FALSE)</f>
        <v>X</v>
      </c>
      <c r="F26" s="42" t="str">
        <f>VLOOKUP(Ueberblick42848[[#This Row],[Lastmanagementpotenzialstudien]],Dropdown!$A$2:$D$4,4,FALSE)</f>
        <v>X</v>
      </c>
      <c r="G26" s="42" t="str">
        <f>VLOOKUP(Ueberblick42848[[#This Row],[Lastprofilgeneratoren]],Dropdown!$A$2:$D$4,4,FALSE)</f>
        <v>-</v>
      </c>
      <c r="H26" s="42" t="str">
        <f>VLOOKUP(Ueberblick42848[[#This Row],[VNB-Daten (z. B. 
Einspeisemanagement)]],Dropdown!$A$2:$D$4,4,FALSE)</f>
        <v>X</v>
      </c>
      <c r="I26" s="42" t="str">
        <f>VLOOKUP(Ueberblick42848[[#This Row],[sozialwissenschaftliche Studien]],Dropdown!$A$2:$D$4,4,FALSE)</f>
        <v>-</v>
      </c>
      <c r="J26" s="42" t="str">
        <f>VLOOKUP(Ueberblick42848[[#This Row],[Branchen- und Verbandsstatistiken]],Dropdown!$A$2:$D$4,4,FALSE)</f>
        <v>X</v>
      </c>
      <c r="K26" s="42" t="str">
        <f>VLOOKUP(Ueberblick42848[[#This Row],[reale Lastgangdaten]],Dropdown!$A$2:$D$4,4,FALSE)</f>
        <v>-</v>
      </c>
      <c r="L26" s="42" t="str">
        <f>VLOOKUP(Ueberblick42848[[#This Row],[eigene Datenbasis / Datenbank]],Dropdown!$A$2:$D$4,4,FALSE)</f>
        <v>-</v>
      </c>
      <c r="M26" s="42" t="str">
        <f>VLOOKUP(Ueberblick42848[[#This Row],[Energiesystemanalysen]],Dropdown!$A$2:$D$4,4,FALSE)</f>
        <v>X</v>
      </c>
      <c r="N26" s="42" t="str">
        <f>VLOOKUP(Ueberblick42848[[#This Row],[Herstellerangaben]],Dropdown!$A$2:$D$4,4,FALSE)</f>
        <v>X</v>
      </c>
      <c r="O26" s="42" t="str">
        <f>VLOOKUP(Ueberblick42848[[#This Row],[technische Publikationen 
zu Prozessen]],Dropdown!$A$2:$D$4,4,FALSE)</f>
        <v>X</v>
      </c>
      <c r="P26" s="42" t="str">
        <f>VLOOKUP(Ueberblick42848[[#This Row],[Datenportale: Verbrauchs-, 
Wetter-, Preisdaten]],Dropdown!$A$2:$D$4,4,FALSE)</f>
        <v>X</v>
      </c>
      <c r="Q26" s="42" t="str">
        <f>VLOOKUP(Ueberblick42848[[#This Row],[Literatur zu Elekrotmobilität]],Dropdown!$A$2:$D$4,4,FALSE)</f>
        <v>-</v>
      </c>
      <c r="R26" s="8" t="s">
        <v>291</v>
      </c>
    </row>
    <row r="27" spans="1:18" s="11" customFormat="1" ht="51" x14ac:dyDescent="0.25">
      <c r="A27" s="6" t="s">
        <v>24</v>
      </c>
      <c r="B27" s="42" t="str">
        <f>VLOOKUP(Ueberblick42848[[#This Row],[öffentliche Statistiken]],Dropdown!$A$2:$D$4,4,FALSE)</f>
        <v>X</v>
      </c>
      <c r="C27" s="42" t="str">
        <f>VLOOKUP(Ueberblick42848[[#This Row],[Energiverbrauchsstatistik]],Dropdown!$A$2:$D$4,4,FALSE)</f>
        <v>X</v>
      </c>
      <c r="D27" s="42" t="str">
        <f>VLOOKUP(Ueberblick42848[[#This Row],[Smart Metering- und 
Lastamanagementfeldstudien]],Dropdown!$A$2:$D$4,4,FALSE)</f>
        <v>-</v>
      </c>
      <c r="E27" s="42" t="str">
        <f>VLOOKUP(Ueberblick42848[[#This Row],[methodisch fokussierte Paper]],Dropdown!$A$2:$D$4,4,FALSE)</f>
        <v>-</v>
      </c>
      <c r="F27" s="42" t="str">
        <f>VLOOKUP(Ueberblick42848[[#This Row],[Lastmanagementpotenzialstudien]],Dropdown!$A$2:$D$4,4,FALSE)</f>
        <v>X</v>
      </c>
      <c r="G27" s="42" t="str">
        <f>VLOOKUP(Ueberblick42848[[#This Row],[Lastprofilgeneratoren]],Dropdown!$A$2:$D$4,4,FALSE)</f>
        <v>-</v>
      </c>
      <c r="H27" s="42" t="str">
        <f>VLOOKUP(Ueberblick42848[[#This Row],[VNB-Daten (z. B. 
Einspeisemanagement)]],Dropdown!$A$2:$D$4,4,FALSE)</f>
        <v>-</v>
      </c>
      <c r="I27" s="42" t="str">
        <f>VLOOKUP(Ueberblick42848[[#This Row],[sozialwissenschaftliche Studien]],Dropdown!$A$2:$D$4,4,FALSE)</f>
        <v>-</v>
      </c>
      <c r="J27" s="42" t="str">
        <f>VLOOKUP(Ueberblick42848[[#This Row],[Branchen- und Verbandsstatistiken]],Dropdown!$A$2:$D$4,4,FALSE)</f>
        <v>-</v>
      </c>
      <c r="K27" s="42" t="str">
        <f>VLOOKUP(Ueberblick42848[[#This Row],[reale Lastgangdaten]],Dropdown!$A$2:$D$4,4,FALSE)</f>
        <v>-</v>
      </c>
      <c r="L27" s="42" t="str">
        <f>VLOOKUP(Ueberblick42848[[#This Row],[eigene Datenbasis / Datenbank]],Dropdown!$A$2:$D$4,4,FALSE)</f>
        <v>-</v>
      </c>
      <c r="M27" s="42" t="str">
        <f>VLOOKUP(Ueberblick42848[[#This Row],[Energiesystemanalysen]],Dropdown!$A$2:$D$4,4,FALSE)</f>
        <v>-</v>
      </c>
      <c r="N27" s="42" t="str">
        <f>VLOOKUP(Ueberblick42848[[#This Row],[Herstellerangaben]],Dropdown!$A$2:$D$4,4,FALSE)</f>
        <v>-</v>
      </c>
      <c r="O27" s="42" t="str">
        <f>VLOOKUP(Ueberblick42848[[#This Row],[technische Publikationen 
zu Prozessen]],Dropdown!$A$2:$D$4,4,FALSE)</f>
        <v>-</v>
      </c>
      <c r="P27" s="42" t="str">
        <f>VLOOKUP(Ueberblick42848[[#This Row],[Datenportale: Verbrauchs-, 
Wetter-, Preisdaten]],Dropdown!$A$2:$D$4,4,FALSE)</f>
        <v>-</v>
      </c>
      <c r="Q27" s="42" t="str">
        <f>VLOOKUP(Ueberblick42848[[#This Row],[Literatur zu Elekrotmobilität]],Dropdown!$A$2:$D$4,4,FALSE)</f>
        <v>-</v>
      </c>
      <c r="R27" s="8" t="s">
        <v>250</v>
      </c>
    </row>
    <row r="28" spans="1:18" x14ac:dyDescent="0.25">
      <c r="A28" s="18" t="s">
        <v>854</v>
      </c>
      <c r="B28" s="18">
        <f>Ueberblick42848[[#Totals],[öffentliche Statistiken]]</f>
        <v>18</v>
      </c>
      <c r="C28" s="18">
        <f>Ueberblick42848[[#Totals],[Energiverbrauchsstatistik]]</f>
        <v>12</v>
      </c>
      <c r="D28" s="18">
        <f>Ueberblick42848[[#Totals],[Smart Metering- und 
Lastamanagementfeldstudien]]</f>
        <v>14</v>
      </c>
      <c r="E28" s="18">
        <f>Ueberblick42848[[#Totals],[methodisch fokussierte Paper]]</f>
        <v>8</v>
      </c>
      <c r="F28" s="18">
        <f>Ueberblick42848[[#Totals],[Lastmanagementpotenzialstudien]]</f>
        <v>24</v>
      </c>
      <c r="G28" s="18">
        <f>Ueberblick42848[[#Totals],[Lastprofilgeneratoren]]</f>
        <v>1</v>
      </c>
      <c r="H28" s="18">
        <f>Ueberblick42848[[#Totals],[VNB-Daten (z. B. 
Einspeisemanagement)]]</f>
        <v>6</v>
      </c>
      <c r="I28" s="18">
        <f>Ueberblick42848[[#Totals],[sozialwissenschaftliche Studien]]</f>
        <v>2</v>
      </c>
      <c r="J28" s="18">
        <f>Ueberblick42848[[#Totals],[Branchen- und Verbandsstatistiken]]</f>
        <v>14</v>
      </c>
      <c r="K28" s="18">
        <f>Ueberblick42848[[#Totals],[reale Lastgangdaten]]</f>
        <v>5</v>
      </c>
      <c r="L28" s="18">
        <f>Ueberblick42848[[#Totals],[eigene Datenbasis / Datenbank]]</f>
        <v>7</v>
      </c>
      <c r="M28" s="18">
        <f>Ueberblick42848[[#Totals],[Energiesystemanalysen]]</f>
        <v>9</v>
      </c>
      <c r="N28" s="18">
        <f>Ueberblick42848[[#Totals],[Herstellerangaben]]</f>
        <v>3</v>
      </c>
      <c r="O28" s="18">
        <f>Ueberblick42848[[#Totals],[technische Publikationen 
zu Prozessen]]</f>
        <v>13</v>
      </c>
      <c r="P28" s="18">
        <f>Ueberblick42848[[#Totals],[Datenportale: Verbrauchs-, 
Wetter-, Preisdaten]]</f>
        <v>11</v>
      </c>
      <c r="Q28" s="18">
        <f>Ueberblick42848[[#Totals],[Literatur zu Elekrotmobilität]]</f>
        <v>3</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18B2F-4141-4388-A706-71E59165123B}">
  <sheetPr codeName="Tabelle22">
    <tabColor theme="7" tint="0.79998168889431442"/>
  </sheetPr>
  <dimension ref="A1:R28"/>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c r="D1" s="3" t="s">
        <v>101</v>
      </c>
      <c r="E1" s="3"/>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3" t="s">
        <v>1367</v>
      </c>
      <c r="C2" s="43" t="s">
        <v>1374</v>
      </c>
      <c r="D2" s="43" t="s">
        <v>1368</v>
      </c>
      <c r="E2" s="43" t="s">
        <v>1452</v>
      </c>
      <c r="F2" s="43" t="s">
        <v>1359</v>
      </c>
      <c r="G2" s="43" t="s">
        <v>1360</v>
      </c>
      <c r="H2" s="43" t="s">
        <v>1391</v>
      </c>
      <c r="I2" s="43" t="s">
        <v>1361</v>
      </c>
      <c r="J2" s="43" t="s">
        <v>1362</v>
      </c>
      <c r="K2" s="43" t="s">
        <v>1363</v>
      </c>
      <c r="L2" s="43" t="s">
        <v>1364</v>
      </c>
      <c r="M2" s="43" t="s">
        <v>1316</v>
      </c>
      <c r="N2" s="43" t="s">
        <v>1343</v>
      </c>
      <c r="O2" s="43" t="s">
        <v>1365</v>
      </c>
      <c r="P2" s="43" t="s">
        <v>1453</v>
      </c>
      <c r="Q2" s="43" t="s">
        <v>1366</v>
      </c>
      <c r="R2" s="3" t="s">
        <v>104</v>
      </c>
    </row>
    <row r="3" spans="1:18" x14ac:dyDescent="0.25">
      <c r="A3" s="6" t="s">
        <v>12</v>
      </c>
      <c r="B3" s="42" t="str">
        <f>VLOOKUP(Ueberblick42848[[#This Row],[öffentliche Statistiken]],Dropdown!$A$2:$D$4,4,FALSE)</f>
        <v>X</v>
      </c>
      <c r="C3" s="42" t="str">
        <f>VLOOKUP(Ueberblick42848[[#This Row],[Energiverbrauchsstatistik]],Dropdown!$A$2:$D$4,4,FALSE)</f>
        <v>X</v>
      </c>
      <c r="D3" s="42" t="str">
        <f>VLOOKUP(Ueberblick42848[[#This Row],[Smart Metering- und 
Lastamanagementfeldstudien]],Dropdown!$A$2:$D$4,4,FALSE)</f>
        <v>X</v>
      </c>
      <c r="E3" s="42" t="str">
        <f>VLOOKUP(Ueberblick42848[[#This Row],[methodisch fokussierte Paper]],Dropdown!$A$2:$D$4,4,FALSE)</f>
        <v>X</v>
      </c>
      <c r="F3" s="42" t="str">
        <f>VLOOKUP(Ueberblick42848[[#This Row],[Lastmanagementpotenzialstudien]],Dropdown!$A$2:$D$4,4,FALSE)</f>
        <v>X</v>
      </c>
      <c r="G3" s="42" t="str">
        <f>VLOOKUP(Ueberblick42848[[#This Row],[Lastprofilgeneratoren]],Dropdown!$A$2:$D$4,4,FALSE)</f>
        <v>-</v>
      </c>
      <c r="H3" s="42" t="str">
        <f>VLOOKUP(Ueberblick42848[[#This Row],[VNB-Daten (z. B. 
Einspeisemanagement)]],Dropdown!$A$2:$D$4,4,FALSE)</f>
        <v>-</v>
      </c>
      <c r="I3" s="42" t="str">
        <f>VLOOKUP(Ueberblick42848[[#This Row],[sozialwissenschaftliche Studien]],Dropdown!$A$2:$D$4,4,FALSE)</f>
        <v>-</v>
      </c>
      <c r="J3" s="42" t="str">
        <f>VLOOKUP(Ueberblick42848[[#This Row],[Branchen- und Verbandsstatistiken]],Dropdown!$A$2:$D$4,4,FALSE)</f>
        <v>X</v>
      </c>
      <c r="K3" s="42" t="str">
        <f>VLOOKUP(Ueberblick42848[[#This Row],[reale Lastgangdaten]],Dropdown!$A$2:$D$4,4,FALSE)</f>
        <v>-</v>
      </c>
      <c r="L3" s="42" t="str">
        <f>VLOOKUP(Ueberblick42848[[#This Row],[eigene Datenbasis / Datenbank]],Dropdown!$A$2:$D$4,4,FALSE)</f>
        <v>-</v>
      </c>
      <c r="M3" s="42" t="str">
        <f>VLOOKUP(Ueberblick42848[[#This Row],[Energiesystemanalysen]],Dropdown!$A$2:$D$4,4,FALSE)</f>
        <v>-</v>
      </c>
      <c r="N3" s="42" t="str">
        <f>VLOOKUP(Ueberblick42848[[#This Row],[Herstellerangaben]],Dropdown!$A$2:$D$4,4,FALSE)</f>
        <v>-</v>
      </c>
      <c r="O3" s="42" t="str">
        <f>VLOOKUP(Ueberblick42848[[#This Row],[technische Publikationen 
zu Prozessen]],Dropdown!$A$2:$D$4,4,FALSE)</f>
        <v>X</v>
      </c>
      <c r="P3" s="42" t="str">
        <f>VLOOKUP(Ueberblick42848[[#This Row],[Datenportale: Verbrauchs-, 
Wetter-, Preisdaten]],Dropdown!$A$2:$D$4,4,FALSE)</f>
        <v>-</v>
      </c>
      <c r="Q3" s="42" t="str">
        <f>VLOOKUP(Ueberblick42848[[#This Row],[Literatur zu Elekrotmobilität]],Dropdown!$A$2:$D$4,4,FALSE)</f>
        <v>-</v>
      </c>
      <c r="R3" s="8" t="s">
        <v>1371</v>
      </c>
    </row>
    <row r="4" spans="1:18" ht="25.5" x14ac:dyDescent="0.25">
      <c r="A4" s="6" t="s">
        <v>347</v>
      </c>
      <c r="B4" s="42" t="str">
        <f>VLOOKUP(Ueberblick42848[[#This Row],[öffentliche Statistiken]],Dropdown!$A$2:$D$4,4,FALSE)</f>
        <v>X</v>
      </c>
      <c r="C4" s="42" t="str">
        <f>VLOOKUP(Ueberblick42848[[#This Row],[Energiverbrauchsstatistik]],Dropdown!$A$2:$D$4,4,FALSE)</f>
        <v>-</v>
      </c>
      <c r="D4" s="42" t="str">
        <f>VLOOKUP(Ueberblick42848[[#This Row],[Smart Metering- und 
Lastamanagementfeldstudien]],Dropdown!$A$2:$D$4,4,FALSE)</f>
        <v>X</v>
      </c>
      <c r="E4" s="42" t="str">
        <f>VLOOKUP(Ueberblick42848[[#This Row],[methodisch fokussierte Paper]],Dropdown!$A$2:$D$4,4,FALSE)</f>
        <v>X</v>
      </c>
      <c r="F4" s="42" t="str">
        <f>VLOOKUP(Ueberblick42848[[#This Row],[Lastmanagementpotenzialstudien]],Dropdown!$A$2:$D$4,4,FALSE)</f>
        <v>X</v>
      </c>
      <c r="G4" s="42" t="str">
        <f>VLOOKUP(Ueberblick42848[[#This Row],[Lastprofilgeneratoren]],Dropdown!$A$2:$D$4,4,FALSE)</f>
        <v>X</v>
      </c>
      <c r="H4" s="42" t="str">
        <f>VLOOKUP(Ueberblick42848[[#This Row],[VNB-Daten (z. B. 
Einspeisemanagement)]],Dropdown!$A$2:$D$4,4,FALSE)</f>
        <v>-</v>
      </c>
      <c r="I4" s="42" t="str">
        <f>VLOOKUP(Ueberblick42848[[#This Row],[sozialwissenschaftliche Studien]],Dropdown!$A$2:$D$4,4,FALSE)</f>
        <v>X</v>
      </c>
      <c r="J4" s="42" t="str">
        <f>VLOOKUP(Ueberblick42848[[#This Row],[Branchen- und Verbandsstatistiken]],Dropdown!$A$2:$D$4,4,FALSE)</f>
        <v>-</v>
      </c>
      <c r="K4" s="42" t="str">
        <f>VLOOKUP(Ueberblick42848[[#This Row],[reale Lastgangdaten]],Dropdown!$A$2:$D$4,4,FALSE)</f>
        <v>-</v>
      </c>
      <c r="L4" s="42" t="str">
        <f>VLOOKUP(Ueberblick42848[[#This Row],[eigene Datenbasis / Datenbank]],Dropdown!$A$2:$D$4,4,FALSE)</f>
        <v>-</v>
      </c>
      <c r="M4" s="42" t="str">
        <f>VLOOKUP(Ueberblick42848[[#This Row],[Energiesystemanalysen]],Dropdown!$A$2:$D$4,4,FALSE)</f>
        <v>X</v>
      </c>
      <c r="N4" s="42" t="str">
        <f>VLOOKUP(Ueberblick42848[[#This Row],[Herstellerangaben]],Dropdown!$A$2:$D$4,4,FALSE)</f>
        <v>-</v>
      </c>
      <c r="O4" s="42" t="str">
        <f>VLOOKUP(Ueberblick42848[[#This Row],[technische Publikationen 
zu Prozessen]],Dropdown!$A$2:$D$4,4,FALSE)</f>
        <v>X</v>
      </c>
      <c r="P4" s="42" t="str">
        <f>VLOOKUP(Ueberblick42848[[#This Row],[Datenportale: Verbrauchs-, 
Wetter-, Preisdaten]],Dropdown!$A$2:$D$4,4,FALSE)</f>
        <v>-</v>
      </c>
      <c r="Q4" s="42" t="str">
        <f>VLOOKUP(Ueberblick42848[[#This Row],[Literatur zu Elekrotmobilität]],Dropdown!$A$2:$D$4,4,FALSE)</f>
        <v>-</v>
      </c>
      <c r="R4" s="8" t="s">
        <v>1370</v>
      </c>
    </row>
    <row r="5" spans="1:18" s="11" customFormat="1" ht="25.5" x14ac:dyDescent="0.25">
      <c r="A5" s="6" t="s">
        <v>348</v>
      </c>
      <c r="B5" s="42" t="str">
        <f>VLOOKUP(Ueberblick42848[[#This Row],[öffentliche Statistiken]],Dropdown!$A$2:$D$4,4,FALSE)</f>
        <v>-</v>
      </c>
      <c r="C5" s="42" t="str">
        <f>VLOOKUP(Ueberblick42848[[#This Row],[Energiverbrauchsstatistik]],Dropdown!$A$2:$D$4,4,FALSE)</f>
        <v>-</v>
      </c>
      <c r="D5" s="42" t="str">
        <f>VLOOKUP(Ueberblick42848[[#This Row],[Smart Metering- und 
Lastamanagementfeldstudien]],Dropdown!$A$2:$D$4,4,FALSE)</f>
        <v>-</v>
      </c>
      <c r="E5" s="42" t="str">
        <f>VLOOKUP(Ueberblick42848[[#This Row],[methodisch fokussierte Paper]],Dropdown!$A$2:$D$4,4,FALSE)</f>
        <v>-</v>
      </c>
      <c r="F5" s="42" t="str">
        <f>VLOOKUP(Ueberblick42848[[#This Row],[Lastmanagementpotenzialstudien]],Dropdown!$A$2:$D$4,4,FALSE)</f>
        <v>X</v>
      </c>
      <c r="G5" s="42" t="str">
        <f>VLOOKUP(Ueberblick42848[[#This Row],[Lastprofilgeneratoren]],Dropdown!$A$2:$D$4,4,FALSE)</f>
        <v>-</v>
      </c>
      <c r="H5" s="42" t="str">
        <f>VLOOKUP(Ueberblick42848[[#This Row],[VNB-Daten (z. B. 
Einspeisemanagement)]],Dropdown!$A$2:$D$4,4,FALSE)</f>
        <v>-</v>
      </c>
      <c r="I5" s="42" t="str">
        <f>VLOOKUP(Ueberblick42848[[#This Row],[sozialwissenschaftliche Studien]],Dropdown!$A$2:$D$4,4,FALSE)</f>
        <v>-</v>
      </c>
      <c r="J5" s="42" t="str">
        <f>VLOOKUP(Ueberblick42848[[#This Row],[Branchen- und Verbandsstatistiken]],Dropdown!$A$2:$D$4,4,FALSE)</f>
        <v>X</v>
      </c>
      <c r="K5" s="42" t="str">
        <f>VLOOKUP(Ueberblick42848[[#This Row],[reale Lastgangdaten]],Dropdown!$A$2:$D$4,4,FALSE)</f>
        <v>-</v>
      </c>
      <c r="L5" s="42" t="str">
        <f>VLOOKUP(Ueberblick42848[[#This Row],[eigene Datenbasis / Datenbank]],Dropdown!$A$2:$D$4,4,FALSE)</f>
        <v>-</v>
      </c>
      <c r="M5" s="42" t="str">
        <f>VLOOKUP(Ueberblick42848[[#This Row],[Energiesystemanalysen]],Dropdown!$A$2:$D$4,4,FALSE)</f>
        <v>-</v>
      </c>
      <c r="N5" s="42" t="str">
        <f>VLOOKUP(Ueberblick42848[[#This Row],[Herstellerangaben]],Dropdown!$A$2:$D$4,4,FALSE)</f>
        <v>-</v>
      </c>
      <c r="O5" s="42" t="str">
        <f>VLOOKUP(Ueberblick42848[[#This Row],[technische Publikationen 
zu Prozessen]],Dropdown!$A$2:$D$4,4,FALSE)</f>
        <v>-</v>
      </c>
      <c r="P5" s="42" t="str">
        <f>VLOOKUP(Ueberblick42848[[#This Row],[Datenportale: Verbrauchs-, 
Wetter-, Preisdaten]],Dropdown!$A$2:$D$4,4,FALSE)</f>
        <v>X</v>
      </c>
      <c r="Q5" s="42" t="str">
        <f>VLOOKUP(Ueberblick42848[[#This Row],[Literatur zu Elekrotmobilität]],Dropdown!$A$2:$D$4,4,FALSE)</f>
        <v>-</v>
      </c>
      <c r="R5" s="8" t="s">
        <v>1377</v>
      </c>
    </row>
    <row r="6" spans="1:18" s="11" customFormat="1" ht="25.5" x14ac:dyDescent="0.25">
      <c r="A6" s="6" t="s">
        <v>183</v>
      </c>
      <c r="B6" s="42" t="str">
        <f>VLOOKUP(Ueberblick42848[[#This Row],[öffentliche Statistiken]],Dropdown!$A$2:$D$4,4,FALSE)</f>
        <v>X</v>
      </c>
      <c r="C6" s="42" t="str">
        <f>VLOOKUP(Ueberblick42848[[#This Row],[Energiverbrauchsstatistik]],Dropdown!$A$2:$D$4,4,FALSE)</f>
        <v>X</v>
      </c>
      <c r="D6" s="42" t="str">
        <f>VLOOKUP(Ueberblick42848[[#This Row],[Smart Metering- und 
Lastamanagementfeldstudien]],Dropdown!$A$2:$D$4,4,FALSE)</f>
        <v>-</v>
      </c>
      <c r="E6" s="42" t="str">
        <f>VLOOKUP(Ueberblick42848[[#This Row],[methodisch fokussierte Paper]],Dropdown!$A$2:$D$4,4,FALSE)</f>
        <v>-</v>
      </c>
      <c r="F6" s="42" t="str">
        <f>VLOOKUP(Ueberblick42848[[#This Row],[Lastmanagementpotenzialstudien]],Dropdown!$A$2:$D$4,4,FALSE)</f>
        <v>X</v>
      </c>
      <c r="G6" s="42" t="str">
        <f>VLOOKUP(Ueberblick42848[[#This Row],[Lastprofilgeneratoren]],Dropdown!$A$2:$D$4,4,FALSE)</f>
        <v>-</v>
      </c>
      <c r="H6" s="42" t="str">
        <f>VLOOKUP(Ueberblick42848[[#This Row],[VNB-Daten (z. B. 
Einspeisemanagement)]],Dropdown!$A$2:$D$4,4,FALSE)</f>
        <v>-</v>
      </c>
      <c r="I6" s="42" t="str">
        <f>VLOOKUP(Ueberblick42848[[#This Row],[sozialwissenschaftliche Studien]],Dropdown!$A$2:$D$4,4,FALSE)</f>
        <v>-</v>
      </c>
      <c r="J6" s="42" t="str">
        <f>VLOOKUP(Ueberblick42848[[#This Row],[Branchen- und Verbandsstatistiken]],Dropdown!$A$2:$D$4,4,FALSE)</f>
        <v>X</v>
      </c>
      <c r="K6" s="42" t="str">
        <f>VLOOKUP(Ueberblick42848[[#This Row],[reale Lastgangdaten]],Dropdown!$A$2:$D$4,4,FALSE)</f>
        <v>-</v>
      </c>
      <c r="L6" s="42" t="str">
        <f>VLOOKUP(Ueberblick42848[[#This Row],[eigene Datenbasis / Datenbank]],Dropdown!$A$2:$D$4,4,FALSE)</f>
        <v>-</v>
      </c>
      <c r="M6" s="42" t="str">
        <f>VLOOKUP(Ueberblick42848[[#This Row],[Energiesystemanalysen]],Dropdown!$A$2:$D$4,4,FALSE)</f>
        <v>-</v>
      </c>
      <c r="N6" s="42" t="str">
        <f>VLOOKUP(Ueberblick42848[[#This Row],[Herstellerangaben]],Dropdown!$A$2:$D$4,4,FALSE)</f>
        <v>-</v>
      </c>
      <c r="O6" s="42" t="str">
        <f>VLOOKUP(Ueberblick42848[[#This Row],[technische Publikationen 
zu Prozessen]],Dropdown!$A$2:$D$4,4,FALSE)</f>
        <v>X</v>
      </c>
      <c r="P6" s="42" t="str">
        <f>VLOOKUP(Ueberblick42848[[#This Row],[Datenportale: Verbrauchs-, 
Wetter-, Preisdaten]],Dropdown!$A$2:$D$4,4,FALSE)</f>
        <v>-</v>
      </c>
      <c r="Q6" s="42" t="str">
        <f>VLOOKUP(Ueberblick42848[[#This Row],[Literatur zu Elekrotmobilität]],Dropdown!$A$2:$D$4,4,FALSE)</f>
        <v>-</v>
      </c>
      <c r="R6" s="8" t="s">
        <v>1372</v>
      </c>
    </row>
    <row r="7" spans="1:18" s="11" customFormat="1" ht="25.5" x14ac:dyDescent="0.25">
      <c r="A7" s="6" t="s">
        <v>258</v>
      </c>
      <c r="B7" s="42" t="str">
        <f>VLOOKUP(Ueberblick42848[[#This Row],[öffentliche Statistiken]],Dropdown!$A$2:$D$4,4,FALSE)</f>
        <v>X</v>
      </c>
      <c r="C7" s="42" t="str">
        <f>VLOOKUP(Ueberblick42848[[#This Row],[Energiverbrauchsstatistik]],Dropdown!$A$2:$D$4,4,FALSE)</f>
        <v>X</v>
      </c>
      <c r="D7" s="42" t="str">
        <f>VLOOKUP(Ueberblick42848[[#This Row],[Smart Metering- und 
Lastamanagementfeldstudien]],Dropdown!$A$2:$D$4,4,FALSE)</f>
        <v>X</v>
      </c>
      <c r="E7" s="42" t="str">
        <f>VLOOKUP(Ueberblick42848[[#This Row],[methodisch fokussierte Paper]],Dropdown!$A$2:$D$4,4,FALSE)</f>
        <v>X</v>
      </c>
      <c r="F7" s="42" t="str">
        <f>VLOOKUP(Ueberblick42848[[#This Row],[Lastmanagementpotenzialstudien]],Dropdown!$A$2:$D$4,4,FALSE)</f>
        <v>X</v>
      </c>
      <c r="G7" s="42" t="str">
        <f>VLOOKUP(Ueberblick42848[[#This Row],[Lastprofilgeneratoren]],Dropdown!$A$2:$D$4,4,FALSE)</f>
        <v>-</v>
      </c>
      <c r="H7" s="42" t="str">
        <f>VLOOKUP(Ueberblick42848[[#This Row],[VNB-Daten (z. B. 
Einspeisemanagement)]],Dropdown!$A$2:$D$4,4,FALSE)</f>
        <v>-</v>
      </c>
      <c r="I7" s="42" t="str">
        <f>VLOOKUP(Ueberblick42848[[#This Row],[sozialwissenschaftliche Studien]],Dropdown!$A$2:$D$4,4,FALSE)</f>
        <v>-</v>
      </c>
      <c r="J7" s="42" t="str">
        <f>VLOOKUP(Ueberblick42848[[#This Row],[Branchen- und Verbandsstatistiken]],Dropdown!$A$2:$D$4,4,FALSE)</f>
        <v>X</v>
      </c>
      <c r="K7" s="42" t="str">
        <f>VLOOKUP(Ueberblick42848[[#This Row],[reale Lastgangdaten]],Dropdown!$A$2:$D$4,4,FALSE)</f>
        <v>-</v>
      </c>
      <c r="L7" s="42" t="str">
        <f>VLOOKUP(Ueberblick42848[[#This Row],[eigene Datenbasis / Datenbank]],Dropdown!$A$2:$D$4,4,FALSE)</f>
        <v>-</v>
      </c>
      <c r="M7" s="42" t="str">
        <f>VLOOKUP(Ueberblick42848[[#This Row],[Energiesystemanalysen]],Dropdown!$A$2:$D$4,4,FALSE)</f>
        <v>X</v>
      </c>
      <c r="N7" s="42" t="str">
        <f>VLOOKUP(Ueberblick42848[[#This Row],[Herstellerangaben]],Dropdown!$A$2:$D$4,4,FALSE)</f>
        <v>-</v>
      </c>
      <c r="O7" s="42" t="str">
        <f>VLOOKUP(Ueberblick42848[[#This Row],[technische Publikationen 
zu Prozessen]],Dropdown!$A$2:$D$4,4,FALSE)</f>
        <v>X</v>
      </c>
      <c r="P7" s="42" t="str">
        <f>VLOOKUP(Ueberblick42848[[#This Row],[Datenportale: Verbrauchs-, 
Wetter-, Preisdaten]],Dropdown!$A$2:$D$4,4,FALSE)</f>
        <v>X</v>
      </c>
      <c r="Q7" s="42" t="str">
        <f>VLOOKUP(Ueberblick42848[[#This Row],[Literatur zu Elekrotmobilität]],Dropdown!$A$2:$D$4,4,FALSE)</f>
        <v>-</v>
      </c>
      <c r="R7" s="8" t="s">
        <v>1378</v>
      </c>
    </row>
    <row r="8" spans="1:18" s="11" customFormat="1" ht="25.5" x14ac:dyDescent="0.25">
      <c r="A8" s="18" t="s">
        <v>355</v>
      </c>
      <c r="B8" s="42" t="str">
        <f>VLOOKUP(Ueberblick42848[[#This Row],[öffentliche Statistiken]],Dropdown!$A$2:$D$4,4,FALSE)</f>
        <v>X</v>
      </c>
      <c r="C8" s="42" t="str">
        <f>VLOOKUP(Ueberblick42848[[#This Row],[Energiverbrauchsstatistik]],Dropdown!$A$2:$D$4,4,FALSE)</f>
        <v>-</v>
      </c>
      <c r="D8" s="42" t="str">
        <f>VLOOKUP(Ueberblick42848[[#This Row],[Smart Metering- und 
Lastamanagementfeldstudien]],Dropdown!$A$2:$D$4,4,FALSE)</f>
        <v>X</v>
      </c>
      <c r="E8" s="42" t="str">
        <f>VLOOKUP(Ueberblick42848[[#This Row],[methodisch fokussierte Paper]],Dropdown!$A$2:$D$4,4,FALSE)</f>
        <v>-</v>
      </c>
      <c r="F8" s="42" t="str">
        <f>VLOOKUP(Ueberblick42848[[#This Row],[Lastmanagementpotenzialstudien]],Dropdown!$A$2:$D$4,4,FALSE)</f>
        <v>X</v>
      </c>
      <c r="G8" s="42" t="str">
        <f>VLOOKUP(Ueberblick42848[[#This Row],[Lastprofilgeneratoren]],Dropdown!$A$2:$D$4,4,FALSE)</f>
        <v>-</v>
      </c>
      <c r="H8" s="42" t="str">
        <f>VLOOKUP(Ueberblick42848[[#This Row],[VNB-Daten (z. B. 
Einspeisemanagement)]],Dropdown!$A$2:$D$4,4,FALSE)</f>
        <v>-</v>
      </c>
      <c r="I8" s="42" t="str">
        <f>VLOOKUP(Ueberblick42848[[#This Row],[sozialwissenschaftliche Studien]],Dropdown!$A$2:$D$4,4,FALSE)</f>
        <v>-</v>
      </c>
      <c r="J8" s="42" t="str">
        <f>VLOOKUP(Ueberblick42848[[#This Row],[Branchen- und Verbandsstatistiken]],Dropdown!$A$2:$D$4,4,FALSE)</f>
        <v>-</v>
      </c>
      <c r="K8" s="42" t="str">
        <f>VLOOKUP(Ueberblick42848[[#This Row],[reale Lastgangdaten]],Dropdown!$A$2:$D$4,4,FALSE)</f>
        <v>X</v>
      </c>
      <c r="L8" s="42" t="str">
        <f>VLOOKUP(Ueberblick42848[[#This Row],[eigene Datenbasis / Datenbank]],Dropdown!$A$2:$D$4,4,FALSE)</f>
        <v>X</v>
      </c>
      <c r="M8" s="42" t="str">
        <f>VLOOKUP(Ueberblick42848[[#This Row],[Energiesystemanalysen]],Dropdown!$A$2:$D$4,4,FALSE)</f>
        <v>X</v>
      </c>
      <c r="N8" s="42" t="str">
        <f>VLOOKUP(Ueberblick42848[[#This Row],[Herstellerangaben]],Dropdown!$A$2:$D$4,4,FALSE)</f>
        <v>-</v>
      </c>
      <c r="O8" s="42" t="str">
        <f>VLOOKUP(Ueberblick42848[[#This Row],[technische Publikationen 
zu Prozessen]],Dropdown!$A$2:$D$4,4,FALSE)</f>
        <v>-</v>
      </c>
      <c r="P8" s="42" t="str">
        <f>VLOOKUP(Ueberblick42848[[#This Row],[Datenportale: Verbrauchs-, 
Wetter-, Preisdaten]],Dropdown!$A$2:$D$4,4,FALSE)</f>
        <v>X</v>
      </c>
      <c r="Q8" s="42" t="str">
        <f>VLOOKUP(Ueberblick42848[[#This Row],[Literatur zu Elekrotmobilität]],Dropdown!$A$2:$D$4,4,FALSE)</f>
        <v>-</v>
      </c>
      <c r="R8" s="17" t="s">
        <v>1380</v>
      </c>
    </row>
    <row r="9" spans="1:18" ht="25.5" x14ac:dyDescent="0.25">
      <c r="A9" s="18" t="s">
        <v>431</v>
      </c>
      <c r="B9" s="42" t="str">
        <f>VLOOKUP(Ueberblick42848[[#This Row],[öffentliche Statistiken]],Dropdown!$A$2:$D$4,4,FALSE)</f>
        <v>X</v>
      </c>
      <c r="C9" s="42" t="str">
        <f>VLOOKUP(Ueberblick42848[[#This Row],[Energiverbrauchsstatistik]],Dropdown!$A$2:$D$4,4,FALSE)</f>
        <v>-</v>
      </c>
      <c r="D9" s="42" t="str">
        <f>VLOOKUP(Ueberblick42848[[#This Row],[Smart Metering- und 
Lastamanagementfeldstudien]],Dropdown!$A$2:$D$4,4,FALSE)</f>
        <v>-</v>
      </c>
      <c r="E9" s="42" t="str">
        <f>VLOOKUP(Ueberblick42848[[#This Row],[methodisch fokussierte Paper]],Dropdown!$A$2:$D$4,4,FALSE)</f>
        <v>-</v>
      </c>
      <c r="F9" s="42" t="str">
        <f>VLOOKUP(Ueberblick42848[[#This Row],[Lastmanagementpotenzialstudien]],Dropdown!$A$2:$D$4,4,FALSE)</f>
        <v>X</v>
      </c>
      <c r="G9" s="42" t="str">
        <f>VLOOKUP(Ueberblick42848[[#This Row],[Lastprofilgeneratoren]],Dropdown!$A$2:$D$4,4,FALSE)</f>
        <v>-</v>
      </c>
      <c r="H9" s="42" t="str">
        <f>VLOOKUP(Ueberblick42848[[#This Row],[VNB-Daten (z. B. 
Einspeisemanagement)]],Dropdown!$A$2:$D$4,4,FALSE)</f>
        <v>-</v>
      </c>
      <c r="I9" s="42" t="str">
        <f>VLOOKUP(Ueberblick42848[[#This Row],[sozialwissenschaftliche Studien]],Dropdown!$A$2:$D$4,4,FALSE)</f>
        <v>-</v>
      </c>
      <c r="J9" s="42" t="str">
        <f>VLOOKUP(Ueberblick42848[[#This Row],[Branchen- und Verbandsstatistiken]],Dropdown!$A$2:$D$4,4,FALSE)</f>
        <v>-</v>
      </c>
      <c r="K9" s="42" t="str">
        <f>VLOOKUP(Ueberblick42848[[#This Row],[reale Lastgangdaten]],Dropdown!$A$2:$D$4,4,FALSE)</f>
        <v>-</v>
      </c>
      <c r="L9" s="42" t="str">
        <f>VLOOKUP(Ueberblick42848[[#This Row],[eigene Datenbasis / Datenbank]],Dropdown!$A$2:$D$4,4,FALSE)</f>
        <v>-</v>
      </c>
      <c r="M9" s="42" t="str">
        <f>VLOOKUP(Ueberblick42848[[#This Row],[Energiesystemanalysen]],Dropdown!$A$2:$D$4,4,FALSE)</f>
        <v>-</v>
      </c>
      <c r="N9" s="42" t="str">
        <f>VLOOKUP(Ueberblick42848[[#This Row],[Herstellerangaben]],Dropdown!$A$2:$D$4,4,FALSE)</f>
        <v>-</v>
      </c>
      <c r="O9" s="42" t="str">
        <f>VLOOKUP(Ueberblick42848[[#This Row],[technische Publikationen 
zu Prozessen]],Dropdown!$A$2:$D$4,4,FALSE)</f>
        <v>-</v>
      </c>
      <c r="P9" s="42" t="str">
        <f>VLOOKUP(Ueberblick42848[[#This Row],[Datenportale: Verbrauchs-, 
Wetter-, Preisdaten]],Dropdown!$A$2:$D$4,4,FALSE)</f>
        <v>-</v>
      </c>
      <c r="Q9" s="42" t="str">
        <f>VLOOKUP(Ueberblick42848[[#This Row],[Literatur zu Elekrotmobilität]],Dropdown!$A$2:$D$4,4,FALSE)</f>
        <v>-</v>
      </c>
      <c r="R9" s="17" t="s">
        <v>1379</v>
      </c>
    </row>
    <row r="10" spans="1:18" x14ac:dyDescent="0.25">
      <c r="A10" s="6" t="s">
        <v>410</v>
      </c>
      <c r="B10" s="42" t="str">
        <f>VLOOKUP(Ueberblick42848[[#This Row],[öffentliche Statistiken]],Dropdown!$A$2:$D$4,4,FALSE)</f>
        <v>X</v>
      </c>
      <c r="C10" s="42" t="str">
        <f>VLOOKUP(Ueberblick42848[[#This Row],[Energiverbrauchsstatistik]],Dropdown!$A$2:$D$4,4,FALSE)</f>
        <v>X</v>
      </c>
      <c r="D10" s="42" t="str">
        <f>VLOOKUP(Ueberblick42848[[#This Row],[Smart Metering- und 
Lastamanagementfeldstudien]],Dropdown!$A$2:$D$4,4,FALSE)</f>
        <v>-</v>
      </c>
      <c r="E10" s="42" t="str">
        <f>VLOOKUP(Ueberblick42848[[#This Row],[methodisch fokussierte Paper]],Dropdown!$A$2:$D$4,4,FALSE)</f>
        <v>-</v>
      </c>
      <c r="F10" s="42" t="str">
        <f>VLOOKUP(Ueberblick42848[[#This Row],[Lastmanagementpotenzialstudien]],Dropdown!$A$2:$D$4,4,FALSE)</f>
        <v>X</v>
      </c>
      <c r="G10" s="42" t="str">
        <f>VLOOKUP(Ueberblick42848[[#This Row],[Lastprofilgeneratoren]],Dropdown!$A$2:$D$4,4,FALSE)</f>
        <v>-</v>
      </c>
      <c r="H10" s="42" t="str">
        <f>VLOOKUP(Ueberblick42848[[#This Row],[VNB-Daten (z. B. 
Einspeisemanagement)]],Dropdown!$A$2:$D$4,4,FALSE)</f>
        <v>X</v>
      </c>
      <c r="I10" s="42" t="str">
        <f>VLOOKUP(Ueberblick42848[[#This Row],[sozialwissenschaftliche Studien]],Dropdown!$A$2:$D$4,4,FALSE)</f>
        <v>-</v>
      </c>
      <c r="J10" s="42" t="str">
        <f>VLOOKUP(Ueberblick42848[[#This Row],[Branchen- und Verbandsstatistiken]],Dropdown!$A$2:$D$4,4,FALSE)</f>
        <v>X</v>
      </c>
      <c r="K10" s="42" t="str">
        <f>VLOOKUP(Ueberblick42848[[#This Row],[reale Lastgangdaten]],Dropdown!$A$2:$D$4,4,FALSE)</f>
        <v>X</v>
      </c>
      <c r="L10" s="42" t="str">
        <f>VLOOKUP(Ueberblick42848[[#This Row],[eigene Datenbasis / Datenbank]],Dropdown!$A$2:$D$4,4,FALSE)</f>
        <v>X</v>
      </c>
      <c r="M10" s="42" t="str">
        <f>VLOOKUP(Ueberblick42848[[#This Row],[Energiesystemanalysen]],Dropdown!$A$2:$D$4,4,FALSE)</f>
        <v>-</v>
      </c>
      <c r="N10" s="42" t="str">
        <f>VLOOKUP(Ueberblick42848[[#This Row],[Herstellerangaben]],Dropdown!$A$2:$D$4,4,FALSE)</f>
        <v>-</v>
      </c>
      <c r="O10" s="42" t="str">
        <f>VLOOKUP(Ueberblick42848[[#This Row],[technische Publikationen 
zu Prozessen]],Dropdown!$A$2:$D$4,4,FALSE)</f>
        <v>-</v>
      </c>
      <c r="P10" s="42" t="str">
        <f>VLOOKUP(Ueberblick42848[[#This Row],[Datenportale: Verbrauchs-, 
Wetter-, Preisdaten]],Dropdown!$A$2:$D$4,4,FALSE)</f>
        <v>-</v>
      </c>
      <c r="Q10" s="42" t="str">
        <f>VLOOKUP(Ueberblick42848[[#This Row],[Literatur zu Elekrotmobilität]],Dropdown!$A$2:$D$4,4,FALSE)</f>
        <v>-</v>
      </c>
      <c r="R10" s="8" t="s">
        <v>1381</v>
      </c>
    </row>
    <row r="11" spans="1:18" s="11" customFormat="1" x14ac:dyDescent="0.25">
      <c r="A11" s="6" t="s">
        <v>393</v>
      </c>
      <c r="B11" s="42" t="str">
        <f>VLOOKUP(Ueberblick42848[[#This Row],[öffentliche Statistiken]],Dropdown!$A$2:$D$4,4,FALSE)</f>
        <v>-</v>
      </c>
      <c r="C11" s="42" t="str">
        <f>VLOOKUP(Ueberblick42848[[#This Row],[Energiverbrauchsstatistik]],Dropdown!$A$2:$D$4,4,FALSE)</f>
        <v>-</v>
      </c>
      <c r="D11" s="42" t="str">
        <f>VLOOKUP(Ueberblick42848[[#This Row],[Smart Metering- und 
Lastamanagementfeldstudien]],Dropdown!$A$2:$D$4,4,FALSE)</f>
        <v>-</v>
      </c>
      <c r="E11" s="42" t="str">
        <f>VLOOKUP(Ueberblick42848[[#This Row],[methodisch fokussierte Paper]],Dropdown!$A$2:$D$4,4,FALSE)</f>
        <v>-</v>
      </c>
      <c r="F11" s="42" t="str">
        <f>VLOOKUP(Ueberblick42848[[#This Row],[Lastmanagementpotenzialstudien]],Dropdown!$A$2:$D$4,4,FALSE)</f>
        <v>X</v>
      </c>
      <c r="G11" s="42" t="str">
        <f>VLOOKUP(Ueberblick42848[[#This Row],[Lastprofilgeneratoren]],Dropdown!$A$2:$D$4,4,FALSE)</f>
        <v>-</v>
      </c>
      <c r="H11" s="42" t="str">
        <f>VLOOKUP(Ueberblick42848[[#This Row],[VNB-Daten (z. B. 
Einspeisemanagement)]],Dropdown!$A$2:$D$4,4,FALSE)</f>
        <v>-</v>
      </c>
      <c r="I11" s="42" t="str">
        <f>VLOOKUP(Ueberblick42848[[#This Row],[sozialwissenschaftliche Studien]],Dropdown!$A$2:$D$4,4,FALSE)</f>
        <v>-</v>
      </c>
      <c r="J11" s="42" t="str">
        <f>VLOOKUP(Ueberblick42848[[#This Row],[Branchen- und Verbandsstatistiken]],Dropdown!$A$2:$D$4,4,FALSE)</f>
        <v>-</v>
      </c>
      <c r="K11" s="42" t="str">
        <f>VLOOKUP(Ueberblick42848[[#This Row],[reale Lastgangdaten]],Dropdown!$A$2:$D$4,4,FALSE)</f>
        <v>-</v>
      </c>
      <c r="L11" s="42" t="str">
        <f>VLOOKUP(Ueberblick42848[[#This Row],[eigene Datenbasis / Datenbank]],Dropdown!$A$2:$D$4,4,FALSE)</f>
        <v>-</v>
      </c>
      <c r="M11" s="42" t="str">
        <f>VLOOKUP(Ueberblick42848[[#This Row],[Energiesystemanalysen]],Dropdown!$A$2:$D$4,4,FALSE)</f>
        <v>X</v>
      </c>
      <c r="N11" s="42" t="str">
        <f>VLOOKUP(Ueberblick42848[[#This Row],[Herstellerangaben]],Dropdown!$A$2:$D$4,4,FALSE)</f>
        <v>X</v>
      </c>
      <c r="O11" s="42" t="str">
        <f>VLOOKUP(Ueberblick42848[[#This Row],[technische Publikationen 
zu Prozessen]],Dropdown!$A$2:$D$4,4,FALSE)</f>
        <v>X</v>
      </c>
      <c r="P11" s="42" t="str">
        <f>VLOOKUP(Ueberblick42848[[#This Row],[Datenportale: Verbrauchs-, 
Wetter-, Preisdaten]],Dropdown!$A$2:$D$4,4,FALSE)</f>
        <v>X</v>
      </c>
      <c r="Q11" s="42" t="str">
        <f>VLOOKUP(Ueberblick42848[[#This Row],[Literatur zu Elekrotmobilität]],Dropdown!$A$2:$D$4,4,FALSE)</f>
        <v>-</v>
      </c>
      <c r="R11" s="8" t="s">
        <v>1388</v>
      </c>
    </row>
    <row r="12" spans="1:18" s="11" customFormat="1" ht="51" x14ac:dyDescent="0.25">
      <c r="A12" s="21" t="s">
        <v>380</v>
      </c>
      <c r="B12" s="42" t="str">
        <f>VLOOKUP(Ueberblick42848[[#This Row],[öffentliche Statistiken]],Dropdown!$A$2:$D$4,4,FALSE)</f>
        <v>-</v>
      </c>
      <c r="C12" s="42" t="str">
        <f>VLOOKUP(Ueberblick42848[[#This Row],[Energiverbrauchsstatistik]],Dropdown!$A$2:$D$4,4,FALSE)</f>
        <v>-</v>
      </c>
      <c r="D12" s="42" t="str">
        <f>VLOOKUP(Ueberblick42848[[#This Row],[Smart Metering- und 
Lastamanagementfeldstudien]],Dropdown!$A$2:$D$4,4,FALSE)</f>
        <v>-</v>
      </c>
      <c r="E12" s="42" t="str">
        <f>VLOOKUP(Ueberblick42848[[#This Row],[methodisch fokussierte Paper]],Dropdown!$A$2:$D$4,4,FALSE)</f>
        <v>-</v>
      </c>
      <c r="F12" s="42" t="str">
        <f>VLOOKUP(Ueberblick42848[[#This Row],[Lastmanagementpotenzialstudien]],Dropdown!$A$2:$D$4,4,FALSE)</f>
        <v>X</v>
      </c>
      <c r="G12" s="42" t="str">
        <f>VLOOKUP(Ueberblick42848[[#This Row],[Lastprofilgeneratoren]],Dropdown!$A$2:$D$4,4,FALSE)</f>
        <v>-</v>
      </c>
      <c r="H12" s="42" t="str">
        <f>VLOOKUP(Ueberblick42848[[#This Row],[VNB-Daten (z. B. 
Einspeisemanagement)]],Dropdown!$A$2:$D$4,4,FALSE)</f>
        <v>-</v>
      </c>
      <c r="I12" s="42" t="str">
        <f>VLOOKUP(Ueberblick42848[[#This Row],[sozialwissenschaftliche Studien]],Dropdown!$A$2:$D$4,4,FALSE)</f>
        <v>-</v>
      </c>
      <c r="J12" s="42" t="str">
        <f>VLOOKUP(Ueberblick42848[[#This Row],[Branchen- und Verbandsstatistiken]],Dropdown!$A$2:$D$4,4,FALSE)</f>
        <v>-</v>
      </c>
      <c r="K12" s="42" t="str">
        <f>VLOOKUP(Ueberblick42848[[#This Row],[reale Lastgangdaten]],Dropdown!$A$2:$D$4,4,FALSE)</f>
        <v>-</v>
      </c>
      <c r="L12" s="42" t="str">
        <f>VLOOKUP(Ueberblick42848[[#This Row],[eigene Datenbasis / Datenbank]],Dropdown!$A$2:$D$4,4,FALSE)</f>
        <v>X</v>
      </c>
      <c r="M12" s="42" t="str">
        <f>VLOOKUP(Ueberblick42848[[#This Row],[Energiesystemanalysen]],Dropdown!$A$2:$D$4,4,FALSE)</f>
        <v>-</v>
      </c>
      <c r="N12" s="42" t="str">
        <f>VLOOKUP(Ueberblick42848[[#This Row],[Herstellerangaben]],Dropdown!$A$2:$D$4,4,FALSE)</f>
        <v>-</v>
      </c>
      <c r="O12" s="42" t="str">
        <f>VLOOKUP(Ueberblick42848[[#This Row],[technische Publikationen 
zu Prozessen]],Dropdown!$A$2:$D$4,4,FALSE)</f>
        <v>-</v>
      </c>
      <c r="P12" s="42" t="str">
        <f>VLOOKUP(Ueberblick42848[[#This Row],[Datenportale: Verbrauchs-, 
Wetter-, Preisdaten]],Dropdown!$A$2:$D$4,4,FALSE)</f>
        <v>-</v>
      </c>
      <c r="Q12" s="42" t="str">
        <f>VLOOKUP(Ueberblick42848[[#This Row],[Literatur zu Elekrotmobilität]],Dropdown!$A$2:$D$4,4,FALSE)</f>
        <v>-</v>
      </c>
      <c r="R12" s="22" t="s">
        <v>391</v>
      </c>
    </row>
    <row r="13" spans="1:18" ht="25.5" x14ac:dyDescent="0.25">
      <c r="A13" s="6" t="s">
        <v>95</v>
      </c>
      <c r="B13" s="42" t="str">
        <f>VLOOKUP(Ueberblick42848[[#This Row],[öffentliche Statistiken]],Dropdown!$A$2:$D$4,4,FALSE)</f>
        <v>X</v>
      </c>
      <c r="C13" s="42" t="str">
        <f>VLOOKUP(Ueberblick42848[[#This Row],[Energiverbrauchsstatistik]],Dropdown!$A$2:$D$4,4,FALSE)</f>
        <v>X</v>
      </c>
      <c r="D13" s="42" t="str">
        <f>VLOOKUP(Ueberblick42848[[#This Row],[Smart Metering- und 
Lastamanagementfeldstudien]],Dropdown!$A$2:$D$4,4,FALSE)</f>
        <v>X</v>
      </c>
      <c r="E13" s="42" t="str">
        <f>VLOOKUP(Ueberblick42848[[#This Row],[methodisch fokussierte Paper]],Dropdown!$A$2:$D$4,4,FALSE)</f>
        <v>X</v>
      </c>
      <c r="F13" s="42" t="str">
        <f>VLOOKUP(Ueberblick42848[[#This Row],[Lastmanagementpotenzialstudien]],Dropdown!$A$2:$D$4,4,FALSE)</f>
        <v>X</v>
      </c>
      <c r="G13" s="42" t="str">
        <f>VLOOKUP(Ueberblick42848[[#This Row],[Lastprofilgeneratoren]],Dropdown!$A$2:$D$4,4,FALSE)</f>
        <v>-</v>
      </c>
      <c r="H13" s="42" t="str">
        <f>VLOOKUP(Ueberblick42848[[#This Row],[VNB-Daten (z. B. 
Einspeisemanagement)]],Dropdown!$A$2:$D$4,4,FALSE)</f>
        <v>-</v>
      </c>
      <c r="I13" s="42" t="str">
        <f>VLOOKUP(Ueberblick42848[[#This Row],[sozialwissenschaftliche Studien]],Dropdown!$A$2:$D$4,4,FALSE)</f>
        <v>-</v>
      </c>
      <c r="J13" s="42" t="str">
        <f>VLOOKUP(Ueberblick42848[[#This Row],[Branchen- und Verbandsstatistiken]],Dropdown!$A$2:$D$4,4,FALSE)</f>
        <v>X</v>
      </c>
      <c r="K13" s="42" t="str">
        <f>VLOOKUP(Ueberblick42848[[#This Row],[reale Lastgangdaten]],Dropdown!$A$2:$D$4,4,FALSE)</f>
        <v>-</v>
      </c>
      <c r="L13" s="42" t="str">
        <f>VLOOKUP(Ueberblick42848[[#This Row],[eigene Datenbasis / Datenbank]],Dropdown!$A$2:$D$4,4,FALSE)</f>
        <v>-</v>
      </c>
      <c r="M13" s="42" t="str">
        <f>VLOOKUP(Ueberblick42848[[#This Row],[Energiesystemanalysen]],Dropdown!$A$2:$D$4,4,FALSE)</f>
        <v>X</v>
      </c>
      <c r="N13" s="42" t="str">
        <f>VLOOKUP(Ueberblick42848[[#This Row],[Herstellerangaben]],Dropdown!$A$2:$D$4,4,FALSE)</f>
        <v>-</v>
      </c>
      <c r="O13" s="42" t="str">
        <f>VLOOKUP(Ueberblick42848[[#This Row],[technische Publikationen 
zu Prozessen]],Dropdown!$A$2:$D$4,4,FALSE)</f>
        <v>X</v>
      </c>
      <c r="P13" s="42" t="str">
        <f>VLOOKUP(Ueberblick42848[[#This Row],[Datenportale: Verbrauchs-, 
Wetter-, Preisdaten]],Dropdown!$A$2:$D$4,4,FALSE)</f>
        <v>X</v>
      </c>
      <c r="Q13" s="42" t="str">
        <f>VLOOKUP(Ueberblick42848[[#This Row],[Literatur zu Elekrotmobilität]],Dropdown!$A$2:$D$4,4,FALSE)</f>
        <v>-</v>
      </c>
      <c r="R13" s="8" t="s">
        <v>121</v>
      </c>
    </row>
    <row r="14" spans="1:18" s="11" customFormat="1" ht="63.75" x14ac:dyDescent="0.25">
      <c r="A14" s="6" t="s">
        <v>1709</v>
      </c>
      <c r="B14" s="42" t="str">
        <f>VLOOKUP(Ueberblick42848[[#This Row],[öffentliche Statistiken]],Dropdown!$A$2:$D$4,4,FALSE)</f>
        <v>X</v>
      </c>
      <c r="C14" s="42" t="str">
        <f>VLOOKUP(Ueberblick42848[[#This Row],[Energiverbrauchsstatistik]],Dropdown!$A$2:$D$4,4,FALSE)</f>
        <v>X</v>
      </c>
      <c r="D14" s="42" t="str">
        <f>VLOOKUP(Ueberblick42848[[#This Row],[Smart Metering- und 
Lastamanagementfeldstudien]],Dropdown!$A$2:$D$4,4,FALSE)</f>
        <v>X</v>
      </c>
      <c r="E14" s="42" t="str">
        <f>VLOOKUP(Ueberblick42848[[#This Row],[methodisch fokussierte Paper]],Dropdown!$A$2:$D$4,4,FALSE)</f>
        <v>-</v>
      </c>
      <c r="F14" s="42" t="str">
        <f>VLOOKUP(Ueberblick42848[[#This Row],[Lastmanagementpotenzialstudien]],Dropdown!$A$2:$D$4,4,FALSE)</f>
        <v>X</v>
      </c>
      <c r="G14" s="42" t="str">
        <f>VLOOKUP(Ueberblick42848[[#This Row],[Lastprofilgeneratoren]],Dropdown!$A$2:$D$4,4,FALSE)</f>
        <v>-</v>
      </c>
      <c r="H14" s="42" t="str">
        <f>VLOOKUP(Ueberblick42848[[#This Row],[VNB-Daten (z. B. 
Einspeisemanagement)]],Dropdown!$A$2:$D$4,4,FALSE)</f>
        <v>X</v>
      </c>
      <c r="I14" s="42" t="str">
        <f>VLOOKUP(Ueberblick42848[[#This Row],[sozialwissenschaftliche Studien]],Dropdown!$A$2:$D$4,4,FALSE)</f>
        <v>-</v>
      </c>
      <c r="J14" s="42" t="str">
        <f>VLOOKUP(Ueberblick42848[[#This Row],[Branchen- und Verbandsstatistiken]],Dropdown!$A$2:$D$4,4,FALSE)</f>
        <v>-</v>
      </c>
      <c r="K14" s="42" t="str">
        <f>VLOOKUP(Ueberblick42848[[#This Row],[reale Lastgangdaten]],Dropdown!$A$2:$D$4,4,FALSE)</f>
        <v>X</v>
      </c>
      <c r="L14" s="42" t="str">
        <f>VLOOKUP(Ueberblick42848[[#This Row],[eigene Datenbasis / Datenbank]],Dropdown!$A$2:$D$4,4,FALSE)</f>
        <v>X</v>
      </c>
      <c r="M14" s="42" t="str">
        <f>VLOOKUP(Ueberblick42848[[#This Row],[Energiesystemanalysen]],Dropdown!$A$2:$D$4,4,FALSE)</f>
        <v>X</v>
      </c>
      <c r="N14" s="42" t="str">
        <f>VLOOKUP(Ueberblick42848[[#This Row],[Herstellerangaben]],Dropdown!$A$2:$D$4,4,FALSE)</f>
        <v>-</v>
      </c>
      <c r="O14" s="42" t="str">
        <f>VLOOKUP(Ueberblick42848[[#This Row],[technische Publikationen 
zu Prozessen]],Dropdown!$A$2:$D$4,4,FALSE)</f>
        <v>X</v>
      </c>
      <c r="P14" s="42" t="str">
        <f>VLOOKUP(Ueberblick42848[[#This Row],[Datenportale: Verbrauchs-, 
Wetter-, Preisdaten]],Dropdown!$A$2:$D$4,4,FALSE)</f>
        <v>-</v>
      </c>
      <c r="Q14" s="42" t="str">
        <f>VLOOKUP(Ueberblick42848[[#This Row],[Literatur zu Elekrotmobilität]],Dropdown!$A$2:$D$4,4,FALSE)</f>
        <v>-</v>
      </c>
      <c r="R14" s="8">
        <v>22</v>
      </c>
    </row>
    <row r="15" spans="1:18" ht="25.5" x14ac:dyDescent="0.25">
      <c r="A15" s="6" t="s">
        <v>179</v>
      </c>
      <c r="B15" s="42" t="str">
        <f>VLOOKUP(Ueberblick42848[[#This Row],[öffentliche Statistiken]],Dropdown!$A$2:$D$4,4,FALSE)</f>
        <v>-</v>
      </c>
      <c r="C15" s="42" t="str">
        <f>VLOOKUP(Ueberblick42848[[#This Row],[Energiverbrauchsstatistik]],Dropdown!$A$2:$D$4,4,FALSE)</f>
        <v>-</v>
      </c>
      <c r="D15" s="42" t="str">
        <f>VLOOKUP(Ueberblick42848[[#This Row],[Smart Metering- und 
Lastamanagementfeldstudien]],Dropdown!$A$2:$D$4,4,FALSE)</f>
        <v>X</v>
      </c>
      <c r="E15" s="42" t="str">
        <f>VLOOKUP(Ueberblick42848[[#This Row],[methodisch fokussierte Paper]],Dropdown!$A$2:$D$4,4,FALSE)</f>
        <v>-</v>
      </c>
      <c r="F15" s="42" t="str">
        <f>VLOOKUP(Ueberblick42848[[#This Row],[Lastmanagementpotenzialstudien]],Dropdown!$A$2:$D$4,4,FALSE)</f>
        <v>X</v>
      </c>
      <c r="G15" s="42" t="str">
        <f>VLOOKUP(Ueberblick42848[[#This Row],[Lastprofilgeneratoren]],Dropdown!$A$2:$D$4,4,FALSE)</f>
        <v>-</v>
      </c>
      <c r="H15" s="42" t="str">
        <f>VLOOKUP(Ueberblick42848[[#This Row],[VNB-Daten (z. B. 
Einspeisemanagement)]],Dropdown!$A$2:$D$4,4,FALSE)</f>
        <v>-</v>
      </c>
      <c r="I15" s="42" t="str">
        <f>VLOOKUP(Ueberblick42848[[#This Row],[sozialwissenschaftliche Studien]],Dropdown!$A$2:$D$4,4,FALSE)</f>
        <v>-</v>
      </c>
      <c r="J15" s="42" t="str">
        <f>VLOOKUP(Ueberblick42848[[#This Row],[Branchen- und Verbandsstatistiken]],Dropdown!$A$2:$D$4,4,FALSE)</f>
        <v>-</v>
      </c>
      <c r="K15" s="42" t="str">
        <f>VLOOKUP(Ueberblick42848[[#This Row],[reale Lastgangdaten]],Dropdown!$A$2:$D$4,4,FALSE)</f>
        <v>-</v>
      </c>
      <c r="L15" s="42" t="str">
        <f>VLOOKUP(Ueberblick42848[[#This Row],[eigene Datenbasis / Datenbank]],Dropdown!$A$2:$D$4,4,FALSE)</f>
        <v>-</v>
      </c>
      <c r="M15" s="42" t="str">
        <f>VLOOKUP(Ueberblick42848[[#This Row],[Energiesystemanalysen]],Dropdown!$A$2:$D$4,4,FALSE)</f>
        <v>-</v>
      </c>
      <c r="N15" s="42" t="str">
        <f>VLOOKUP(Ueberblick42848[[#This Row],[Herstellerangaben]],Dropdown!$A$2:$D$4,4,FALSE)</f>
        <v>-</v>
      </c>
      <c r="O15" s="42" t="str">
        <f>VLOOKUP(Ueberblick42848[[#This Row],[technische Publikationen 
zu Prozessen]],Dropdown!$A$2:$D$4,4,FALSE)</f>
        <v>-</v>
      </c>
      <c r="P15" s="42" t="str">
        <f>VLOOKUP(Ueberblick42848[[#This Row],[Datenportale: Verbrauchs-, 
Wetter-, Preisdaten]],Dropdown!$A$2:$D$4,4,FALSE)</f>
        <v>-</v>
      </c>
      <c r="Q15" s="42" t="str">
        <f>VLOOKUP(Ueberblick42848[[#This Row],[Literatur zu Elekrotmobilität]],Dropdown!$A$2:$D$4,4,FALSE)</f>
        <v>-</v>
      </c>
      <c r="R15" s="8" t="s">
        <v>322</v>
      </c>
    </row>
    <row r="16" spans="1:18" s="11" customFormat="1" ht="25.5" x14ac:dyDescent="0.25">
      <c r="A16" s="6" t="s">
        <v>341</v>
      </c>
      <c r="B16" s="42" t="str">
        <f>VLOOKUP(Ueberblick42848[[#This Row],[öffentliche Statistiken]],Dropdown!$A$2:$D$4,4,FALSE)</f>
        <v>X</v>
      </c>
      <c r="C16" s="42" t="str">
        <f>VLOOKUP(Ueberblick42848[[#This Row],[Energiverbrauchsstatistik]],Dropdown!$A$2:$D$4,4,FALSE)</f>
        <v>X</v>
      </c>
      <c r="D16" s="42" t="str">
        <f>VLOOKUP(Ueberblick42848[[#This Row],[Smart Metering- und 
Lastamanagementfeldstudien]],Dropdown!$A$2:$D$4,4,FALSE)</f>
        <v>-</v>
      </c>
      <c r="E16" s="42" t="str">
        <f>VLOOKUP(Ueberblick42848[[#This Row],[methodisch fokussierte Paper]],Dropdown!$A$2:$D$4,4,FALSE)</f>
        <v>-</v>
      </c>
      <c r="F16" s="42" t="str">
        <f>VLOOKUP(Ueberblick42848[[#This Row],[Lastmanagementpotenzialstudien]],Dropdown!$A$2:$D$4,4,FALSE)</f>
        <v>X</v>
      </c>
      <c r="G16" s="42" t="str">
        <f>VLOOKUP(Ueberblick42848[[#This Row],[Lastprofilgeneratoren]],Dropdown!$A$2:$D$4,4,FALSE)</f>
        <v>-</v>
      </c>
      <c r="H16" s="42" t="str">
        <f>VLOOKUP(Ueberblick42848[[#This Row],[VNB-Daten (z. B. 
Einspeisemanagement)]],Dropdown!$A$2:$D$4,4,FALSE)</f>
        <v>X</v>
      </c>
      <c r="I16" s="42" t="str">
        <f>VLOOKUP(Ueberblick42848[[#This Row],[sozialwissenschaftliche Studien]],Dropdown!$A$2:$D$4,4,FALSE)</f>
        <v>-</v>
      </c>
      <c r="J16" s="42" t="str">
        <f>VLOOKUP(Ueberblick42848[[#This Row],[Branchen- und Verbandsstatistiken]],Dropdown!$A$2:$D$4,4,FALSE)</f>
        <v>X</v>
      </c>
      <c r="K16" s="42" t="str">
        <f>VLOOKUP(Ueberblick42848[[#This Row],[reale Lastgangdaten]],Dropdown!$A$2:$D$4,4,FALSE)</f>
        <v>-</v>
      </c>
      <c r="L16" s="42" t="str">
        <f>VLOOKUP(Ueberblick42848[[#This Row],[eigene Datenbasis / Datenbank]],Dropdown!$A$2:$D$4,4,FALSE)</f>
        <v>-</v>
      </c>
      <c r="M16" s="42" t="str">
        <f>VLOOKUP(Ueberblick42848[[#This Row],[Energiesystemanalysen]],Dropdown!$A$2:$D$4,4,FALSE)</f>
        <v>-</v>
      </c>
      <c r="N16" s="42" t="str">
        <f>VLOOKUP(Ueberblick42848[[#This Row],[Herstellerangaben]],Dropdown!$A$2:$D$4,4,FALSE)</f>
        <v>X</v>
      </c>
      <c r="O16" s="42" t="str">
        <f>VLOOKUP(Ueberblick42848[[#This Row],[technische Publikationen 
zu Prozessen]],Dropdown!$A$2:$D$4,4,FALSE)</f>
        <v>X</v>
      </c>
      <c r="P16" s="42" t="str">
        <f>VLOOKUP(Ueberblick42848[[#This Row],[Datenportale: Verbrauchs-, 
Wetter-, Preisdaten]],Dropdown!$A$2:$D$4,4,FALSE)</f>
        <v>X</v>
      </c>
      <c r="Q16" s="42" t="str">
        <f>VLOOKUP(Ueberblick42848[[#This Row],[Literatur zu Elekrotmobilität]],Dropdown!$A$2:$D$4,4,FALSE)</f>
        <v>X</v>
      </c>
      <c r="R16" s="8" t="s">
        <v>446</v>
      </c>
    </row>
    <row r="17" spans="1:18" ht="25.5" x14ac:dyDescent="0.25">
      <c r="A17" s="6" t="s">
        <v>22</v>
      </c>
      <c r="B17" s="42" t="str">
        <f>VLOOKUP(Ueberblick42848[[#This Row],[öffentliche Statistiken]],Dropdown!$A$2:$D$4,4,FALSE)</f>
        <v>X</v>
      </c>
      <c r="C17" s="42" t="str">
        <f>VLOOKUP(Ueberblick42848[[#This Row],[Energiverbrauchsstatistik]],Dropdown!$A$2:$D$4,4,FALSE)</f>
        <v>-</v>
      </c>
      <c r="D17" s="42" t="str">
        <f>VLOOKUP(Ueberblick42848[[#This Row],[Smart Metering- und 
Lastamanagementfeldstudien]],Dropdown!$A$2:$D$4,4,FALSE)</f>
        <v>-</v>
      </c>
      <c r="E17" s="42" t="str">
        <f>VLOOKUP(Ueberblick42848[[#This Row],[methodisch fokussierte Paper]],Dropdown!$A$2:$D$4,4,FALSE)</f>
        <v>-</v>
      </c>
      <c r="F17" s="42" t="str">
        <f>VLOOKUP(Ueberblick42848[[#This Row],[Lastmanagementpotenzialstudien]],Dropdown!$A$2:$D$4,4,FALSE)</f>
        <v>X</v>
      </c>
      <c r="G17" s="42" t="str">
        <f>VLOOKUP(Ueberblick42848[[#This Row],[Lastprofilgeneratoren]],Dropdown!$A$2:$D$4,4,FALSE)</f>
        <v>-</v>
      </c>
      <c r="H17" s="42" t="str">
        <f>VLOOKUP(Ueberblick42848[[#This Row],[VNB-Daten (z. B. 
Einspeisemanagement)]],Dropdown!$A$2:$D$4,4,FALSE)</f>
        <v>-</v>
      </c>
      <c r="I17" s="42" t="str">
        <f>VLOOKUP(Ueberblick42848[[#This Row],[sozialwissenschaftliche Studien]],Dropdown!$A$2:$D$4,4,FALSE)</f>
        <v>-</v>
      </c>
      <c r="J17" s="42" t="str">
        <f>VLOOKUP(Ueberblick42848[[#This Row],[Branchen- und Verbandsstatistiken]],Dropdown!$A$2:$D$4,4,FALSE)</f>
        <v>X</v>
      </c>
      <c r="K17" s="42" t="str">
        <f>VLOOKUP(Ueberblick42848[[#This Row],[reale Lastgangdaten]],Dropdown!$A$2:$D$4,4,FALSE)</f>
        <v>-</v>
      </c>
      <c r="L17" s="42" t="str">
        <f>VLOOKUP(Ueberblick42848[[#This Row],[eigene Datenbasis / Datenbank]],Dropdown!$A$2:$D$4,4,FALSE)</f>
        <v>-</v>
      </c>
      <c r="M17" s="42" t="str">
        <f>VLOOKUP(Ueberblick42848[[#This Row],[Energiesystemanalysen]],Dropdown!$A$2:$D$4,4,FALSE)</f>
        <v>-</v>
      </c>
      <c r="N17" s="42" t="str">
        <f>VLOOKUP(Ueberblick42848[[#This Row],[Herstellerangaben]],Dropdown!$A$2:$D$4,4,FALSE)</f>
        <v>-</v>
      </c>
      <c r="O17" s="42" t="str">
        <f>VLOOKUP(Ueberblick42848[[#This Row],[technische Publikationen 
zu Prozessen]],Dropdown!$A$2:$D$4,4,FALSE)</f>
        <v>X</v>
      </c>
      <c r="P17" s="42" t="str">
        <f>VLOOKUP(Ueberblick42848[[#This Row],[Datenportale: Verbrauchs-, 
Wetter-, Preisdaten]],Dropdown!$A$2:$D$4,4,FALSE)</f>
        <v>X</v>
      </c>
      <c r="Q17" s="42" t="str">
        <f>VLOOKUP(Ueberblick42848[[#This Row],[Literatur zu Elekrotmobilität]],Dropdown!$A$2:$D$4,4,FALSE)</f>
        <v>-</v>
      </c>
      <c r="R17" s="8">
        <v>87</v>
      </c>
    </row>
    <row r="18" spans="1:18" s="11" customFormat="1" ht="25.5" x14ac:dyDescent="0.25">
      <c r="A18" s="6" t="s">
        <v>188</v>
      </c>
      <c r="B18" s="42" t="str">
        <f>VLOOKUP(Ueberblick42848[[#This Row],[öffentliche Statistiken]],Dropdown!$A$2:$D$4,4,FALSE)</f>
        <v>X</v>
      </c>
      <c r="C18" s="42" t="str">
        <f>VLOOKUP(Ueberblick42848[[#This Row],[Energiverbrauchsstatistik]],Dropdown!$A$2:$D$4,4,FALSE)</f>
        <v>-</v>
      </c>
      <c r="D18" s="42" t="str">
        <f>VLOOKUP(Ueberblick42848[[#This Row],[Smart Metering- und 
Lastamanagementfeldstudien]],Dropdown!$A$2:$D$4,4,FALSE)</f>
        <v>X</v>
      </c>
      <c r="E18" s="42" t="str">
        <f>VLOOKUP(Ueberblick42848[[#This Row],[methodisch fokussierte Paper]],Dropdown!$A$2:$D$4,4,FALSE)</f>
        <v>-</v>
      </c>
      <c r="F18" s="42" t="str">
        <f>VLOOKUP(Ueberblick42848[[#This Row],[Lastmanagementpotenzialstudien]],Dropdown!$A$2:$D$4,4,FALSE)</f>
        <v>X</v>
      </c>
      <c r="G18" s="42" t="str">
        <f>VLOOKUP(Ueberblick42848[[#This Row],[Lastprofilgeneratoren]],Dropdown!$A$2:$D$4,4,FALSE)</f>
        <v>-</v>
      </c>
      <c r="H18" s="42" t="str">
        <f>VLOOKUP(Ueberblick42848[[#This Row],[VNB-Daten (z. B. 
Einspeisemanagement)]],Dropdown!$A$2:$D$4,4,FALSE)</f>
        <v>-</v>
      </c>
      <c r="I18" s="42" t="str">
        <f>VLOOKUP(Ueberblick42848[[#This Row],[sozialwissenschaftliche Studien]],Dropdown!$A$2:$D$4,4,FALSE)</f>
        <v>X</v>
      </c>
      <c r="J18" s="42" t="str">
        <f>VLOOKUP(Ueberblick42848[[#This Row],[Branchen- und Verbandsstatistiken]],Dropdown!$A$2:$D$4,4,FALSE)</f>
        <v>X</v>
      </c>
      <c r="K18" s="42" t="str">
        <f>VLOOKUP(Ueberblick42848[[#This Row],[reale Lastgangdaten]],Dropdown!$A$2:$D$4,4,FALSE)</f>
        <v>-</v>
      </c>
      <c r="L18" s="42" t="str">
        <f>VLOOKUP(Ueberblick42848[[#This Row],[eigene Datenbasis / Datenbank]],Dropdown!$A$2:$D$4,4,FALSE)</f>
        <v>-</v>
      </c>
      <c r="M18" s="42" t="str">
        <f>VLOOKUP(Ueberblick42848[[#This Row],[Energiesystemanalysen]],Dropdown!$A$2:$D$4,4,FALSE)</f>
        <v>-</v>
      </c>
      <c r="N18" s="42" t="str">
        <f>VLOOKUP(Ueberblick42848[[#This Row],[Herstellerangaben]],Dropdown!$A$2:$D$4,4,FALSE)</f>
        <v>-</v>
      </c>
      <c r="O18" s="42" t="str">
        <f>VLOOKUP(Ueberblick42848[[#This Row],[technische Publikationen 
zu Prozessen]],Dropdown!$A$2:$D$4,4,FALSE)</f>
        <v>-</v>
      </c>
      <c r="P18" s="42" t="str">
        <f>VLOOKUP(Ueberblick42848[[#This Row],[Datenportale: Verbrauchs-, 
Wetter-, Preisdaten]],Dropdown!$A$2:$D$4,4,FALSE)</f>
        <v>-</v>
      </c>
      <c r="Q18" s="42" t="str">
        <f>VLOOKUP(Ueberblick42848[[#This Row],[Literatur zu Elekrotmobilität]],Dropdown!$A$2:$D$4,4,FALSE)</f>
        <v>X</v>
      </c>
      <c r="R18" s="8" t="s">
        <v>333</v>
      </c>
    </row>
    <row r="19" spans="1:18" ht="38.25" x14ac:dyDescent="0.25">
      <c r="A19" s="6" t="s">
        <v>133</v>
      </c>
      <c r="B19" s="42" t="str">
        <f>VLOOKUP(Ueberblick42848[[#This Row],[öffentliche Statistiken]],Dropdown!$A$2:$D$4,4,FALSE)</f>
        <v>-</v>
      </c>
      <c r="C19" s="42" t="str">
        <f>VLOOKUP(Ueberblick42848[[#This Row],[Energiverbrauchsstatistik]],Dropdown!$A$2:$D$4,4,FALSE)</f>
        <v>X</v>
      </c>
      <c r="D19" s="42" t="str">
        <f>VLOOKUP(Ueberblick42848[[#This Row],[Smart Metering- und 
Lastamanagementfeldstudien]],Dropdown!$A$2:$D$4,4,FALSE)</f>
        <v>X</v>
      </c>
      <c r="E19" s="42" t="str">
        <f>VLOOKUP(Ueberblick42848[[#This Row],[methodisch fokussierte Paper]],Dropdown!$A$2:$D$4,4,FALSE)</f>
        <v>X</v>
      </c>
      <c r="F19" s="42" t="str">
        <f>VLOOKUP(Ueberblick42848[[#This Row],[Lastmanagementpotenzialstudien]],Dropdown!$A$2:$D$4,4,FALSE)</f>
        <v>X</v>
      </c>
      <c r="G19" s="42" t="str">
        <f>VLOOKUP(Ueberblick42848[[#This Row],[Lastprofilgeneratoren]],Dropdown!$A$2:$D$4,4,FALSE)</f>
        <v>-</v>
      </c>
      <c r="H19" s="42" t="str">
        <f>VLOOKUP(Ueberblick42848[[#This Row],[VNB-Daten (z. B. 
Einspeisemanagement)]],Dropdown!$A$2:$D$4,4,FALSE)</f>
        <v>-</v>
      </c>
      <c r="I19" s="42" t="str">
        <f>VLOOKUP(Ueberblick42848[[#This Row],[sozialwissenschaftliche Studien]],Dropdown!$A$2:$D$4,4,FALSE)</f>
        <v>-</v>
      </c>
      <c r="J19" s="42" t="str">
        <f>VLOOKUP(Ueberblick42848[[#This Row],[Branchen- und Verbandsstatistiken]],Dropdown!$A$2:$D$4,4,FALSE)</f>
        <v>X</v>
      </c>
      <c r="K19" s="42" t="str">
        <f>VLOOKUP(Ueberblick42848[[#This Row],[reale Lastgangdaten]],Dropdown!$A$2:$D$4,4,FALSE)</f>
        <v>-</v>
      </c>
      <c r="L19" s="42" t="str">
        <f>VLOOKUP(Ueberblick42848[[#This Row],[eigene Datenbasis / Datenbank]],Dropdown!$A$2:$D$4,4,FALSE)</f>
        <v>-</v>
      </c>
      <c r="M19" s="42" t="str">
        <f>VLOOKUP(Ueberblick42848[[#This Row],[Energiesystemanalysen]],Dropdown!$A$2:$D$4,4,FALSE)</f>
        <v>-</v>
      </c>
      <c r="N19" s="42" t="str">
        <f>VLOOKUP(Ueberblick42848[[#This Row],[Herstellerangaben]],Dropdown!$A$2:$D$4,4,FALSE)</f>
        <v>-</v>
      </c>
      <c r="O19" s="42" t="str">
        <f>VLOOKUP(Ueberblick42848[[#This Row],[technische Publikationen 
zu Prozessen]],Dropdown!$A$2:$D$4,4,FALSE)</f>
        <v>-</v>
      </c>
      <c r="P19" s="42" t="str">
        <f>VLOOKUP(Ueberblick42848[[#This Row],[Datenportale: Verbrauchs-, 
Wetter-, Preisdaten]],Dropdown!$A$2:$D$4,4,FALSE)</f>
        <v>X</v>
      </c>
      <c r="Q19" s="42" t="str">
        <f>VLOOKUP(Ueberblick42848[[#This Row],[Literatur zu Elekrotmobilität]],Dropdown!$A$2:$D$4,4,FALSE)</f>
        <v>-</v>
      </c>
      <c r="R19" s="8" t="s">
        <v>164</v>
      </c>
    </row>
    <row r="20" spans="1:18" s="11" customFormat="1" ht="25.5" x14ac:dyDescent="0.25">
      <c r="A20" s="6" t="s">
        <v>10</v>
      </c>
      <c r="B20" s="42" t="str">
        <f>VLOOKUP(Ueberblick42848[[#This Row],[öffentliche Statistiken]],Dropdown!$A$2:$D$4,4,FALSE)</f>
        <v>-</v>
      </c>
      <c r="C20" s="42" t="str">
        <f>VLOOKUP(Ueberblick42848[[#This Row],[Energiverbrauchsstatistik]],Dropdown!$A$2:$D$4,4,FALSE)</f>
        <v>-</v>
      </c>
      <c r="D20" s="42" t="str">
        <f>VLOOKUP(Ueberblick42848[[#This Row],[Smart Metering- und 
Lastamanagementfeldstudien]],Dropdown!$A$2:$D$4,4,FALSE)</f>
        <v>-</v>
      </c>
      <c r="E20" s="42" t="str">
        <f>VLOOKUP(Ueberblick42848[[#This Row],[methodisch fokussierte Paper]],Dropdown!$A$2:$D$4,4,FALSE)</f>
        <v>X</v>
      </c>
      <c r="F20" s="42" t="str">
        <f>VLOOKUP(Ueberblick42848[[#This Row],[Lastmanagementpotenzialstudien]],Dropdown!$A$2:$D$4,4,FALSE)</f>
        <v>X</v>
      </c>
      <c r="G20" s="42" t="str">
        <f>VLOOKUP(Ueberblick42848[[#This Row],[Lastprofilgeneratoren]],Dropdown!$A$2:$D$4,4,FALSE)</f>
        <v>-</v>
      </c>
      <c r="H20" s="42" t="str">
        <f>VLOOKUP(Ueberblick42848[[#This Row],[VNB-Daten (z. B. 
Einspeisemanagement)]],Dropdown!$A$2:$D$4,4,FALSE)</f>
        <v>-</v>
      </c>
      <c r="I20" s="42" t="str">
        <f>VLOOKUP(Ueberblick42848[[#This Row],[sozialwissenschaftliche Studien]],Dropdown!$A$2:$D$4,4,FALSE)</f>
        <v>-</v>
      </c>
      <c r="J20" s="42" t="str">
        <f>VLOOKUP(Ueberblick42848[[#This Row],[Branchen- und Verbandsstatistiken]],Dropdown!$A$2:$D$4,4,FALSE)</f>
        <v>-</v>
      </c>
      <c r="K20" s="42" t="str">
        <f>VLOOKUP(Ueberblick42848[[#This Row],[reale Lastgangdaten]],Dropdown!$A$2:$D$4,4,FALSE)</f>
        <v>-</v>
      </c>
      <c r="L20" s="42" t="str">
        <f>VLOOKUP(Ueberblick42848[[#This Row],[eigene Datenbasis / Datenbank]],Dropdown!$A$2:$D$4,4,FALSE)</f>
        <v>-</v>
      </c>
      <c r="M20" s="42" t="str">
        <f>VLOOKUP(Ueberblick42848[[#This Row],[Energiesystemanalysen]],Dropdown!$A$2:$D$4,4,FALSE)</f>
        <v>-</v>
      </c>
      <c r="N20" s="42" t="str">
        <f>VLOOKUP(Ueberblick42848[[#This Row],[Herstellerangaben]],Dropdown!$A$2:$D$4,4,FALSE)</f>
        <v>-</v>
      </c>
      <c r="O20" s="42" t="str">
        <f>VLOOKUP(Ueberblick42848[[#This Row],[technische Publikationen 
zu Prozessen]],Dropdown!$A$2:$D$4,4,FALSE)</f>
        <v>X</v>
      </c>
      <c r="P20" s="42" t="str">
        <f>VLOOKUP(Ueberblick42848[[#This Row],[Datenportale: Verbrauchs-, 
Wetter-, Preisdaten]],Dropdown!$A$2:$D$4,4,FALSE)</f>
        <v>-</v>
      </c>
      <c r="Q20" s="42" t="str">
        <f>VLOOKUP(Ueberblick42848[[#This Row],[Literatur zu Elekrotmobilität]],Dropdown!$A$2:$D$4,4,FALSE)</f>
        <v>X</v>
      </c>
      <c r="R20" s="8">
        <v>434</v>
      </c>
    </row>
    <row r="21" spans="1:18" ht="38.25" x14ac:dyDescent="0.25">
      <c r="A21" s="6" t="s">
        <v>832</v>
      </c>
      <c r="B21" s="42" t="str">
        <f>VLOOKUP(Ueberblick42848[[#This Row],[öffentliche Statistiken]],Dropdown!$A$2:$D$4,4,FALSE)</f>
        <v>X</v>
      </c>
      <c r="C21" s="42" t="str">
        <f>VLOOKUP(Ueberblick42848[[#This Row],[Energiverbrauchsstatistik]],Dropdown!$A$2:$D$4,4,FALSE)</f>
        <v>X</v>
      </c>
      <c r="D21" s="42" t="str">
        <f>VLOOKUP(Ueberblick42848[[#This Row],[Smart Metering- und 
Lastamanagementfeldstudien]],Dropdown!$A$2:$D$4,4,FALSE)</f>
        <v>X</v>
      </c>
      <c r="E21" s="42" t="str">
        <f>VLOOKUP(Ueberblick42848[[#This Row],[methodisch fokussierte Paper]],Dropdown!$A$2:$D$4,4,FALSE)</f>
        <v>-</v>
      </c>
      <c r="F21" s="42" t="str">
        <f>VLOOKUP(Ueberblick42848[[#This Row],[Lastmanagementpotenzialstudien]],Dropdown!$A$2:$D$4,4,FALSE)</f>
        <v>X</v>
      </c>
      <c r="G21" s="42" t="str">
        <f>VLOOKUP(Ueberblick42848[[#This Row],[Lastprofilgeneratoren]],Dropdown!$A$2:$D$4,4,FALSE)</f>
        <v>-</v>
      </c>
      <c r="H21" s="42" t="str">
        <f>VLOOKUP(Ueberblick42848[[#This Row],[VNB-Daten (z. B. 
Einspeisemanagement)]],Dropdown!$A$2:$D$4,4,FALSE)</f>
        <v>X</v>
      </c>
      <c r="I21" s="42" t="str">
        <f>VLOOKUP(Ueberblick42848[[#This Row],[sozialwissenschaftliche Studien]],Dropdown!$A$2:$D$4,4,FALSE)</f>
        <v>-</v>
      </c>
      <c r="J21" s="42" t="str">
        <f>VLOOKUP(Ueberblick42848[[#This Row],[Branchen- und Verbandsstatistiken]],Dropdown!$A$2:$D$4,4,FALSE)</f>
        <v>X</v>
      </c>
      <c r="K21" s="42" t="str">
        <f>VLOOKUP(Ueberblick42848[[#This Row],[reale Lastgangdaten]],Dropdown!$A$2:$D$4,4,FALSE)</f>
        <v>X</v>
      </c>
      <c r="L21" s="42" t="str">
        <f>VLOOKUP(Ueberblick42848[[#This Row],[eigene Datenbasis / Datenbank]],Dropdown!$A$2:$D$4,4,FALSE)</f>
        <v>X</v>
      </c>
      <c r="M21" s="42" t="str">
        <f>VLOOKUP(Ueberblick42848[[#This Row],[Energiesystemanalysen]],Dropdown!$A$2:$D$4,4,FALSE)</f>
        <v>-</v>
      </c>
      <c r="N21" s="42" t="str">
        <f>VLOOKUP(Ueberblick42848[[#This Row],[Herstellerangaben]],Dropdown!$A$2:$D$4,4,FALSE)</f>
        <v>-</v>
      </c>
      <c r="O21" s="42" t="str">
        <f>VLOOKUP(Ueberblick42848[[#This Row],[technische Publikationen 
zu Prozessen]],Dropdown!$A$2:$D$4,4,FALSE)</f>
        <v>-</v>
      </c>
      <c r="P21" s="42" t="str">
        <f>VLOOKUP(Ueberblick42848[[#This Row],[Datenportale: Verbrauchs-, 
Wetter-, Preisdaten]],Dropdown!$A$2:$D$4,4,FALSE)</f>
        <v>-</v>
      </c>
      <c r="Q21" s="42" t="str">
        <f>VLOOKUP(Ueberblick42848[[#This Row],[Literatur zu Elekrotmobilität]],Dropdown!$A$2:$D$4,4,FALSE)</f>
        <v>-</v>
      </c>
      <c r="R21" s="8">
        <v>186</v>
      </c>
    </row>
    <row r="22" spans="1:18" s="11" customFormat="1" x14ac:dyDescent="0.25">
      <c r="A22" s="6" t="s">
        <v>16</v>
      </c>
      <c r="B22" s="42" t="str">
        <f>VLOOKUP(Ueberblick42848[[#This Row],[öffentliche Statistiken]],Dropdown!$A$2:$D$4,4,FALSE)</f>
        <v>X</v>
      </c>
      <c r="C22" s="42" t="str">
        <f>VLOOKUP(Ueberblick42848[[#This Row],[Energiverbrauchsstatistik]],Dropdown!$A$2:$D$4,4,FALSE)</f>
        <v>-</v>
      </c>
      <c r="D22" s="42" t="str">
        <f>VLOOKUP(Ueberblick42848[[#This Row],[Smart Metering- und 
Lastamanagementfeldstudien]],Dropdown!$A$2:$D$4,4,FALSE)</f>
        <v>-</v>
      </c>
      <c r="E22" s="42" t="str">
        <f>VLOOKUP(Ueberblick42848[[#This Row],[methodisch fokussierte Paper]],Dropdown!$A$2:$D$4,4,FALSE)</f>
        <v>-</v>
      </c>
      <c r="F22" s="42" t="str">
        <f>VLOOKUP(Ueberblick42848[[#This Row],[Lastmanagementpotenzialstudien]],Dropdown!$A$2:$D$4,4,FALSE)</f>
        <v>X</v>
      </c>
      <c r="G22" s="42" t="str">
        <f>VLOOKUP(Ueberblick42848[[#This Row],[Lastprofilgeneratoren]],Dropdown!$A$2:$D$4,4,FALSE)</f>
        <v>-</v>
      </c>
      <c r="H22" s="42" t="str">
        <f>VLOOKUP(Ueberblick42848[[#This Row],[VNB-Daten (z. B. 
Einspeisemanagement)]],Dropdown!$A$2:$D$4,4,FALSE)</f>
        <v>-</v>
      </c>
      <c r="I22" s="42" t="str">
        <f>VLOOKUP(Ueberblick42848[[#This Row],[sozialwissenschaftliche Studien]],Dropdown!$A$2:$D$4,4,FALSE)</f>
        <v>-</v>
      </c>
      <c r="J22" s="42" t="str">
        <f>VLOOKUP(Ueberblick42848[[#This Row],[Branchen- und Verbandsstatistiken]],Dropdown!$A$2:$D$4,4,FALSE)</f>
        <v>-</v>
      </c>
      <c r="K22" s="42" t="str">
        <f>VLOOKUP(Ueberblick42848[[#This Row],[reale Lastgangdaten]],Dropdown!$A$2:$D$4,4,FALSE)</f>
        <v>-</v>
      </c>
      <c r="L22" s="42" t="str">
        <f>VLOOKUP(Ueberblick42848[[#This Row],[eigene Datenbasis / Datenbank]],Dropdown!$A$2:$D$4,4,FALSE)</f>
        <v>X</v>
      </c>
      <c r="M22" s="42" t="str">
        <f>VLOOKUP(Ueberblick42848[[#This Row],[Energiesystemanalysen]],Dropdown!$A$2:$D$4,4,FALSE)</f>
        <v>-</v>
      </c>
      <c r="N22" s="42" t="str">
        <f>VLOOKUP(Ueberblick42848[[#This Row],[Herstellerangaben]],Dropdown!$A$2:$D$4,4,FALSE)</f>
        <v>-</v>
      </c>
      <c r="O22" s="42" t="str">
        <f>VLOOKUP(Ueberblick42848[[#This Row],[technische Publikationen 
zu Prozessen]],Dropdown!$A$2:$D$4,4,FALSE)</f>
        <v>-</v>
      </c>
      <c r="P22" s="42" t="str">
        <f>VLOOKUP(Ueberblick42848[[#This Row],[Datenportale: Verbrauchs-, 
Wetter-, Preisdaten]],Dropdown!$A$2:$D$4,4,FALSE)</f>
        <v>-</v>
      </c>
      <c r="Q22" s="42" t="str">
        <f>VLOOKUP(Ueberblick42848[[#This Row],[Literatur zu Elekrotmobilität]],Dropdown!$A$2:$D$4,4,FALSE)</f>
        <v>-</v>
      </c>
      <c r="R22" s="8">
        <v>77</v>
      </c>
    </row>
    <row r="23" spans="1:18" ht="25.5" x14ac:dyDescent="0.25">
      <c r="A23" s="6" t="s">
        <v>7</v>
      </c>
      <c r="B23" s="42" t="str">
        <f>VLOOKUP(Ueberblick42848[[#This Row],[öffentliche Statistiken]],Dropdown!$A$2:$D$4,4,FALSE)</f>
        <v>-</v>
      </c>
      <c r="C23" s="42" t="str">
        <f>VLOOKUP(Ueberblick42848[[#This Row],[Energiverbrauchsstatistik]],Dropdown!$A$2:$D$4,4,FALSE)</f>
        <v>-</v>
      </c>
      <c r="D23" s="42" t="str">
        <f>VLOOKUP(Ueberblick42848[[#This Row],[Smart Metering- und 
Lastamanagementfeldstudien]],Dropdown!$A$2:$D$4,4,FALSE)</f>
        <v>X</v>
      </c>
      <c r="E23" s="42" t="str">
        <f>VLOOKUP(Ueberblick42848[[#This Row],[methodisch fokussierte Paper]],Dropdown!$A$2:$D$4,4,FALSE)</f>
        <v>-</v>
      </c>
      <c r="F23" s="42" t="str">
        <f>VLOOKUP(Ueberblick42848[[#This Row],[Lastmanagementpotenzialstudien]],Dropdown!$A$2:$D$4,4,FALSE)</f>
        <v>X</v>
      </c>
      <c r="G23" s="42" t="str">
        <f>VLOOKUP(Ueberblick42848[[#This Row],[Lastprofilgeneratoren]],Dropdown!$A$2:$D$4,4,FALSE)</f>
        <v>-</v>
      </c>
      <c r="H23" s="42" t="str">
        <f>VLOOKUP(Ueberblick42848[[#This Row],[VNB-Daten (z. B. 
Einspeisemanagement)]],Dropdown!$A$2:$D$4,4,FALSE)</f>
        <v>X</v>
      </c>
      <c r="I23" s="42" t="str">
        <f>VLOOKUP(Ueberblick42848[[#This Row],[sozialwissenschaftliche Studien]],Dropdown!$A$2:$D$4,4,FALSE)</f>
        <v>-</v>
      </c>
      <c r="J23" s="42" t="str">
        <f>VLOOKUP(Ueberblick42848[[#This Row],[Branchen- und Verbandsstatistiken]],Dropdown!$A$2:$D$4,4,FALSE)</f>
        <v>-</v>
      </c>
      <c r="K23" s="42" t="str">
        <f>VLOOKUP(Ueberblick42848[[#This Row],[reale Lastgangdaten]],Dropdown!$A$2:$D$4,4,FALSE)</f>
        <v>-</v>
      </c>
      <c r="L23" s="42" t="str">
        <f>VLOOKUP(Ueberblick42848[[#This Row],[eigene Datenbasis / Datenbank]],Dropdown!$A$2:$D$4,4,FALSE)</f>
        <v>X</v>
      </c>
      <c r="M23" s="42" t="str">
        <f>VLOOKUP(Ueberblick42848[[#This Row],[Energiesystemanalysen]],Dropdown!$A$2:$D$4,4,FALSE)</f>
        <v>X</v>
      </c>
      <c r="N23" s="42" t="str">
        <f>VLOOKUP(Ueberblick42848[[#This Row],[Herstellerangaben]],Dropdown!$A$2:$D$4,4,FALSE)</f>
        <v>-</v>
      </c>
      <c r="O23" s="42" t="str">
        <f>VLOOKUP(Ueberblick42848[[#This Row],[technische Publikationen 
zu Prozessen]],Dropdown!$A$2:$D$4,4,FALSE)</f>
        <v>-</v>
      </c>
      <c r="P23" s="42" t="str">
        <f>VLOOKUP(Ueberblick42848[[#This Row],[Datenportale: Verbrauchs-, 
Wetter-, Preisdaten]],Dropdown!$A$2:$D$4,4,FALSE)</f>
        <v>X</v>
      </c>
      <c r="Q23" s="42" t="str">
        <f>VLOOKUP(Ueberblick42848[[#This Row],[Literatur zu Elekrotmobilität]],Dropdown!$A$2:$D$4,4,FALSE)</f>
        <v>-</v>
      </c>
      <c r="R23" s="8">
        <v>14</v>
      </c>
    </row>
    <row r="24" spans="1:18" s="11" customFormat="1" ht="25.5" x14ac:dyDescent="0.25">
      <c r="A24" s="6" t="s">
        <v>18</v>
      </c>
      <c r="B24" s="42" t="str">
        <f>VLOOKUP(Ueberblick42848[[#This Row],[öffentliche Statistiken]],Dropdown!$A$2:$D$4,4,FALSE)</f>
        <v>X</v>
      </c>
      <c r="C24" s="42" t="str">
        <f>VLOOKUP(Ueberblick42848[[#This Row],[Energiverbrauchsstatistik]],Dropdown!$A$2:$D$4,4,FALSE)</f>
        <v>X</v>
      </c>
      <c r="D24" s="42" t="str">
        <f>VLOOKUP(Ueberblick42848[[#This Row],[Smart Metering- und 
Lastamanagementfeldstudien]],Dropdown!$A$2:$D$4,4,FALSE)</f>
        <v>X</v>
      </c>
      <c r="E24" s="42" t="str">
        <f>VLOOKUP(Ueberblick42848[[#This Row],[methodisch fokussierte Paper]],Dropdown!$A$2:$D$4,4,FALSE)</f>
        <v>-</v>
      </c>
      <c r="F24" s="42" t="str">
        <f>VLOOKUP(Ueberblick42848[[#This Row],[Lastmanagementpotenzialstudien]],Dropdown!$A$2:$D$4,4,FALSE)</f>
        <v>X</v>
      </c>
      <c r="G24" s="42" t="str">
        <f>VLOOKUP(Ueberblick42848[[#This Row],[Lastprofilgeneratoren]],Dropdown!$A$2:$D$4,4,FALSE)</f>
        <v>-</v>
      </c>
      <c r="H24" s="42" t="str">
        <f>VLOOKUP(Ueberblick42848[[#This Row],[VNB-Daten (z. B. 
Einspeisemanagement)]],Dropdown!$A$2:$D$4,4,FALSE)</f>
        <v>-</v>
      </c>
      <c r="I24" s="42" t="str">
        <f>VLOOKUP(Ueberblick42848[[#This Row],[sozialwissenschaftliche Studien]],Dropdown!$A$2:$D$4,4,FALSE)</f>
        <v>-</v>
      </c>
      <c r="J24" s="42" t="str">
        <f>VLOOKUP(Ueberblick42848[[#This Row],[Branchen- und Verbandsstatistiken]],Dropdown!$A$2:$D$4,4,FALSE)</f>
        <v>X</v>
      </c>
      <c r="K24" s="42" t="str">
        <f>VLOOKUP(Ueberblick42848[[#This Row],[reale Lastgangdaten]],Dropdown!$A$2:$D$4,4,FALSE)</f>
        <v>-</v>
      </c>
      <c r="L24" s="42" t="str">
        <f>VLOOKUP(Ueberblick42848[[#This Row],[eigene Datenbasis / Datenbank]],Dropdown!$A$2:$D$4,4,FALSE)</f>
        <v>-</v>
      </c>
      <c r="M24" s="42" t="str">
        <f>VLOOKUP(Ueberblick42848[[#This Row],[Energiesystemanalysen]],Dropdown!$A$2:$D$4,4,FALSE)</f>
        <v>X</v>
      </c>
      <c r="N24" s="42" t="str">
        <f>VLOOKUP(Ueberblick42848[[#This Row],[Herstellerangaben]],Dropdown!$A$2:$D$4,4,FALSE)</f>
        <v>-</v>
      </c>
      <c r="O24" s="42" t="str">
        <f>VLOOKUP(Ueberblick42848[[#This Row],[technische Publikationen 
zu Prozessen]],Dropdown!$A$2:$D$4,4,FALSE)</f>
        <v>X</v>
      </c>
      <c r="P24" s="42" t="str">
        <f>VLOOKUP(Ueberblick42848[[#This Row],[Datenportale: Verbrauchs-, 
Wetter-, Preisdaten]],Dropdown!$A$2:$D$4,4,FALSE)</f>
        <v>X</v>
      </c>
      <c r="Q24" s="42" t="str">
        <f>VLOOKUP(Ueberblick42848[[#This Row],[Literatur zu Elekrotmobilität]],Dropdown!$A$2:$D$4,4,FALSE)</f>
        <v>-</v>
      </c>
      <c r="R24" s="8" t="s">
        <v>236</v>
      </c>
    </row>
    <row r="25" spans="1:18" x14ac:dyDescent="0.25">
      <c r="A25" s="6" t="s">
        <v>338</v>
      </c>
      <c r="B25" s="42" t="str">
        <f>VLOOKUP(Ueberblick42848[[#This Row],[öffentliche Statistiken]],Dropdown!$A$2:$D$4,4,FALSE)</f>
        <v>X</v>
      </c>
      <c r="C25" s="42" t="str">
        <f>VLOOKUP(Ueberblick42848[[#This Row],[Energiverbrauchsstatistik]],Dropdown!$A$2:$D$4,4,FALSE)</f>
        <v>-</v>
      </c>
      <c r="D25" s="42" t="str">
        <f>VLOOKUP(Ueberblick42848[[#This Row],[Smart Metering- und 
Lastamanagementfeldstudien]],Dropdown!$A$2:$D$4,4,FALSE)</f>
        <v>X</v>
      </c>
      <c r="E25" s="42" t="str">
        <f>VLOOKUP(Ueberblick42848[[#This Row],[methodisch fokussierte Paper]],Dropdown!$A$2:$D$4,4,FALSE)</f>
        <v>X</v>
      </c>
      <c r="F25" s="42" t="str">
        <f>VLOOKUP(Ueberblick42848[[#This Row],[Lastmanagementpotenzialstudien]],Dropdown!$A$2:$D$4,4,FALSE)</f>
        <v>-</v>
      </c>
      <c r="G25" s="42" t="str">
        <f>VLOOKUP(Ueberblick42848[[#This Row],[Lastprofilgeneratoren]],Dropdown!$A$2:$D$4,4,FALSE)</f>
        <v>-</v>
      </c>
      <c r="H25" s="42" t="str">
        <f>VLOOKUP(Ueberblick42848[[#This Row],[VNB-Daten (z. B. 
Einspeisemanagement)]],Dropdown!$A$2:$D$4,4,FALSE)</f>
        <v>-</v>
      </c>
      <c r="I25" s="42" t="str">
        <f>VLOOKUP(Ueberblick42848[[#This Row],[sozialwissenschaftliche Studien]],Dropdown!$A$2:$D$4,4,FALSE)</f>
        <v>-</v>
      </c>
      <c r="J25" s="42" t="str">
        <f>VLOOKUP(Ueberblick42848[[#This Row],[Branchen- und Verbandsstatistiken]],Dropdown!$A$2:$D$4,4,FALSE)</f>
        <v>X</v>
      </c>
      <c r="K25" s="42" t="str">
        <f>VLOOKUP(Ueberblick42848[[#This Row],[reale Lastgangdaten]],Dropdown!$A$2:$D$4,4,FALSE)</f>
        <v>X</v>
      </c>
      <c r="L25" s="42" t="str">
        <f>VLOOKUP(Ueberblick42848[[#This Row],[eigene Datenbasis / Datenbank]],Dropdown!$A$2:$D$4,4,FALSE)</f>
        <v>-</v>
      </c>
      <c r="M25" s="42" t="str">
        <f>VLOOKUP(Ueberblick42848[[#This Row],[Energiesystemanalysen]],Dropdown!$A$2:$D$4,4,FALSE)</f>
        <v>-</v>
      </c>
      <c r="N25" s="42" t="str">
        <f>VLOOKUP(Ueberblick42848[[#This Row],[Herstellerangaben]],Dropdown!$A$2:$D$4,4,FALSE)</f>
        <v>-</v>
      </c>
      <c r="O25" s="42" t="str">
        <f>VLOOKUP(Ueberblick42848[[#This Row],[technische Publikationen 
zu Prozessen]],Dropdown!$A$2:$D$4,4,FALSE)</f>
        <v>X</v>
      </c>
      <c r="P25" s="42" t="str">
        <f>VLOOKUP(Ueberblick42848[[#This Row],[Datenportale: Verbrauchs-, 
Wetter-, Preisdaten]],Dropdown!$A$2:$D$4,4,FALSE)</f>
        <v>-</v>
      </c>
      <c r="Q25" s="42" t="str">
        <f>VLOOKUP(Ueberblick42848[[#This Row],[Literatur zu Elekrotmobilität]],Dropdown!$A$2:$D$4,4,FALSE)</f>
        <v>-</v>
      </c>
      <c r="R25" s="8">
        <v>49</v>
      </c>
    </row>
    <row r="26" spans="1:18" s="11" customFormat="1" ht="38.25" x14ac:dyDescent="0.25">
      <c r="A26" s="6" t="s">
        <v>351</v>
      </c>
      <c r="B26" s="42" t="str">
        <f>VLOOKUP(Ueberblick42848[[#This Row],[öffentliche Statistiken]],Dropdown!$A$2:$D$4,4,FALSE)</f>
        <v>X</v>
      </c>
      <c r="C26" s="42" t="str">
        <f>VLOOKUP(Ueberblick42848[[#This Row],[Energiverbrauchsstatistik]],Dropdown!$A$2:$D$4,4,FALSE)</f>
        <v>X</v>
      </c>
      <c r="D26" s="42" t="str">
        <f>VLOOKUP(Ueberblick42848[[#This Row],[Smart Metering- und 
Lastamanagementfeldstudien]],Dropdown!$A$2:$D$4,4,FALSE)</f>
        <v>X</v>
      </c>
      <c r="E26" s="42" t="str">
        <f>VLOOKUP(Ueberblick42848[[#This Row],[methodisch fokussierte Paper]],Dropdown!$A$2:$D$4,4,FALSE)</f>
        <v>X</v>
      </c>
      <c r="F26" s="42" t="str">
        <f>VLOOKUP(Ueberblick42848[[#This Row],[Lastmanagementpotenzialstudien]],Dropdown!$A$2:$D$4,4,FALSE)</f>
        <v>X</v>
      </c>
      <c r="G26" s="42" t="str">
        <f>VLOOKUP(Ueberblick42848[[#This Row],[Lastprofilgeneratoren]],Dropdown!$A$2:$D$4,4,FALSE)</f>
        <v>-</v>
      </c>
      <c r="H26" s="42" t="str">
        <f>VLOOKUP(Ueberblick42848[[#This Row],[VNB-Daten (z. B. 
Einspeisemanagement)]],Dropdown!$A$2:$D$4,4,FALSE)</f>
        <v>X</v>
      </c>
      <c r="I26" s="42" t="str">
        <f>VLOOKUP(Ueberblick42848[[#This Row],[sozialwissenschaftliche Studien]],Dropdown!$A$2:$D$4,4,FALSE)</f>
        <v>-</v>
      </c>
      <c r="J26" s="42" t="str">
        <f>VLOOKUP(Ueberblick42848[[#This Row],[Branchen- und Verbandsstatistiken]],Dropdown!$A$2:$D$4,4,FALSE)</f>
        <v>X</v>
      </c>
      <c r="K26" s="42" t="str">
        <f>VLOOKUP(Ueberblick42848[[#This Row],[reale Lastgangdaten]],Dropdown!$A$2:$D$4,4,FALSE)</f>
        <v>-</v>
      </c>
      <c r="L26" s="42" t="str">
        <f>VLOOKUP(Ueberblick42848[[#This Row],[eigene Datenbasis / Datenbank]],Dropdown!$A$2:$D$4,4,FALSE)</f>
        <v>-</v>
      </c>
      <c r="M26" s="42" t="str">
        <f>VLOOKUP(Ueberblick42848[[#This Row],[Energiesystemanalysen]],Dropdown!$A$2:$D$4,4,FALSE)</f>
        <v>X</v>
      </c>
      <c r="N26" s="42" t="str">
        <f>VLOOKUP(Ueberblick42848[[#This Row],[Herstellerangaben]],Dropdown!$A$2:$D$4,4,FALSE)</f>
        <v>X</v>
      </c>
      <c r="O26" s="42" t="str">
        <f>VLOOKUP(Ueberblick42848[[#This Row],[technische Publikationen 
zu Prozessen]],Dropdown!$A$2:$D$4,4,FALSE)</f>
        <v>X</v>
      </c>
      <c r="P26" s="42" t="str">
        <f>VLOOKUP(Ueberblick42848[[#This Row],[Datenportale: Verbrauchs-, 
Wetter-, Preisdaten]],Dropdown!$A$2:$D$4,4,FALSE)</f>
        <v>X</v>
      </c>
      <c r="Q26" s="42" t="str">
        <f>VLOOKUP(Ueberblick42848[[#This Row],[Literatur zu Elekrotmobilität]],Dropdown!$A$2:$D$4,4,FALSE)</f>
        <v>-</v>
      </c>
      <c r="R26" s="8" t="s">
        <v>291</v>
      </c>
    </row>
    <row r="27" spans="1:18" s="11" customFormat="1" ht="51" x14ac:dyDescent="0.25">
      <c r="A27" s="6" t="s">
        <v>24</v>
      </c>
      <c r="B27" s="42" t="str">
        <f>VLOOKUP(Ueberblick42848[[#This Row],[öffentliche Statistiken]],Dropdown!$A$2:$D$4,4,FALSE)</f>
        <v>X</v>
      </c>
      <c r="C27" s="42" t="str">
        <f>VLOOKUP(Ueberblick42848[[#This Row],[Energiverbrauchsstatistik]],Dropdown!$A$2:$D$4,4,FALSE)</f>
        <v>X</v>
      </c>
      <c r="D27" s="42" t="str">
        <f>VLOOKUP(Ueberblick42848[[#This Row],[Smart Metering- und 
Lastamanagementfeldstudien]],Dropdown!$A$2:$D$4,4,FALSE)</f>
        <v>-</v>
      </c>
      <c r="E27" s="42" t="str">
        <f>VLOOKUP(Ueberblick42848[[#This Row],[methodisch fokussierte Paper]],Dropdown!$A$2:$D$4,4,FALSE)</f>
        <v>-</v>
      </c>
      <c r="F27" s="42" t="str">
        <f>VLOOKUP(Ueberblick42848[[#This Row],[Lastmanagementpotenzialstudien]],Dropdown!$A$2:$D$4,4,FALSE)</f>
        <v>X</v>
      </c>
      <c r="G27" s="42" t="str">
        <f>VLOOKUP(Ueberblick42848[[#This Row],[Lastprofilgeneratoren]],Dropdown!$A$2:$D$4,4,FALSE)</f>
        <v>-</v>
      </c>
      <c r="H27" s="42" t="str">
        <f>VLOOKUP(Ueberblick42848[[#This Row],[VNB-Daten (z. B. 
Einspeisemanagement)]],Dropdown!$A$2:$D$4,4,FALSE)</f>
        <v>-</v>
      </c>
      <c r="I27" s="42" t="str">
        <f>VLOOKUP(Ueberblick42848[[#This Row],[sozialwissenschaftliche Studien]],Dropdown!$A$2:$D$4,4,FALSE)</f>
        <v>-</v>
      </c>
      <c r="J27" s="42" t="str">
        <f>VLOOKUP(Ueberblick42848[[#This Row],[Branchen- und Verbandsstatistiken]],Dropdown!$A$2:$D$4,4,FALSE)</f>
        <v>-</v>
      </c>
      <c r="K27" s="42" t="str">
        <f>VLOOKUP(Ueberblick42848[[#This Row],[reale Lastgangdaten]],Dropdown!$A$2:$D$4,4,FALSE)</f>
        <v>-</v>
      </c>
      <c r="L27" s="42" t="str">
        <f>VLOOKUP(Ueberblick42848[[#This Row],[eigene Datenbasis / Datenbank]],Dropdown!$A$2:$D$4,4,FALSE)</f>
        <v>-</v>
      </c>
      <c r="M27" s="42" t="str">
        <f>VLOOKUP(Ueberblick42848[[#This Row],[Energiesystemanalysen]],Dropdown!$A$2:$D$4,4,FALSE)</f>
        <v>-</v>
      </c>
      <c r="N27" s="42" t="str">
        <f>VLOOKUP(Ueberblick42848[[#This Row],[Herstellerangaben]],Dropdown!$A$2:$D$4,4,FALSE)</f>
        <v>-</v>
      </c>
      <c r="O27" s="42" t="str">
        <f>VLOOKUP(Ueberblick42848[[#This Row],[technische Publikationen 
zu Prozessen]],Dropdown!$A$2:$D$4,4,FALSE)</f>
        <v>-</v>
      </c>
      <c r="P27" s="42" t="str">
        <f>VLOOKUP(Ueberblick42848[[#This Row],[Datenportale: Verbrauchs-, 
Wetter-, Preisdaten]],Dropdown!$A$2:$D$4,4,FALSE)</f>
        <v>-</v>
      </c>
      <c r="Q27" s="42" t="str">
        <f>VLOOKUP(Ueberblick42848[[#This Row],[Literatur zu Elekrotmobilität]],Dropdown!$A$2:$D$4,4,FALSE)</f>
        <v>-</v>
      </c>
      <c r="R27" s="8" t="s">
        <v>250</v>
      </c>
    </row>
    <row r="28" spans="1:18" x14ac:dyDescent="0.25">
      <c r="A28" s="18" t="s">
        <v>854</v>
      </c>
      <c r="B28" s="18">
        <f>Ueberblick42848[[#Totals],[öffentliche Statistiken]]</f>
        <v>18</v>
      </c>
      <c r="C28" s="18">
        <f>Ueberblick42848[[#Totals],[Energiverbrauchsstatistik]]</f>
        <v>12</v>
      </c>
      <c r="D28" s="18">
        <f>Ueberblick42848[[#Totals],[Smart Metering- und 
Lastamanagementfeldstudien]]</f>
        <v>14</v>
      </c>
      <c r="E28" s="18">
        <f>Ueberblick42848[[#Totals],[methodisch fokussierte Paper]]</f>
        <v>8</v>
      </c>
      <c r="F28" s="18">
        <f>Ueberblick42848[[#Totals],[Lastmanagementpotenzialstudien]]</f>
        <v>24</v>
      </c>
      <c r="G28" s="18">
        <f>Ueberblick42848[[#Totals],[Lastprofilgeneratoren]]</f>
        <v>1</v>
      </c>
      <c r="H28" s="18">
        <f>Ueberblick42848[[#Totals],[VNB-Daten (z. B. 
Einspeisemanagement)]]</f>
        <v>6</v>
      </c>
      <c r="I28" s="18">
        <f>Ueberblick42848[[#Totals],[sozialwissenschaftliche Studien]]</f>
        <v>2</v>
      </c>
      <c r="J28" s="18">
        <f>Ueberblick42848[[#Totals],[Branchen- und Verbandsstatistiken]]</f>
        <v>14</v>
      </c>
      <c r="K28" s="18">
        <f>Ueberblick42848[[#Totals],[reale Lastgangdaten]]</f>
        <v>5</v>
      </c>
      <c r="L28" s="18">
        <f>Ueberblick42848[[#Totals],[eigene Datenbasis / Datenbank]]</f>
        <v>7</v>
      </c>
      <c r="M28" s="18">
        <f>Ueberblick42848[[#Totals],[Energiesystemanalysen]]</f>
        <v>9</v>
      </c>
      <c r="N28" s="18">
        <f>Ueberblick42848[[#Totals],[Herstellerangaben]]</f>
        <v>3</v>
      </c>
      <c r="O28" s="18">
        <f>Ueberblick42848[[#Totals],[technische Publikationen 
zu Prozessen]]</f>
        <v>13</v>
      </c>
      <c r="P28" s="18">
        <f>Ueberblick42848[[#Totals],[Datenportale: Verbrauchs-, 
Wetter-, Preisdaten]]</f>
        <v>11</v>
      </c>
      <c r="Q28" s="18">
        <f>Ueberblick42848[[#Totals],[Literatur zu Elekrotmobilität]]</f>
        <v>3</v>
      </c>
      <c r="R28" s="17"/>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F27B-8D59-43D7-9290-41AD5E7CDCDA}">
  <sheetPr codeName="Tabelle23">
    <tabColor theme="7" tint="0.79998168889431442"/>
  </sheetPr>
  <dimension ref="A1:F28"/>
  <sheetViews>
    <sheetView topLeftCell="A2" workbookViewId="0">
      <selection activeCell="G2" sqref="G2"/>
    </sheetView>
  </sheetViews>
  <sheetFormatPr baseColWidth="10" defaultRowHeight="15.75" x14ac:dyDescent="0.25"/>
  <cols>
    <col min="2" max="5" width="5.875" customWidth="1"/>
    <col min="6" max="6" width="5.875" hidden="1" customWidth="1"/>
  </cols>
  <sheetData>
    <row r="1" spans="1:6" ht="89.25" hidden="1" x14ac:dyDescent="0.25">
      <c r="A1" s="3" t="s">
        <v>86</v>
      </c>
      <c r="B1" s="3" t="s">
        <v>159</v>
      </c>
      <c r="C1" s="3" t="s">
        <v>159</v>
      </c>
      <c r="D1" s="3" t="s">
        <v>159</v>
      </c>
      <c r="E1" s="89" t="s">
        <v>159</v>
      </c>
      <c r="F1" s="3" t="s">
        <v>159</v>
      </c>
    </row>
    <row r="2" spans="1:6" ht="131.25" customHeight="1" x14ac:dyDescent="0.25">
      <c r="A2" s="84" t="s">
        <v>1</v>
      </c>
      <c r="B2" s="53" t="s">
        <v>109</v>
      </c>
      <c r="C2" s="53" t="s">
        <v>110</v>
      </c>
      <c r="D2" s="53" t="s">
        <v>214</v>
      </c>
      <c r="E2" s="54" t="s">
        <v>158</v>
      </c>
      <c r="F2" s="43" t="s">
        <v>271</v>
      </c>
    </row>
    <row r="3" spans="1:6" ht="25.5" x14ac:dyDescent="0.25">
      <c r="A3" s="35" t="s">
        <v>12</v>
      </c>
      <c r="B3" s="42">
        <f>IF(Tabelle51[[#Headers],[Modellierung (Simulation)]]=Ueberblick[[#This Row],[analytischer Ansatz zur Verwertung technischer Potenziale]],1,0)</f>
        <v>1</v>
      </c>
      <c r="C3" s="42">
        <f>IF(Tabelle51[[#Headers],[Modellierung (Optimierung)]]=Ueberblick[[#This Row],[analytischer Ansatz zur Verwertung technischer Potenziale]],1,0)</f>
        <v>0</v>
      </c>
      <c r="D3" s="42">
        <f>IF(Tabelle51[[#Headers],[Wirtschaftlichkeitsabschätzung]]=Ueberblick[[#This Row],[analytischer Ansatz zur Verwertung technischer Potenziale]],1,0)</f>
        <v>0</v>
      </c>
      <c r="E3" s="52">
        <f>IF(Tabelle51[[#Headers],[keine Verwertung]]=Ueberblick[[#This Row],[analytischer Ansatz zur Verwertung technischer Potenziale]],1,0)</f>
        <v>0</v>
      </c>
      <c r="F3" s="52">
        <f>IF(Tabelle51[[#Headers],[kombinierter Ansatz]]=Ueberblick[[#This Row],[analytischer Ansatz zur Verwertung technischer Potenziale]],1,0)</f>
        <v>0</v>
      </c>
    </row>
    <row r="4" spans="1:6" ht="25.5" x14ac:dyDescent="0.25">
      <c r="A4" s="35" t="s">
        <v>347</v>
      </c>
      <c r="B4" s="42">
        <f>IF(Tabelle51[[#Headers],[Modellierung (Simulation)]]=Ueberblick[[#This Row],[analytischer Ansatz zur Verwertung technischer Potenziale]],1,0)</f>
        <v>1</v>
      </c>
      <c r="C4" s="61">
        <f>IF(Tabelle51[[#Headers],[Modellierung (Optimierung)]]=Ueberblick[[#This Row],[analytischer Ansatz zur Verwertung technischer Potenziale]],1,0)</f>
        <v>0</v>
      </c>
      <c r="D4" s="61">
        <f>IF(Tabelle51[[#Headers],[Wirtschaftlichkeitsabschätzung]]=Ueberblick[[#This Row],[analytischer Ansatz zur Verwertung technischer Potenziale]],1,0)</f>
        <v>0</v>
      </c>
      <c r="E4" s="87">
        <f>IF(Tabelle51[[#Headers],[keine Verwertung]]=Ueberblick[[#This Row],[analytischer Ansatz zur Verwertung technischer Potenziale]],1,0)</f>
        <v>0</v>
      </c>
      <c r="F4" s="61">
        <f>IF(Tabelle51[[#Headers],[kombinierter Ansatz]]=Ueberblick[[#This Row],[analytischer Ansatz zur Verwertung technischer Potenziale]],1,0)</f>
        <v>0</v>
      </c>
    </row>
    <row r="5" spans="1:6" ht="25.5" x14ac:dyDescent="0.25">
      <c r="A5" s="35" t="s">
        <v>348</v>
      </c>
      <c r="B5" s="42">
        <f>IF(Tabelle51[[#Headers],[Modellierung (Simulation)]]=Ueberblick[[#This Row],[analytischer Ansatz zur Verwertung technischer Potenziale]],1,0)</f>
        <v>0</v>
      </c>
      <c r="C5" s="61">
        <f>IF(Tabelle51[[#Headers],[Modellierung (Optimierung)]]=Ueberblick[[#This Row],[analytischer Ansatz zur Verwertung technischer Potenziale]],1,0)</f>
        <v>0</v>
      </c>
      <c r="D5" s="61">
        <f>IF(Tabelle51[[#Headers],[Wirtschaftlichkeitsabschätzung]]=Ueberblick[[#This Row],[analytischer Ansatz zur Verwertung technischer Potenziale]],1,0)</f>
        <v>1</v>
      </c>
      <c r="E5" s="87">
        <f>IF(Tabelle51[[#Headers],[keine Verwertung]]=Ueberblick[[#This Row],[analytischer Ansatz zur Verwertung technischer Potenziale]],1,0)</f>
        <v>0</v>
      </c>
      <c r="F5" s="61">
        <f>IF(Tabelle51[[#Headers],[kombinierter Ansatz]]=Ueberblick[[#This Row],[analytischer Ansatz zur Verwertung technischer Potenziale]],1,0)</f>
        <v>0</v>
      </c>
    </row>
    <row r="6" spans="1:6" ht="25.5" x14ac:dyDescent="0.25">
      <c r="A6" s="35" t="s">
        <v>183</v>
      </c>
      <c r="B6" s="42">
        <f>IF(Tabelle51[[#Headers],[Modellierung (Simulation)]]=Ueberblick[[#This Row],[analytischer Ansatz zur Verwertung technischer Potenziale]],1,0)</f>
        <v>0</v>
      </c>
      <c r="C6" s="61">
        <f>IF(Tabelle51[[#Headers],[Modellierung (Optimierung)]]=Ueberblick[[#This Row],[analytischer Ansatz zur Verwertung technischer Potenziale]],1,0)</f>
        <v>0</v>
      </c>
      <c r="D6" s="61">
        <f>IF(Tabelle51[[#Headers],[Wirtschaftlichkeitsabschätzung]]=Ueberblick[[#This Row],[analytischer Ansatz zur Verwertung technischer Potenziale]],1,0)</f>
        <v>0</v>
      </c>
      <c r="E6" s="87">
        <f>IF(Tabelle51[[#Headers],[keine Verwertung]]=Ueberblick[[#This Row],[analytischer Ansatz zur Verwertung technischer Potenziale]],1,0)</f>
        <v>1</v>
      </c>
      <c r="F6" s="61">
        <f>IF(Tabelle51[[#Headers],[kombinierter Ansatz]]=Ueberblick[[#This Row],[analytischer Ansatz zur Verwertung technischer Potenziale]],1,0)</f>
        <v>0</v>
      </c>
    </row>
    <row r="7" spans="1:6" ht="38.25" x14ac:dyDescent="0.25">
      <c r="A7" s="35" t="s">
        <v>258</v>
      </c>
      <c r="B7" s="42">
        <f>IF(Tabelle51[[#Headers],[Modellierung (Simulation)]]=Ueberblick[[#This Row],[analytischer Ansatz zur Verwertung technischer Potenziale]],1,0)</f>
        <v>0</v>
      </c>
      <c r="C7" s="61">
        <f>IF(Tabelle51[[#Headers],[Modellierung (Optimierung)]]=Ueberblick[[#This Row],[analytischer Ansatz zur Verwertung technischer Potenziale]],1,0)</f>
        <v>1</v>
      </c>
      <c r="D7" s="61">
        <f>IF(Tabelle51[[#Headers],[Wirtschaftlichkeitsabschätzung]]=Ueberblick[[#This Row],[analytischer Ansatz zur Verwertung technischer Potenziale]],1,0)</f>
        <v>0</v>
      </c>
      <c r="E7" s="87">
        <f>IF(Tabelle51[[#Headers],[keine Verwertung]]=Ueberblick[[#This Row],[analytischer Ansatz zur Verwertung technischer Potenziale]],1,0)</f>
        <v>0</v>
      </c>
      <c r="F7" s="61">
        <f>IF(Tabelle51[[#Headers],[kombinierter Ansatz]]=Ueberblick[[#This Row],[analytischer Ansatz zur Verwertung technischer Potenziale]],1,0)</f>
        <v>0</v>
      </c>
    </row>
    <row r="8" spans="1:6" ht="25.5" x14ac:dyDescent="0.25">
      <c r="A8" s="35" t="s">
        <v>355</v>
      </c>
      <c r="B8" s="42">
        <f>IF(Tabelle51[[#Headers],[Modellierung (Simulation)]]=Ueberblick[[#This Row],[analytischer Ansatz zur Verwertung technischer Potenziale]],1,0)</f>
        <v>1</v>
      </c>
      <c r="C8" s="61">
        <f>IF(Tabelle51[[#Headers],[Modellierung (Optimierung)]]=Ueberblick[[#This Row],[analytischer Ansatz zur Verwertung technischer Potenziale]],1,0)</f>
        <v>0</v>
      </c>
      <c r="D8" s="61">
        <f>IF(Tabelle51[[#Headers],[Wirtschaftlichkeitsabschätzung]]=Ueberblick[[#This Row],[analytischer Ansatz zur Verwertung technischer Potenziale]],1,0)</f>
        <v>0</v>
      </c>
      <c r="E8" s="87">
        <f>IF(Tabelle51[[#Headers],[keine Verwertung]]=Ueberblick[[#This Row],[analytischer Ansatz zur Verwertung technischer Potenziale]],1,0)</f>
        <v>0</v>
      </c>
      <c r="F8" s="61">
        <f>IF(Tabelle51[[#Headers],[kombinierter Ansatz]]=Ueberblick[[#This Row],[analytischer Ansatz zur Verwertung technischer Potenziale]],1,0)</f>
        <v>0</v>
      </c>
    </row>
    <row r="9" spans="1:6" ht="25.5" x14ac:dyDescent="0.25">
      <c r="A9" s="35" t="s">
        <v>431</v>
      </c>
      <c r="B9" s="42">
        <f>IF(Tabelle51[[#Headers],[Modellierung (Simulation)]]=Ueberblick[[#This Row],[analytischer Ansatz zur Verwertung technischer Potenziale]],1,0)</f>
        <v>0</v>
      </c>
      <c r="C9" s="61">
        <f>IF(Tabelle51[[#Headers],[Modellierung (Optimierung)]]=Ueberblick[[#This Row],[analytischer Ansatz zur Verwertung technischer Potenziale]],1,0)</f>
        <v>1</v>
      </c>
      <c r="D9" s="61">
        <f>IF(Tabelle51[[#Headers],[Wirtschaftlichkeitsabschätzung]]=Ueberblick[[#This Row],[analytischer Ansatz zur Verwertung technischer Potenziale]],1,0)</f>
        <v>0</v>
      </c>
      <c r="E9" s="87">
        <f>IF(Tabelle51[[#Headers],[keine Verwertung]]=Ueberblick[[#This Row],[analytischer Ansatz zur Verwertung technischer Potenziale]],1,0)</f>
        <v>0</v>
      </c>
      <c r="F9" s="61">
        <f>IF(Tabelle51[[#Headers],[kombinierter Ansatz]]=Ueberblick[[#This Row],[analytischer Ansatz zur Verwertung technischer Potenziale]],1,0)</f>
        <v>0</v>
      </c>
    </row>
    <row r="10" spans="1:6" x14ac:dyDescent="0.25">
      <c r="A10" s="35" t="s">
        <v>410</v>
      </c>
      <c r="B10" s="42">
        <f>IF(Tabelle51[[#Headers],[Modellierung (Simulation)]]=Ueberblick[[#This Row],[analytischer Ansatz zur Verwertung technischer Potenziale]],1,0)</f>
        <v>1</v>
      </c>
      <c r="C10" s="61">
        <f>IF(Tabelle51[[#Headers],[Modellierung (Optimierung)]]=Ueberblick[[#This Row],[analytischer Ansatz zur Verwertung technischer Potenziale]],1,0)</f>
        <v>0</v>
      </c>
      <c r="D10" s="61">
        <f>IF(Tabelle51[[#Headers],[Wirtschaftlichkeitsabschätzung]]=Ueberblick[[#This Row],[analytischer Ansatz zur Verwertung technischer Potenziale]],1,0)</f>
        <v>0</v>
      </c>
      <c r="E10" s="87">
        <f>IF(Tabelle51[[#Headers],[keine Verwertung]]=Ueberblick[[#This Row],[analytischer Ansatz zur Verwertung technischer Potenziale]],1,0)</f>
        <v>0</v>
      </c>
      <c r="F10" s="61">
        <f>IF(Tabelle51[[#Headers],[kombinierter Ansatz]]=Ueberblick[[#This Row],[analytischer Ansatz zur Verwertung technischer Potenziale]],1,0)</f>
        <v>0</v>
      </c>
    </row>
    <row r="11" spans="1:6" x14ac:dyDescent="0.25">
      <c r="A11" s="35" t="s">
        <v>393</v>
      </c>
      <c r="B11" s="42">
        <f>IF(Tabelle51[[#Headers],[Modellierung (Simulation)]]=Ueberblick[[#This Row],[analytischer Ansatz zur Verwertung technischer Potenziale]],1,0)</f>
        <v>0</v>
      </c>
      <c r="C11" s="61">
        <f>IF(Tabelle51[[#Headers],[Modellierung (Optimierung)]]=Ueberblick[[#This Row],[analytischer Ansatz zur Verwertung technischer Potenziale]],1,0)</f>
        <v>1</v>
      </c>
      <c r="D11" s="61">
        <f>IF(Tabelle51[[#Headers],[Wirtschaftlichkeitsabschätzung]]=Ueberblick[[#This Row],[analytischer Ansatz zur Verwertung technischer Potenziale]],1,0)</f>
        <v>0</v>
      </c>
      <c r="E11" s="87">
        <f>IF(Tabelle51[[#Headers],[keine Verwertung]]=Ueberblick[[#This Row],[analytischer Ansatz zur Verwertung technischer Potenziale]],1,0)</f>
        <v>0</v>
      </c>
      <c r="F11" s="61">
        <f>IF(Tabelle51[[#Headers],[kombinierter Ansatz]]=Ueberblick[[#This Row],[analytischer Ansatz zur Verwertung technischer Potenziale]],1,0)</f>
        <v>0</v>
      </c>
    </row>
    <row r="12" spans="1:6" ht="51" x14ac:dyDescent="0.25">
      <c r="A12" s="35" t="s">
        <v>380</v>
      </c>
      <c r="B12" s="42">
        <f>IF(Tabelle51[[#Headers],[Modellierung (Simulation)]]=Ueberblick[[#This Row],[analytischer Ansatz zur Verwertung technischer Potenziale]],1,0)</f>
        <v>0</v>
      </c>
      <c r="C12" s="61">
        <f>IF(Tabelle51[[#Headers],[Modellierung (Optimierung)]]=Ueberblick[[#This Row],[analytischer Ansatz zur Verwertung technischer Potenziale]],1,0)</f>
        <v>1</v>
      </c>
      <c r="D12" s="61">
        <f>IF(Tabelle51[[#Headers],[Wirtschaftlichkeitsabschätzung]]=Ueberblick[[#This Row],[analytischer Ansatz zur Verwertung technischer Potenziale]],1,0)</f>
        <v>0</v>
      </c>
      <c r="E12" s="87">
        <f>IF(Tabelle51[[#Headers],[keine Verwertung]]=Ueberblick[[#This Row],[analytischer Ansatz zur Verwertung technischer Potenziale]],1,0)</f>
        <v>0</v>
      </c>
      <c r="F12" s="61">
        <f>IF(Tabelle51[[#Headers],[kombinierter Ansatz]]=Ueberblick[[#This Row],[analytischer Ansatz zur Verwertung technischer Potenziale]],1,0)</f>
        <v>0</v>
      </c>
    </row>
    <row r="13" spans="1:6" ht="51" x14ac:dyDescent="0.25">
      <c r="A13" s="35" t="s">
        <v>95</v>
      </c>
      <c r="B13" s="42">
        <f>IF(Tabelle51[[#Headers],[Modellierung (Simulation)]]=Ueberblick[[#This Row],[analytischer Ansatz zur Verwertung technischer Potenziale]],1,0)</f>
        <v>1</v>
      </c>
      <c r="C13" s="61">
        <f>IF(Tabelle51[[#Headers],[Modellierung (Optimierung)]]=Ueberblick[[#This Row],[analytischer Ansatz zur Verwertung technischer Potenziale]],1,0)</f>
        <v>0</v>
      </c>
      <c r="D13" s="61">
        <f>IF(Tabelle51[[#Headers],[Wirtschaftlichkeitsabschätzung]]=Ueberblick[[#This Row],[analytischer Ansatz zur Verwertung technischer Potenziale]],1,0)</f>
        <v>0</v>
      </c>
      <c r="E13" s="87">
        <f>IF(Tabelle51[[#Headers],[keine Verwertung]]=Ueberblick[[#This Row],[analytischer Ansatz zur Verwertung technischer Potenziale]],1,0)</f>
        <v>0</v>
      </c>
      <c r="F13" s="61">
        <f>IF(Tabelle51[[#Headers],[kombinierter Ansatz]]=Ueberblick[[#This Row],[analytischer Ansatz zur Verwertung technischer Potenziale]],1,0)</f>
        <v>0</v>
      </c>
    </row>
    <row r="14" spans="1:6" ht="63.75" x14ac:dyDescent="0.25">
      <c r="A14" s="35" t="s">
        <v>1709</v>
      </c>
      <c r="B14" s="42">
        <f>IF(Tabelle51[[#Headers],[Modellierung (Simulation)]]=Ueberblick[[#This Row],[analytischer Ansatz zur Verwertung technischer Potenziale]],1,0)</f>
        <v>0</v>
      </c>
      <c r="C14" s="61">
        <f>IF(Tabelle51[[#Headers],[Modellierung (Optimierung)]]=Ueberblick[[#This Row],[analytischer Ansatz zur Verwertung technischer Potenziale]],1,0)</f>
        <v>0</v>
      </c>
      <c r="D14" s="61">
        <f>IF(Tabelle51[[#Headers],[Wirtschaftlichkeitsabschätzung]]=Ueberblick[[#This Row],[analytischer Ansatz zur Verwertung technischer Potenziale]],1,0)</f>
        <v>1</v>
      </c>
      <c r="E14" s="87">
        <f>IF(Tabelle51[[#Headers],[keine Verwertung]]=Ueberblick[[#This Row],[analytischer Ansatz zur Verwertung technischer Potenziale]],1,0)</f>
        <v>0</v>
      </c>
      <c r="F14" s="61">
        <f>IF(Tabelle51[[#Headers],[kombinierter Ansatz]]=Ueberblick[[#This Row],[analytischer Ansatz zur Verwertung technischer Potenziale]],1,0)</f>
        <v>0</v>
      </c>
    </row>
    <row r="15" spans="1:6" ht="25.5" x14ac:dyDescent="0.25">
      <c r="A15" s="35" t="s">
        <v>179</v>
      </c>
      <c r="B15" s="42">
        <f>IF(Tabelle51[[#Headers],[Modellierung (Simulation)]]=Ueberblick[[#This Row],[analytischer Ansatz zur Verwertung technischer Potenziale]],1,0)</f>
        <v>0</v>
      </c>
      <c r="C15" s="61">
        <f>IF(Tabelle51[[#Headers],[Modellierung (Optimierung)]]=Ueberblick[[#This Row],[analytischer Ansatz zur Verwertung technischer Potenziale]],1,0)</f>
        <v>0</v>
      </c>
      <c r="D15" s="61">
        <f>IF(Tabelle51[[#Headers],[Wirtschaftlichkeitsabschätzung]]=Ueberblick[[#This Row],[analytischer Ansatz zur Verwertung technischer Potenziale]],1,0)</f>
        <v>0</v>
      </c>
      <c r="E15" s="87">
        <f>IF(Tabelle51[[#Headers],[keine Verwertung]]=Ueberblick[[#This Row],[analytischer Ansatz zur Verwertung technischer Potenziale]],1,0)</f>
        <v>1</v>
      </c>
      <c r="F15" s="61">
        <f>IF(Tabelle51[[#Headers],[kombinierter Ansatz]]=Ueberblick[[#This Row],[analytischer Ansatz zur Verwertung technischer Potenziale]],1,0)</f>
        <v>0</v>
      </c>
    </row>
    <row r="16" spans="1:6" x14ac:dyDescent="0.25">
      <c r="A16" s="35" t="s">
        <v>341</v>
      </c>
      <c r="B16" s="42">
        <f>IF(Tabelle51[[#Headers],[Modellierung (Simulation)]]=Ueberblick[[#This Row],[analytischer Ansatz zur Verwertung technischer Potenziale]],1,0)</f>
        <v>0</v>
      </c>
      <c r="C16" s="61">
        <f>IF(Tabelle51[[#Headers],[Modellierung (Optimierung)]]=Ueberblick[[#This Row],[analytischer Ansatz zur Verwertung technischer Potenziale]],1,0)</f>
        <v>1</v>
      </c>
      <c r="D16" s="61">
        <f>IF(Tabelle51[[#Headers],[Wirtschaftlichkeitsabschätzung]]=Ueberblick[[#This Row],[analytischer Ansatz zur Verwertung technischer Potenziale]],1,0)</f>
        <v>0</v>
      </c>
      <c r="E16" s="87">
        <f>IF(Tabelle51[[#Headers],[keine Verwertung]]=Ueberblick[[#This Row],[analytischer Ansatz zur Verwertung technischer Potenziale]],1,0)</f>
        <v>0</v>
      </c>
      <c r="F16" s="61">
        <f>IF(Tabelle51[[#Headers],[kombinierter Ansatz]]=Ueberblick[[#This Row],[analytischer Ansatz zur Verwertung technischer Potenziale]],1,0)</f>
        <v>0</v>
      </c>
    </row>
    <row r="17" spans="1:6" ht="25.5" x14ac:dyDescent="0.25">
      <c r="A17" s="35" t="s">
        <v>22</v>
      </c>
      <c r="B17" s="42">
        <f>IF(Tabelle51[[#Headers],[Modellierung (Simulation)]]=Ueberblick[[#This Row],[analytischer Ansatz zur Verwertung technischer Potenziale]],1,0)</f>
        <v>0</v>
      </c>
      <c r="C17" s="61">
        <f>IF(Tabelle51[[#Headers],[Modellierung (Optimierung)]]=Ueberblick[[#This Row],[analytischer Ansatz zur Verwertung technischer Potenziale]],1,0)</f>
        <v>0</v>
      </c>
      <c r="D17" s="61">
        <f>IF(Tabelle51[[#Headers],[Wirtschaftlichkeitsabschätzung]]=Ueberblick[[#This Row],[analytischer Ansatz zur Verwertung technischer Potenziale]],1,0)</f>
        <v>0</v>
      </c>
      <c r="E17" s="87">
        <f>IF(Tabelle51[[#Headers],[keine Verwertung]]=Ueberblick[[#This Row],[analytischer Ansatz zur Verwertung technischer Potenziale]],1,0)</f>
        <v>1</v>
      </c>
      <c r="F17" s="61">
        <f>IF(Tabelle51[[#Headers],[kombinierter Ansatz]]=Ueberblick[[#This Row],[analytischer Ansatz zur Verwertung technischer Potenziale]],1,0)</f>
        <v>0</v>
      </c>
    </row>
    <row r="18" spans="1:6" ht="38.25" x14ac:dyDescent="0.25">
      <c r="A18" s="35" t="s">
        <v>188</v>
      </c>
      <c r="B18" s="42">
        <f>IF(Tabelle51[[#Headers],[Modellierung (Simulation)]]=Ueberblick[[#This Row],[analytischer Ansatz zur Verwertung technischer Potenziale]],1,0)</f>
        <v>0</v>
      </c>
      <c r="C18" s="61">
        <f>IF(Tabelle51[[#Headers],[Modellierung (Optimierung)]]=Ueberblick[[#This Row],[analytischer Ansatz zur Verwertung technischer Potenziale]],1,0)</f>
        <v>0</v>
      </c>
      <c r="D18" s="61">
        <f>IF(Tabelle51[[#Headers],[Wirtschaftlichkeitsabschätzung]]=Ueberblick[[#This Row],[analytischer Ansatz zur Verwertung technischer Potenziale]],1,0)</f>
        <v>0</v>
      </c>
      <c r="E18" s="87">
        <f>IF(Tabelle51[[#Headers],[keine Verwertung]]=Ueberblick[[#This Row],[analytischer Ansatz zur Verwertung technischer Potenziale]],1,0)</f>
        <v>1</v>
      </c>
      <c r="F18" s="61">
        <f>IF(Tabelle51[[#Headers],[kombinierter Ansatz]]=Ueberblick[[#This Row],[analytischer Ansatz zur Verwertung technischer Potenziale]],1,0)</f>
        <v>0</v>
      </c>
    </row>
    <row r="19" spans="1:6" ht="38.25" x14ac:dyDescent="0.25">
      <c r="A19" s="35" t="s">
        <v>133</v>
      </c>
      <c r="B19" s="42">
        <f>IF(Tabelle51[[#Headers],[Modellierung (Simulation)]]=Ueberblick[[#This Row],[analytischer Ansatz zur Verwertung technischer Potenziale]],1,0)</f>
        <v>0</v>
      </c>
      <c r="C19" s="61">
        <f>IF(Tabelle51[[#Headers],[Modellierung (Optimierung)]]=Ueberblick[[#This Row],[analytischer Ansatz zur Verwertung technischer Potenziale]],1,0)</f>
        <v>1</v>
      </c>
      <c r="D19" s="61">
        <f>IF(Tabelle51[[#Headers],[Wirtschaftlichkeitsabschätzung]]=Ueberblick[[#This Row],[analytischer Ansatz zur Verwertung technischer Potenziale]],1,0)</f>
        <v>0</v>
      </c>
      <c r="E19" s="87">
        <f>IF(Tabelle51[[#Headers],[keine Verwertung]]=Ueberblick[[#This Row],[analytischer Ansatz zur Verwertung technischer Potenziale]],1,0)</f>
        <v>0</v>
      </c>
      <c r="F19" s="61">
        <f>IF(Tabelle51[[#Headers],[kombinierter Ansatz]]=Ueberblick[[#This Row],[analytischer Ansatz zur Verwertung technischer Potenziale]],1,0)</f>
        <v>0</v>
      </c>
    </row>
    <row r="20" spans="1:6" ht="38.25" x14ac:dyDescent="0.25">
      <c r="A20" s="35" t="s">
        <v>10</v>
      </c>
      <c r="B20" s="42">
        <f>IF(Tabelle51[[#Headers],[Modellierung (Simulation)]]=Ueberblick[[#This Row],[analytischer Ansatz zur Verwertung technischer Potenziale]],1,0)</f>
        <v>0</v>
      </c>
      <c r="C20" s="61">
        <f>IF(Tabelle51[[#Headers],[Modellierung (Optimierung)]]=Ueberblick[[#This Row],[analytischer Ansatz zur Verwertung technischer Potenziale]],1,0)</f>
        <v>1</v>
      </c>
      <c r="D20" s="61">
        <f>IF(Tabelle51[[#Headers],[Wirtschaftlichkeitsabschätzung]]=Ueberblick[[#This Row],[analytischer Ansatz zur Verwertung technischer Potenziale]],1,0)</f>
        <v>0</v>
      </c>
      <c r="E20" s="87">
        <f>IF(Tabelle51[[#Headers],[keine Verwertung]]=Ueberblick[[#This Row],[analytischer Ansatz zur Verwertung technischer Potenziale]],1,0)</f>
        <v>0</v>
      </c>
      <c r="F20" s="61">
        <f>IF(Tabelle51[[#Headers],[kombinierter Ansatz]]=Ueberblick[[#This Row],[analytischer Ansatz zur Verwertung technischer Potenziale]],1,0)</f>
        <v>0</v>
      </c>
    </row>
    <row r="21" spans="1:6" ht="51" x14ac:dyDescent="0.25">
      <c r="A21" s="35" t="s">
        <v>832</v>
      </c>
      <c r="B21" s="42">
        <f>IF(Tabelle51[[#Headers],[Modellierung (Simulation)]]=Ueberblick[[#This Row],[analytischer Ansatz zur Verwertung technischer Potenziale]],1,0)</f>
        <v>0</v>
      </c>
      <c r="C21" s="61">
        <f>IF(Tabelle51[[#Headers],[Modellierung (Optimierung)]]=Ueberblick[[#This Row],[analytischer Ansatz zur Verwertung technischer Potenziale]],1,0)</f>
        <v>0</v>
      </c>
      <c r="D21" s="61">
        <f>IF(Tabelle51[[#Headers],[Wirtschaftlichkeitsabschätzung]]=Ueberblick[[#This Row],[analytischer Ansatz zur Verwertung technischer Potenziale]],1,0)</f>
        <v>1</v>
      </c>
      <c r="E21" s="87">
        <f>IF(Tabelle51[[#Headers],[keine Verwertung]]=Ueberblick[[#This Row],[analytischer Ansatz zur Verwertung technischer Potenziale]],1,0)</f>
        <v>0</v>
      </c>
      <c r="F21" s="61">
        <f>IF(Tabelle51[[#Headers],[kombinierter Ansatz]]=Ueberblick[[#This Row],[analytischer Ansatz zur Verwertung technischer Potenziale]],1,0)</f>
        <v>0</v>
      </c>
    </row>
    <row r="22" spans="1:6" x14ac:dyDescent="0.25">
      <c r="A22" s="35" t="s">
        <v>16</v>
      </c>
      <c r="B22" s="42">
        <f>IF(Tabelle51[[#Headers],[Modellierung (Simulation)]]=Ueberblick[[#This Row],[analytischer Ansatz zur Verwertung technischer Potenziale]],1,0)</f>
        <v>0</v>
      </c>
      <c r="C22" s="61">
        <f>IF(Tabelle51[[#Headers],[Modellierung (Optimierung)]]=Ueberblick[[#This Row],[analytischer Ansatz zur Verwertung technischer Potenziale]],1,0)</f>
        <v>1</v>
      </c>
      <c r="D22" s="61">
        <f>IF(Tabelle51[[#Headers],[Wirtschaftlichkeitsabschätzung]]=Ueberblick[[#This Row],[analytischer Ansatz zur Verwertung technischer Potenziale]],1,0)</f>
        <v>0</v>
      </c>
      <c r="E22" s="87">
        <f>IF(Tabelle51[[#Headers],[keine Verwertung]]=Ueberblick[[#This Row],[analytischer Ansatz zur Verwertung technischer Potenziale]],1,0)</f>
        <v>0</v>
      </c>
      <c r="F22" s="61">
        <f>IF(Tabelle51[[#Headers],[kombinierter Ansatz]]=Ueberblick[[#This Row],[analytischer Ansatz zur Verwertung technischer Potenziale]],1,0)</f>
        <v>0</v>
      </c>
    </row>
    <row r="23" spans="1:6" ht="38.25" x14ac:dyDescent="0.25">
      <c r="A23" s="35" t="s">
        <v>7</v>
      </c>
      <c r="B23" s="42">
        <f>IF(Tabelle51[[#Headers],[Modellierung (Simulation)]]=Ueberblick[[#This Row],[analytischer Ansatz zur Verwertung technischer Potenziale]],1,0)</f>
        <v>0</v>
      </c>
      <c r="C23" s="61">
        <f>IF(Tabelle51[[#Headers],[Modellierung (Optimierung)]]=Ueberblick[[#This Row],[analytischer Ansatz zur Verwertung technischer Potenziale]],1,0)</f>
        <v>0</v>
      </c>
      <c r="D23" s="61">
        <f>IF(Tabelle51[[#Headers],[Wirtschaftlichkeitsabschätzung]]=Ueberblick[[#This Row],[analytischer Ansatz zur Verwertung technischer Potenziale]],1,0)</f>
        <v>0</v>
      </c>
      <c r="E23" s="87">
        <f>IF(Tabelle51[[#Headers],[keine Verwertung]]=Ueberblick[[#This Row],[analytischer Ansatz zur Verwertung technischer Potenziale]],1,0)</f>
        <v>1</v>
      </c>
      <c r="F23" s="61">
        <f>IF(Tabelle51[[#Headers],[kombinierter Ansatz]]=Ueberblick[[#This Row],[analytischer Ansatz zur Verwertung technischer Potenziale]],1,0)</f>
        <v>0</v>
      </c>
    </row>
    <row r="24" spans="1:6" ht="25.5" x14ac:dyDescent="0.25">
      <c r="A24" s="35" t="s">
        <v>18</v>
      </c>
      <c r="B24" s="42">
        <f>IF(Tabelle51[[#Headers],[Modellierung (Simulation)]]=Ueberblick[[#This Row],[analytischer Ansatz zur Verwertung technischer Potenziale]],1,0)</f>
        <v>0</v>
      </c>
      <c r="C24" s="61">
        <f>IF(Tabelle51[[#Headers],[Modellierung (Optimierung)]]=Ueberblick[[#This Row],[analytischer Ansatz zur Verwertung technischer Potenziale]],1,0)</f>
        <v>1</v>
      </c>
      <c r="D24" s="61">
        <f>IF(Tabelle51[[#Headers],[Wirtschaftlichkeitsabschätzung]]=Ueberblick[[#This Row],[analytischer Ansatz zur Verwertung technischer Potenziale]],1,0)</f>
        <v>0</v>
      </c>
      <c r="E24" s="87">
        <f>IF(Tabelle51[[#Headers],[keine Verwertung]]=Ueberblick[[#This Row],[analytischer Ansatz zur Verwertung technischer Potenziale]],1,0)</f>
        <v>0</v>
      </c>
      <c r="F24" s="61">
        <f>IF(Tabelle51[[#Headers],[kombinierter Ansatz]]=Ueberblick[[#This Row],[analytischer Ansatz zur Verwertung technischer Potenziale]],1,0)</f>
        <v>0</v>
      </c>
    </row>
    <row r="25" spans="1:6" x14ac:dyDescent="0.25">
      <c r="A25" s="35" t="s">
        <v>338</v>
      </c>
      <c r="B25" s="42">
        <f>IF(Tabelle51[[#Headers],[Modellierung (Simulation)]]=Ueberblick[[#This Row],[analytischer Ansatz zur Verwertung technischer Potenziale]],1,0)</f>
        <v>0</v>
      </c>
      <c r="C25" s="61">
        <f>IF(Tabelle51[[#Headers],[Modellierung (Optimierung)]]=Ueberblick[[#This Row],[analytischer Ansatz zur Verwertung technischer Potenziale]],1,0)</f>
        <v>0</v>
      </c>
      <c r="D25" s="61">
        <f>IF(Tabelle51[[#Headers],[Wirtschaftlichkeitsabschätzung]]=Ueberblick[[#This Row],[analytischer Ansatz zur Verwertung technischer Potenziale]],1,0)</f>
        <v>0</v>
      </c>
      <c r="E25" s="87">
        <f>IF(Tabelle51[[#Headers],[keine Verwertung]]=Ueberblick[[#This Row],[analytischer Ansatz zur Verwertung technischer Potenziale]],1,0)</f>
        <v>1</v>
      </c>
      <c r="F25" s="61">
        <f>IF(Tabelle51[[#Headers],[kombinierter Ansatz]]=Ueberblick[[#This Row],[analytischer Ansatz zur Verwertung technischer Potenziale]],1,0)</f>
        <v>0</v>
      </c>
    </row>
    <row r="26" spans="1:6" ht="38.25" x14ac:dyDescent="0.25">
      <c r="A26" s="35" t="s">
        <v>351</v>
      </c>
      <c r="B26" s="42">
        <f>IF(Tabelle51[[#Headers],[Modellierung (Simulation)]]=Ueberblick[[#This Row],[analytischer Ansatz zur Verwertung technischer Potenziale]],1,0)</f>
        <v>0</v>
      </c>
      <c r="C26" s="61">
        <f>IF(Tabelle51[[#Headers],[Modellierung (Optimierung)]]=Ueberblick[[#This Row],[analytischer Ansatz zur Verwertung technischer Potenziale]],1,0)</f>
        <v>1</v>
      </c>
      <c r="D26" s="61">
        <f>IF(Tabelle51[[#Headers],[Wirtschaftlichkeitsabschätzung]]=Ueberblick[[#This Row],[analytischer Ansatz zur Verwertung technischer Potenziale]],1,0)</f>
        <v>0</v>
      </c>
      <c r="E26" s="87">
        <f>IF(Tabelle51[[#Headers],[keine Verwertung]]=Ueberblick[[#This Row],[analytischer Ansatz zur Verwertung technischer Potenziale]],1,0)</f>
        <v>0</v>
      </c>
      <c r="F26" s="61">
        <f>IF(Tabelle51[[#Headers],[kombinierter Ansatz]]=Ueberblick[[#This Row],[analytischer Ansatz zur Verwertung technischer Potenziale]],1,0)</f>
        <v>0</v>
      </c>
    </row>
    <row r="27" spans="1:6" ht="63.75" x14ac:dyDescent="0.25">
      <c r="A27" s="35" t="s">
        <v>24</v>
      </c>
      <c r="B27" s="42">
        <f>IF(Tabelle51[[#Headers],[Modellierung (Simulation)]]=Ueberblick[[#This Row],[analytischer Ansatz zur Verwertung technischer Potenziale]],1,0)</f>
        <v>0</v>
      </c>
      <c r="C27" s="61">
        <f>IF(Tabelle51[[#Headers],[Modellierung (Optimierung)]]=Ueberblick[[#This Row],[analytischer Ansatz zur Verwertung technischer Potenziale]],1,0)</f>
        <v>1</v>
      </c>
      <c r="D27" s="61">
        <f>IF(Tabelle51[[#Headers],[Wirtschaftlichkeitsabschätzung]]=Ueberblick[[#This Row],[analytischer Ansatz zur Verwertung technischer Potenziale]],1,0)</f>
        <v>0</v>
      </c>
      <c r="E27" s="87">
        <f>IF(Tabelle51[[#Headers],[keine Verwertung]]=Ueberblick[[#This Row],[analytischer Ansatz zur Verwertung technischer Potenziale]],1,0)</f>
        <v>0</v>
      </c>
      <c r="F27" s="61">
        <f>IF(Tabelle51[[#Headers],[kombinierter Ansatz]]=Ueberblick[[#This Row],[analytischer Ansatz zur Verwertung technischer Potenziale]],1,0)</f>
        <v>0</v>
      </c>
    </row>
    <row r="28" spans="1:6" x14ac:dyDescent="0.25">
      <c r="A28" s="18" t="s">
        <v>854</v>
      </c>
      <c r="B28" s="88">
        <f>SUM(B3:B27)</f>
        <v>5</v>
      </c>
      <c r="C28" s="88">
        <f t="shared" ref="C28:F28" si="0">SUM(C3:C27)</f>
        <v>11</v>
      </c>
      <c r="D28" s="88">
        <f t="shared" si="0"/>
        <v>3</v>
      </c>
      <c r="E28" s="90">
        <f t="shared" si="0"/>
        <v>6</v>
      </c>
      <c r="F28" s="90">
        <f t="shared" si="0"/>
        <v>0</v>
      </c>
    </row>
  </sheetData>
  <pageMargins left="0.7" right="0.7" top="0.78740157499999996" bottom="0.78740157499999996" header="0.3" footer="0.3"/>
  <pageSetup paperSize="9" orientation="portrait" r:id="rId1"/>
  <legacyDrawing r:id="rId2"/>
  <tableParts count="1">
    <tablePart r:id="rId3"/>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D1E77-22D3-410E-9D82-E2791366CC29}">
  <sheetPr codeName="Tabelle24">
    <tabColor theme="7" tint="0.79998168889431442"/>
  </sheetPr>
  <dimension ref="A1:F28"/>
  <sheetViews>
    <sheetView topLeftCell="A2" workbookViewId="0">
      <selection activeCell="H4" sqref="H4"/>
    </sheetView>
  </sheetViews>
  <sheetFormatPr baseColWidth="10" defaultRowHeight="15.75" x14ac:dyDescent="0.25"/>
  <cols>
    <col min="2" max="6" width="5.875" customWidth="1"/>
  </cols>
  <sheetData>
    <row r="1" spans="1:6" ht="89.25" hidden="1" x14ac:dyDescent="0.25">
      <c r="A1" s="3" t="s">
        <v>86</v>
      </c>
      <c r="B1" s="3" t="s">
        <v>159</v>
      </c>
      <c r="C1" s="3" t="s">
        <v>159</v>
      </c>
      <c r="D1" s="3" t="s">
        <v>159</v>
      </c>
      <c r="E1" s="89" t="s">
        <v>159</v>
      </c>
      <c r="F1" s="3" t="s">
        <v>159</v>
      </c>
    </row>
    <row r="2" spans="1:6" ht="131.25" customHeight="1" x14ac:dyDescent="0.25">
      <c r="A2" s="84" t="s">
        <v>1</v>
      </c>
      <c r="B2" s="53" t="s">
        <v>109</v>
      </c>
      <c r="C2" s="53" t="s">
        <v>110</v>
      </c>
      <c r="D2" s="53" t="s">
        <v>214</v>
      </c>
      <c r="E2" s="54" t="s">
        <v>158</v>
      </c>
      <c r="F2" s="43" t="s">
        <v>271</v>
      </c>
    </row>
    <row r="3" spans="1:6" ht="25.5" x14ac:dyDescent="0.25">
      <c r="A3" s="35" t="s">
        <v>12</v>
      </c>
      <c r="B3" s="42" t="str">
        <f>VLOOKUP(Tabelle51[[#This Row],[Modellierung (Simulation)]],Dropdown!$A$2:$D$4,4,FALSE)</f>
        <v>X</v>
      </c>
      <c r="C3" s="42" t="str">
        <f>VLOOKUP(Tabelle51[[#This Row],[Modellierung (Optimierung)]],Dropdown!$A$2:$D$4,4,FALSE)</f>
        <v>-</v>
      </c>
      <c r="D3" s="42" t="str">
        <f>VLOOKUP(Tabelle51[[#This Row],[Wirtschaftlichkeitsabschätzung]],Dropdown!$A$2:$D$4,4,FALSE)</f>
        <v>-</v>
      </c>
      <c r="E3" s="42" t="str">
        <f>VLOOKUP(Tabelle51[[#This Row],[keine Verwertung]],Dropdown!$A$2:$D$4,4,FALSE)</f>
        <v>-</v>
      </c>
      <c r="F3" s="42" t="str">
        <f>VLOOKUP(Tabelle51[[#This Row],[kombinierter Ansatz]],Dropdown!$A$2:$D$4,4,FALSE)</f>
        <v>-</v>
      </c>
    </row>
    <row r="4" spans="1:6" ht="25.5" x14ac:dyDescent="0.25">
      <c r="A4" s="35" t="s">
        <v>347</v>
      </c>
      <c r="B4" s="42" t="str">
        <f>VLOOKUP(Tabelle51[[#This Row],[Modellierung (Simulation)]],Dropdown!$A$2:$D$4,4,FALSE)</f>
        <v>X</v>
      </c>
      <c r="C4" s="42" t="str">
        <f>VLOOKUP(Tabelle51[[#This Row],[Modellierung (Optimierung)]],Dropdown!$A$2:$D$4,4,FALSE)</f>
        <v>-</v>
      </c>
      <c r="D4" s="42" t="str">
        <f>VLOOKUP(Tabelle51[[#This Row],[Wirtschaftlichkeitsabschätzung]],Dropdown!$A$2:$D$4,4,FALSE)</f>
        <v>-</v>
      </c>
      <c r="E4" s="42" t="str">
        <f>VLOOKUP(Tabelle51[[#This Row],[keine Verwertung]],Dropdown!$A$2:$D$4,4,FALSE)</f>
        <v>-</v>
      </c>
      <c r="F4" s="42" t="str">
        <f>VLOOKUP(Tabelle51[[#This Row],[kombinierter Ansatz]],Dropdown!$A$2:$D$4,4,FALSE)</f>
        <v>-</v>
      </c>
    </row>
    <row r="5" spans="1:6" ht="25.5" x14ac:dyDescent="0.25">
      <c r="A5" s="35" t="s">
        <v>348</v>
      </c>
      <c r="B5" s="42" t="str">
        <f>VLOOKUP(Tabelle51[[#This Row],[Modellierung (Simulation)]],Dropdown!$A$2:$D$4,4,FALSE)</f>
        <v>-</v>
      </c>
      <c r="C5" s="42" t="str">
        <f>VLOOKUP(Tabelle51[[#This Row],[Modellierung (Optimierung)]],Dropdown!$A$2:$D$4,4,FALSE)</f>
        <v>-</v>
      </c>
      <c r="D5" s="42" t="str">
        <f>VLOOKUP(Tabelle51[[#This Row],[Wirtschaftlichkeitsabschätzung]],Dropdown!$A$2:$D$4,4,FALSE)</f>
        <v>X</v>
      </c>
      <c r="E5" s="42" t="str">
        <f>VLOOKUP(Tabelle51[[#This Row],[keine Verwertung]],Dropdown!$A$2:$D$4,4,FALSE)</f>
        <v>-</v>
      </c>
      <c r="F5" s="42" t="str">
        <f>VLOOKUP(Tabelle51[[#This Row],[kombinierter Ansatz]],Dropdown!$A$2:$D$4,4,FALSE)</f>
        <v>-</v>
      </c>
    </row>
    <row r="6" spans="1:6" ht="25.5" x14ac:dyDescent="0.25">
      <c r="A6" s="35" t="s">
        <v>183</v>
      </c>
      <c r="B6" s="42" t="str">
        <f>VLOOKUP(Tabelle51[[#This Row],[Modellierung (Simulation)]],Dropdown!$A$2:$D$4,4,FALSE)</f>
        <v>-</v>
      </c>
      <c r="C6" s="42" t="str">
        <f>VLOOKUP(Tabelle51[[#This Row],[Modellierung (Optimierung)]],Dropdown!$A$2:$D$4,4,FALSE)</f>
        <v>-</v>
      </c>
      <c r="D6" s="42" t="str">
        <f>VLOOKUP(Tabelle51[[#This Row],[Wirtschaftlichkeitsabschätzung]],Dropdown!$A$2:$D$4,4,FALSE)</f>
        <v>-</v>
      </c>
      <c r="E6" s="42" t="str">
        <f>VLOOKUP(Tabelle51[[#This Row],[keine Verwertung]],Dropdown!$A$2:$D$4,4,FALSE)</f>
        <v>X</v>
      </c>
      <c r="F6" s="42" t="str">
        <f>VLOOKUP(Tabelle51[[#This Row],[kombinierter Ansatz]],Dropdown!$A$2:$D$4,4,FALSE)</f>
        <v>-</v>
      </c>
    </row>
    <row r="7" spans="1:6" ht="38.25" x14ac:dyDescent="0.25">
      <c r="A7" s="35" t="s">
        <v>258</v>
      </c>
      <c r="B7" s="42" t="str">
        <f>VLOOKUP(Tabelle51[[#This Row],[Modellierung (Simulation)]],Dropdown!$A$2:$D$4,4,FALSE)</f>
        <v>-</v>
      </c>
      <c r="C7" s="42" t="str">
        <f>VLOOKUP(Tabelle51[[#This Row],[Modellierung (Optimierung)]],Dropdown!$A$2:$D$4,4,FALSE)</f>
        <v>X</v>
      </c>
      <c r="D7" s="42" t="str">
        <f>VLOOKUP(Tabelle51[[#This Row],[Wirtschaftlichkeitsabschätzung]],Dropdown!$A$2:$D$4,4,FALSE)</f>
        <v>-</v>
      </c>
      <c r="E7" s="42" t="str">
        <f>VLOOKUP(Tabelle51[[#This Row],[keine Verwertung]],Dropdown!$A$2:$D$4,4,FALSE)</f>
        <v>-</v>
      </c>
      <c r="F7" s="42" t="str">
        <f>VLOOKUP(Tabelle51[[#This Row],[kombinierter Ansatz]],Dropdown!$A$2:$D$4,4,FALSE)</f>
        <v>-</v>
      </c>
    </row>
    <row r="8" spans="1:6" ht="25.5" x14ac:dyDescent="0.25">
      <c r="A8" s="35" t="s">
        <v>355</v>
      </c>
      <c r="B8" s="42" t="str">
        <f>VLOOKUP(Tabelle51[[#This Row],[Modellierung (Simulation)]],Dropdown!$A$2:$D$4,4,FALSE)</f>
        <v>X</v>
      </c>
      <c r="C8" s="42" t="str">
        <f>VLOOKUP(Tabelle51[[#This Row],[Modellierung (Optimierung)]],Dropdown!$A$2:$D$4,4,FALSE)</f>
        <v>-</v>
      </c>
      <c r="D8" s="42" t="str">
        <f>VLOOKUP(Tabelle51[[#This Row],[Wirtschaftlichkeitsabschätzung]],Dropdown!$A$2:$D$4,4,FALSE)</f>
        <v>-</v>
      </c>
      <c r="E8" s="42" t="str">
        <f>VLOOKUP(Tabelle51[[#This Row],[keine Verwertung]],Dropdown!$A$2:$D$4,4,FALSE)</f>
        <v>-</v>
      </c>
      <c r="F8" s="42" t="str">
        <f>VLOOKUP(Tabelle51[[#This Row],[kombinierter Ansatz]],Dropdown!$A$2:$D$4,4,FALSE)</f>
        <v>-</v>
      </c>
    </row>
    <row r="9" spans="1:6" ht="25.5" x14ac:dyDescent="0.25">
      <c r="A9" s="35" t="s">
        <v>431</v>
      </c>
      <c r="B9" s="42" t="str">
        <f>VLOOKUP(Tabelle51[[#This Row],[Modellierung (Simulation)]],Dropdown!$A$2:$D$4,4,FALSE)</f>
        <v>-</v>
      </c>
      <c r="C9" s="42" t="str">
        <f>VLOOKUP(Tabelle51[[#This Row],[Modellierung (Optimierung)]],Dropdown!$A$2:$D$4,4,FALSE)</f>
        <v>X</v>
      </c>
      <c r="D9" s="42" t="str">
        <f>VLOOKUP(Tabelle51[[#This Row],[Wirtschaftlichkeitsabschätzung]],Dropdown!$A$2:$D$4,4,FALSE)</f>
        <v>-</v>
      </c>
      <c r="E9" s="42" t="str">
        <f>VLOOKUP(Tabelle51[[#This Row],[keine Verwertung]],Dropdown!$A$2:$D$4,4,FALSE)</f>
        <v>-</v>
      </c>
      <c r="F9" s="42" t="str">
        <f>VLOOKUP(Tabelle51[[#This Row],[kombinierter Ansatz]],Dropdown!$A$2:$D$4,4,FALSE)</f>
        <v>-</v>
      </c>
    </row>
    <row r="10" spans="1:6" x14ac:dyDescent="0.25">
      <c r="A10" s="35" t="s">
        <v>410</v>
      </c>
      <c r="B10" s="42" t="str">
        <f>VLOOKUP(Tabelle51[[#This Row],[Modellierung (Simulation)]],Dropdown!$A$2:$D$4,4,FALSE)</f>
        <v>X</v>
      </c>
      <c r="C10" s="42" t="str">
        <f>VLOOKUP(Tabelle51[[#This Row],[Modellierung (Optimierung)]],Dropdown!$A$2:$D$4,4,FALSE)</f>
        <v>-</v>
      </c>
      <c r="D10" s="42" t="str">
        <f>VLOOKUP(Tabelle51[[#This Row],[Wirtschaftlichkeitsabschätzung]],Dropdown!$A$2:$D$4,4,FALSE)</f>
        <v>-</v>
      </c>
      <c r="E10" s="42" t="str">
        <f>VLOOKUP(Tabelle51[[#This Row],[keine Verwertung]],Dropdown!$A$2:$D$4,4,FALSE)</f>
        <v>-</v>
      </c>
      <c r="F10" s="42" t="str">
        <f>VLOOKUP(Tabelle51[[#This Row],[kombinierter Ansatz]],Dropdown!$A$2:$D$4,4,FALSE)</f>
        <v>-</v>
      </c>
    </row>
    <row r="11" spans="1:6" x14ac:dyDescent="0.25">
      <c r="A11" s="35" t="s">
        <v>393</v>
      </c>
      <c r="B11" s="42" t="str">
        <f>VLOOKUP(Tabelle51[[#This Row],[Modellierung (Simulation)]],Dropdown!$A$2:$D$4,4,FALSE)</f>
        <v>-</v>
      </c>
      <c r="C11" s="42" t="str">
        <f>VLOOKUP(Tabelle51[[#This Row],[Modellierung (Optimierung)]],Dropdown!$A$2:$D$4,4,FALSE)</f>
        <v>X</v>
      </c>
      <c r="D11" s="42" t="str">
        <f>VLOOKUP(Tabelle51[[#This Row],[Wirtschaftlichkeitsabschätzung]],Dropdown!$A$2:$D$4,4,FALSE)</f>
        <v>-</v>
      </c>
      <c r="E11" s="42" t="str">
        <f>VLOOKUP(Tabelle51[[#This Row],[keine Verwertung]],Dropdown!$A$2:$D$4,4,FALSE)</f>
        <v>-</v>
      </c>
      <c r="F11" s="42" t="str">
        <f>VLOOKUP(Tabelle51[[#This Row],[kombinierter Ansatz]],Dropdown!$A$2:$D$4,4,FALSE)</f>
        <v>-</v>
      </c>
    </row>
    <row r="12" spans="1:6" ht="51" x14ac:dyDescent="0.25">
      <c r="A12" s="35" t="s">
        <v>380</v>
      </c>
      <c r="B12" s="42" t="str">
        <f>VLOOKUP(Tabelle51[[#This Row],[Modellierung (Simulation)]],Dropdown!$A$2:$D$4,4,FALSE)</f>
        <v>-</v>
      </c>
      <c r="C12" s="42" t="str">
        <f>VLOOKUP(Tabelle51[[#This Row],[Modellierung (Optimierung)]],Dropdown!$A$2:$D$4,4,FALSE)</f>
        <v>X</v>
      </c>
      <c r="D12" s="42" t="str">
        <f>VLOOKUP(Tabelle51[[#This Row],[Wirtschaftlichkeitsabschätzung]],Dropdown!$A$2:$D$4,4,FALSE)</f>
        <v>-</v>
      </c>
      <c r="E12" s="42" t="str">
        <f>VLOOKUP(Tabelle51[[#This Row],[keine Verwertung]],Dropdown!$A$2:$D$4,4,FALSE)</f>
        <v>-</v>
      </c>
      <c r="F12" s="42" t="str">
        <f>VLOOKUP(Tabelle51[[#This Row],[kombinierter Ansatz]],Dropdown!$A$2:$D$4,4,FALSE)</f>
        <v>-</v>
      </c>
    </row>
    <row r="13" spans="1:6" ht="51" x14ac:dyDescent="0.25">
      <c r="A13" s="35" t="s">
        <v>95</v>
      </c>
      <c r="B13" s="42" t="str">
        <f>VLOOKUP(Tabelle51[[#This Row],[Modellierung (Simulation)]],Dropdown!$A$2:$D$4,4,FALSE)</f>
        <v>X</v>
      </c>
      <c r="C13" s="42" t="str">
        <f>VLOOKUP(Tabelle51[[#This Row],[Modellierung (Optimierung)]],Dropdown!$A$2:$D$4,4,FALSE)</f>
        <v>-</v>
      </c>
      <c r="D13" s="42" t="str">
        <f>VLOOKUP(Tabelle51[[#This Row],[Wirtschaftlichkeitsabschätzung]],Dropdown!$A$2:$D$4,4,FALSE)</f>
        <v>-</v>
      </c>
      <c r="E13" s="42" t="str">
        <f>VLOOKUP(Tabelle51[[#This Row],[keine Verwertung]],Dropdown!$A$2:$D$4,4,FALSE)</f>
        <v>-</v>
      </c>
      <c r="F13" s="42" t="str">
        <f>VLOOKUP(Tabelle51[[#This Row],[kombinierter Ansatz]],Dropdown!$A$2:$D$4,4,FALSE)</f>
        <v>-</v>
      </c>
    </row>
    <row r="14" spans="1:6" ht="63.75" x14ac:dyDescent="0.25">
      <c r="A14" s="35" t="s">
        <v>1709</v>
      </c>
      <c r="B14" s="42" t="str">
        <f>VLOOKUP(Tabelle51[[#This Row],[Modellierung (Simulation)]],Dropdown!$A$2:$D$4,4,FALSE)</f>
        <v>-</v>
      </c>
      <c r="C14" s="42" t="str">
        <f>VLOOKUP(Tabelle51[[#This Row],[Modellierung (Optimierung)]],Dropdown!$A$2:$D$4,4,FALSE)</f>
        <v>-</v>
      </c>
      <c r="D14" s="42" t="str">
        <f>VLOOKUP(Tabelle51[[#This Row],[Wirtschaftlichkeitsabschätzung]],Dropdown!$A$2:$D$4,4,FALSE)</f>
        <v>X</v>
      </c>
      <c r="E14" s="42" t="str">
        <f>VLOOKUP(Tabelle51[[#This Row],[keine Verwertung]],Dropdown!$A$2:$D$4,4,FALSE)</f>
        <v>-</v>
      </c>
      <c r="F14" s="42" t="str">
        <f>VLOOKUP(Tabelle51[[#This Row],[kombinierter Ansatz]],Dropdown!$A$2:$D$4,4,FALSE)</f>
        <v>-</v>
      </c>
    </row>
    <row r="15" spans="1:6" ht="25.5" x14ac:dyDescent="0.25">
      <c r="A15" s="35" t="s">
        <v>179</v>
      </c>
      <c r="B15" s="42" t="str">
        <f>VLOOKUP(Tabelle51[[#This Row],[Modellierung (Simulation)]],Dropdown!$A$2:$D$4,4,FALSE)</f>
        <v>-</v>
      </c>
      <c r="C15" s="42" t="str">
        <f>VLOOKUP(Tabelle51[[#This Row],[Modellierung (Optimierung)]],Dropdown!$A$2:$D$4,4,FALSE)</f>
        <v>-</v>
      </c>
      <c r="D15" s="42" t="str">
        <f>VLOOKUP(Tabelle51[[#This Row],[Wirtschaftlichkeitsabschätzung]],Dropdown!$A$2:$D$4,4,FALSE)</f>
        <v>-</v>
      </c>
      <c r="E15" s="42" t="str">
        <f>VLOOKUP(Tabelle51[[#This Row],[keine Verwertung]],Dropdown!$A$2:$D$4,4,FALSE)</f>
        <v>X</v>
      </c>
      <c r="F15" s="42" t="str">
        <f>VLOOKUP(Tabelle51[[#This Row],[kombinierter Ansatz]],Dropdown!$A$2:$D$4,4,FALSE)</f>
        <v>-</v>
      </c>
    </row>
    <row r="16" spans="1:6" x14ac:dyDescent="0.25">
      <c r="A16" s="35" t="s">
        <v>341</v>
      </c>
      <c r="B16" s="42" t="str">
        <f>VLOOKUP(Tabelle51[[#This Row],[Modellierung (Simulation)]],Dropdown!$A$2:$D$4,4,FALSE)</f>
        <v>-</v>
      </c>
      <c r="C16" s="42" t="str">
        <f>VLOOKUP(Tabelle51[[#This Row],[Modellierung (Optimierung)]],Dropdown!$A$2:$D$4,4,FALSE)</f>
        <v>X</v>
      </c>
      <c r="D16" s="42" t="str">
        <f>VLOOKUP(Tabelle51[[#This Row],[Wirtschaftlichkeitsabschätzung]],Dropdown!$A$2:$D$4,4,FALSE)</f>
        <v>-</v>
      </c>
      <c r="E16" s="42" t="str">
        <f>VLOOKUP(Tabelle51[[#This Row],[keine Verwertung]],Dropdown!$A$2:$D$4,4,FALSE)</f>
        <v>-</v>
      </c>
      <c r="F16" s="42" t="str">
        <f>VLOOKUP(Tabelle51[[#This Row],[kombinierter Ansatz]],Dropdown!$A$2:$D$4,4,FALSE)</f>
        <v>-</v>
      </c>
    </row>
    <row r="17" spans="1:6" ht="25.5" x14ac:dyDescent="0.25">
      <c r="A17" s="35" t="s">
        <v>22</v>
      </c>
      <c r="B17" s="42" t="str">
        <f>VLOOKUP(Tabelle51[[#This Row],[Modellierung (Simulation)]],Dropdown!$A$2:$D$4,4,FALSE)</f>
        <v>-</v>
      </c>
      <c r="C17" s="42" t="str">
        <f>VLOOKUP(Tabelle51[[#This Row],[Modellierung (Optimierung)]],Dropdown!$A$2:$D$4,4,FALSE)</f>
        <v>-</v>
      </c>
      <c r="D17" s="42" t="str">
        <f>VLOOKUP(Tabelle51[[#This Row],[Wirtschaftlichkeitsabschätzung]],Dropdown!$A$2:$D$4,4,FALSE)</f>
        <v>-</v>
      </c>
      <c r="E17" s="42" t="str">
        <f>VLOOKUP(Tabelle51[[#This Row],[keine Verwertung]],Dropdown!$A$2:$D$4,4,FALSE)</f>
        <v>X</v>
      </c>
      <c r="F17" s="42" t="str">
        <f>VLOOKUP(Tabelle51[[#This Row],[kombinierter Ansatz]],Dropdown!$A$2:$D$4,4,FALSE)</f>
        <v>-</v>
      </c>
    </row>
    <row r="18" spans="1:6" ht="38.25" x14ac:dyDescent="0.25">
      <c r="A18" s="35" t="s">
        <v>188</v>
      </c>
      <c r="B18" s="42" t="str">
        <f>VLOOKUP(Tabelle51[[#This Row],[Modellierung (Simulation)]],Dropdown!$A$2:$D$4,4,FALSE)</f>
        <v>-</v>
      </c>
      <c r="C18" s="42" t="str">
        <f>VLOOKUP(Tabelle51[[#This Row],[Modellierung (Optimierung)]],Dropdown!$A$2:$D$4,4,FALSE)</f>
        <v>-</v>
      </c>
      <c r="D18" s="42" t="str">
        <f>VLOOKUP(Tabelle51[[#This Row],[Wirtschaftlichkeitsabschätzung]],Dropdown!$A$2:$D$4,4,FALSE)</f>
        <v>-</v>
      </c>
      <c r="E18" s="42" t="str">
        <f>VLOOKUP(Tabelle51[[#This Row],[keine Verwertung]],Dropdown!$A$2:$D$4,4,FALSE)</f>
        <v>X</v>
      </c>
      <c r="F18" s="42" t="str">
        <f>VLOOKUP(Tabelle51[[#This Row],[kombinierter Ansatz]],Dropdown!$A$2:$D$4,4,FALSE)</f>
        <v>-</v>
      </c>
    </row>
    <row r="19" spans="1:6" ht="38.25" x14ac:dyDescent="0.25">
      <c r="A19" s="35" t="s">
        <v>133</v>
      </c>
      <c r="B19" s="42" t="str">
        <f>VLOOKUP(Tabelle51[[#This Row],[Modellierung (Simulation)]],Dropdown!$A$2:$D$4,4,FALSE)</f>
        <v>-</v>
      </c>
      <c r="C19" s="42" t="str">
        <f>VLOOKUP(Tabelle51[[#This Row],[Modellierung (Optimierung)]],Dropdown!$A$2:$D$4,4,FALSE)</f>
        <v>X</v>
      </c>
      <c r="D19" s="42" t="str">
        <f>VLOOKUP(Tabelle51[[#This Row],[Wirtschaftlichkeitsabschätzung]],Dropdown!$A$2:$D$4,4,FALSE)</f>
        <v>-</v>
      </c>
      <c r="E19" s="42" t="str">
        <f>VLOOKUP(Tabelle51[[#This Row],[keine Verwertung]],Dropdown!$A$2:$D$4,4,FALSE)</f>
        <v>-</v>
      </c>
      <c r="F19" s="42" t="str">
        <f>VLOOKUP(Tabelle51[[#This Row],[kombinierter Ansatz]],Dropdown!$A$2:$D$4,4,FALSE)</f>
        <v>-</v>
      </c>
    </row>
    <row r="20" spans="1:6" ht="38.25" x14ac:dyDescent="0.25">
      <c r="A20" s="35" t="s">
        <v>10</v>
      </c>
      <c r="B20" s="42" t="str">
        <f>VLOOKUP(Tabelle51[[#This Row],[Modellierung (Simulation)]],Dropdown!$A$2:$D$4,4,FALSE)</f>
        <v>-</v>
      </c>
      <c r="C20" s="42" t="str">
        <f>VLOOKUP(Tabelle51[[#This Row],[Modellierung (Optimierung)]],Dropdown!$A$2:$D$4,4,FALSE)</f>
        <v>X</v>
      </c>
      <c r="D20" s="42" t="str">
        <f>VLOOKUP(Tabelle51[[#This Row],[Wirtschaftlichkeitsabschätzung]],Dropdown!$A$2:$D$4,4,FALSE)</f>
        <v>-</v>
      </c>
      <c r="E20" s="42" t="str">
        <f>VLOOKUP(Tabelle51[[#This Row],[keine Verwertung]],Dropdown!$A$2:$D$4,4,FALSE)</f>
        <v>-</v>
      </c>
      <c r="F20" s="42" t="str">
        <f>VLOOKUP(Tabelle51[[#This Row],[kombinierter Ansatz]],Dropdown!$A$2:$D$4,4,FALSE)</f>
        <v>-</v>
      </c>
    </row>
    <row r="21" spans="1:6" ht="51" x14ac:dyDescent="0.25">
      <c r="A21" s="35" t="s">
        <v>832</v>
      </c>
      <c r="B21" s="42" t="str">
        <f>VLOOKUP(Tabelle51[[#This Row],[Modellierung (Simulation)]],Dropdown!$A$2:$D$4,4,FALSE)</f>
        <v>-</v>
      </c>
      <c r="C21" s="42" t="str">
        <f>VLOOKUP(Tabelle51[[#This Row],[Modellierung (Optimierung)]],Dropdown!$A$2:$D$4,4,FALSE)</f>
        <v>-</v>
      </c>
      <c r="D21" s="42" t="str">
        <f>VLOOKUP(Tabelle51[[#This Row],[Wirtschaftlichkeitsabschätzung]],Dropdown!$A$2:$D$4,4,FALSE)</f>
        <v>X</v>
      </c>
      <c r="E21" s="42" t="str">
        <f>VLOOKUP(Tabelle51[[#This Row],[keine Verwertung]],Dropdown!$A$2:$D$4,4,FALSE)</f>
        <v>-</v>
      </c>
      <c r="F21" s="42" t="str">
        <f>VLOOKUP(Tabelle51[[#This Row],[kombinierter Ansatz]],Dropdown!$A$2:$D$4,4,FALSE)</f>
        <v>-</v>
      </c>
    </row>
    <row r="22" spans="1:6" x14ac:dyDescent="0.25">
      <c r="A22" s="35" t="s">
        <v>16</v>
      </c>
      <c r="B22" s="42" t="str">
        <f>VLOOKUP(Tabelle51[[#This Row],[Modellierung (Simulation)]],Dropdown!$A$2:$D$4,4,FALSE)</f>
        <v>-</v>
      </c>
      <c r="C22" s="42" t="str">
        <f>VLOOKUP(Tabelle51[[#This Row],[Modellierung (Optimierung)]],Dropdown!$A$2:$D$4,4,FALSE)</f>
        <v>X</v>
      </c>
      <c r="D22" s="42" t="str">
        <f>VLOOKUP(Tabelle51[[#This Row],[Wirtschaftlichkeitsabschätzung]],Dropdown!$A$2:$D$4,4,FALSE)</f>
        <v>-</v>
      </c>
      <c r="E22" s="42" t="str">
        <f>VLOOKUP(Tabelle51[[#This Row],[keine Verwertung]],Dropdown!$A$2:$D$4,4,FALSE)</f>
        <v>-</v>
      </c>
      <c r="F22" s="42" t="str">
        <f>VLOOKUP(Tabelle51[[#This Row],[kombinierter Ansatz]],Dropdown!$A$2:$D$4,4,FALSE)</f>
        <v>-</v>
      </c>
    </row>
    <row r="23" spans="1:6" ht="38.25" x14ac:dyDescent="0.25">
      <c r="A23" s="35" t="s">
        <v>7</v>
      </c>
      <c r="B23" s="42" t="str">
        <f>VLOOKUP(Tabelle51[[#This Row],[Modellierung (Simulation)]],Dropdown!$A$2:$D$4,4,FALSE)</f>
        <v>-</v>
      </c>
      <c r="C23" s="42" t="str">
        <f>VLOOKUP(Tabelle51[[#This Row],[Modellierung (Optimierung)]],Dropdown!$A$2:$D$4,4,FALSE)</f>
        <v>-</v>
      </c>
      <c r="D23" s="42" t="str">
        <f>VLOOKUP(Tabelle51[[#This Row],[Wirtschaftlichkeitsabschätzung]],Dropdown!$A$2:$D$4,4,FALSE)</f>
        <v>-</v>
      </c>
      <c r="E23" s="42" t="str">
        <f>VLOOKUP(Tabelle51[[#This Row],[keine Verwertung]],Dropdown!$A$2:$D$4,4,FALSE)</f>
        <v>X</v>
      </c>
      <c r="F23" s="42" t="str">
        <f>VLOOKUP(Tabelle51[[#This Row],[kombinierter Ansatz]],Dropdown!$A$2:$D$4,4,FALSE)</f>
        <v>-</v>
      </c>
    </row>
    <row r="24" spans="1:6" ht="25.5" x14ac:dyDescent="0.25">
      <c r="A24" s="35" t="s">
        <v>18</v>
      </c>
      <c r="B24" s="42" t="str">
        <f>VLOOKUP(Tabelle51[[#This Row],[Modellierung (Simulation)]],Dropdown!$A$2:$D$4,4,FALSE)</f>
        <v>-</v>
      </c>
      <c r="C24" s="42" t="str">
        <f>VLOOKUP(Tabelle51[[#This Row],[Modellierung (Optimierung)]],Dropdown!$A$2:$D$4,4,FALSE)</f>
        <v>X</v>
      </c>
      <c r="D24" s="42" t="str">
        <f>VLOOKUP(Tabelle51[[#This Row],[Wirtschaftlichkeitsabschätzung]],Dropdown!$A$2:$D$4,4,FALSE)</f>
        <v>-</v>
      </c>
      <c r="E24" s="42" t="str">
        <f>VLOOKUP(Tabelle51[[#This Row],[keine Verwertung]],Dropdown!$A$2:$D$4,4,FALSE)</f>
        <v>-</v>
      </c>
      <c r="F24" s="42" t="str">
        <f>VLOOKUP(Tabelle51[[#This Row],[kombinierter Ansatz]],Dropdown!$A$2:$D$4,4,FALSE)</f>
        <v>-</v>
      </c>
    </row>
    <row r="25" spans="1:6" x14ac:dyDescent="0.25">
      <c r="A25" s="35" t="s">
        <v>338</v>
      </c>
      <c r="B25" s="42" t="str">
        <f>VLOOKUP(Tabelle51[[#This Row],[Modellierung (Simulation)]],Dropdown!$A$2:$D$4,4,FALSE)</f>
        <v>-</v>
      </c>
      <c r="C25" s="42" t="str">
        <f>VLOOKUP(Tabelle51[[#This Row],[Modellierung (Optimierung)]],Dropdown!$A$2:$D$4,4,FALSE)</f>
        <v>-</v>
      </c>
      <c r="D25" s="42" t="str">
        <f>VLOOKUP(Tabelle51[[#This Row],[Wirtschaftlichkeitsabschätzung]],Dropdown!$A$2:$D$4,4,FALSE)</f>
        <v>-</v>
      </c>
      <c r="E25" s="42" t="str">
        <f>VLOOKUP(Tabelle51[[#This Row],[keine Verwertung]],Dropdown!$A$2:$D$4,4,FALSE)</f>
        <v>X</v>
      </c>
      <c r="F25" s="42" t="str">
        <f>VLOOKUP(Tabelle51[[#This Row],[kombinierter Ansatz]],Dropdown!$A$2:$D$4,4,FALSE)</f>
        <v>-</v>
      </c>
    </row>
    <row r="26" spans="1:6" ht="38.25" x14ac:dyDescent="0.25">
      <c r="A26" s="35" t="s">
        <v>351</v>
      </c>
      <c r="B26" s="42" t="str">
        <f>VLOOKUP(Tabelle51[[#This Row],[Modellierung (Simulation)]],Dropdown!$A$2:$D$4,4,FALSE)</f>
        <v>-</v>
      </c>
      <c r="C26" s="42" t="str">
        <f>VLOOKUP(Tabelle51[[#This Row],[Modellierung (Optimierung)]],Dropdown!$A$2:$D$4,4,FALSE)</f>
        <v>X</v>
      </c>
      <c r="D26" s="42" t="str">
        <f>VLOOKUP(Tabelle51[[#This Row],[Wirtschaftlichkeitsabschätzung]],Dropdown!$A$2:$D$4,4,FALSE)</f>
        <v>-</v>
      </c>
      <c r="E26" s="42" t="str">
        <f>VLOOKUP(Tabelle51[[#This Row],[keine Verwertung]],Dropdown!$A$2:$D$4,4,FALSE)</f>
        <v>-</v>
      </c>
      <c r="F26" s="42" t="str">
        <f>VLOOKUP(Tabelle51[[#This Row],[kombinierter Ansatz]],Dropdown!$A$2:$D$4,4,FALSE)</f>
        <v>-</v>
      </c>
    </row>
    <row r="27" spans="1:6" ht="63.75" x14ac:dyDescent="0.25">
      <c r="A27" s="35" t="s">
        <v>24</v>
      </c>
      <c r="B27" s="42" t="str">
        <f>VLOOKUP(Tabelle51[[#This Row],[Modellierung (Simulation)]],Dropdown!$A$2:$D$4,4,FALSE)</f>
        <v>-</v>
      </c>
      <c r="C27" s="42" t="str">
        <f>VLOOKUP(Tabelle51[[#This Row],[Modellierung (Optimierung)]],Dropdown!$A$2:$D$4,4,FALSE)</f>
        <v>X</v>
      </c>
      <c r="D27" s="42" t="str">
        <f>VLOOKUP(Tabelle51[[#This Row],[Wirtschaftlichkeitsabschätzung]],Dropdown!$A$2:$D$4,4,FALSE)</f>
        <v>-</v>
      </c>
      <c r="E27" s="42" t="str">
        <f>VLOOKUP(Tabelle51[[#This Row],[keine Verwertung]],Dropdown!$A$2:$D$4,4,FALSE)</f>
        <v>-</v>
      </c>
      <c r="F27" s="42" t="str">
        <f>VLOOKUP(Tabelle51[[#This Row],[kombinierter Ansatz]],Dropdown!$A$2:$D$4,4,FALSE)</f>
        <v>-</v>
      </c>
    </row>
    <row r="28" spans="1:6" x14ac:dyDescent="0.25">
      <c r="A28" s="18" t="s">
        <v>854</v>
      </c>
      <c r="B28" s="88">
        <f>Tabelle51[[#This Row],[Modellierung (Simulation)]]</f>
        <v>5</v>
      </c>
      <c r="C28" s="88">
        <f>Tabelle51[[#This Row],[Modellierung (Optimierung)]]</f>
        <v>11</v>
      </c>
      <c r="D28" s="88">
        <f>Tabelle51[[#This Row],[Wirtschaftlichkeitsabschätzung]]</f>
        <v>3</v>
      </c>
      <c r="E28" s="88">
        <f>Tabelle51[[#This Row],[keine Verwertung]]</f>
        <v>6</v>
      </c>
      <c r="F28" s="88">
        <f>Tabelle51[[#This Row],[kombinierter Ansatz]]</f>
        <v>0</v>
      </c>
    </row>
  </sheetData>
  <pageMargins left="0.7" right="0.7" top="0.78740157499999996" bottom="0.78740157499999996" header="0.3" footer="0.3"/>
  <pageSetup paperSize="9" orientation="portrait"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D94A3-8ACD-441A-A22E-3D5E87363573}">
  <sheetPr codeName="Tabelle25">
    <tabColor theme="7" tint="0.79998168889431442"/>
  </sheetPr>
  <dimension ref="A1:F28"/>
  <sheetViews>
    <sheetView topLeftCell="A2" workbookViewId="0">
      <selection activeCell="G2" sqref="G2"/>
    </sheetView>
  </sheetViews>
  <sheetFormatPr baseColWidth="10" defaultRowHeight="15.75" x14ac:dyDescent="0.25"/>
  <cols>
    <col min="2" max="5" width="5.875" customWidth="1"/>
    <col min="6" max="6" width="5.875" hidden="1" customWidth="1"/>
  </cols>
  <sheetData>
    <row r="1" spans="1:6" ht="89.25" hidden="1" x14ac:dyDescent="0.25">
      <c r="A1" s="3" t="s">
        <v>86</v>
      </c>
      <c r="B1" s="3" t="s">
        <v>159</v>
      </c>
      <c r="C1" s="3" t="s">
        <v>159</v>
      </c>
      <c r="D1" s="3" t="s">
        <v>159</v>
      </c>
      <c r="E1" s="89" t="s">
        <v>159</v>
      </c>
      <c r="F1" s="3" t="s">
        <v>159</v>
      </c>
    </row>
    <row r="2" spans="1:6" ht="131.25" customHeight="1" x14ac:dyDescent="0.25">
      <c r="A2" s="84" t="s">
        <v>1</v>
      </c>
      <c r="B2" s="53" t="s">
        <v>109</v>
      </c>
      <c r="C2" s="53" t="s">
        <v>110</v>
      </c>
      <c r="D2" s="53" t="s">
        <v>214</v>
      </c>
      <c r="E2" s="54" t="s">
        <v>158</v>
      </c>
      <c r="F2" s="43" t="s">
        <v>271</v>
      </c>
    </row>
    <row r="3" spans="1:6" ht="25.5" x14ac:dyDescent="0.25">
      <c r="A3" s="35" t="s">
        <v>12</v>
      </c>
      <c r="B3" s="42" t="str">
        <f>VLOOKUP(Tabelle51[[#This Row],[Modellierung (Simulation)]],Dropdown!$A$2:$D$4,4,FALSE)</f>
        <v>X</v>
      </c>
      <c r="C3" s="42" t="str">
        <f>VLOOKUP(Tabelle51[[#This Row],[Modellierung (Optimierung)]],Dropdown!$A$2:$D$4,4,FALSE)</f>
        <v>-</v>
      </c>
      <c r="D3" s="42" t="str">
        <f>VLOOKUP(Tabelle51[[#This Row],[Wirtschaftlichkeitsabschätzung]],Dropdown!$A$2:$D$4,4,FALSE)</f>
        <v>-</v>
      </c>
      <c r="E3" s="42" t="str">
        <f>VLOOKUP(Tabelle51[[#This Row],[keine Verwertung]],Dropdown!$A$2:$D$4,4,FALSE)</f>
        <v>-</v>
      </c>
      <c r="F3" s="42" t="str">
        <f>VLOOKUP(Tabelle51[[#This Row],[kombinierter Ansatz]],Dropdown!$A$2:$D$4,4,FALSE)</f>
        <v>-</v>
      </c>
    </row>
    <row r="4" spans="1:6" ht="25.5" x14ac:dyDescent="0.25">
      <c r="A4" s="35" t="s">
        <v>347</v>
      </c>
      <c r="B4" s="42" t="str">
        <f>VLOOKUP(Tabelle51[[#This Row],[Modellierung (Simulation)]],Dropdown!$A$2:$D$4,4,FALSE)</f>
        <v>X</v>
      </c>
      <c r="C4" s="42" t="str">
        <f>VLOOKUP(Tabelle51[[#This Row],[Modellierung (Optimierung)]],Dropdown!$A$2:$D$4,4,FALSE)</f>
        <v>-</v>
      </c>
      <c r="D4" s="42" t="str">
        <f>VLOOKUP(Tabelle51[[#This Row],[Wirtschaftlichkeitsabschätzung]],Dropdown!$A$2:$D$4,4,FALSE)</f>
        <v>-</v>
      </c>
      <c r="E4" s="42" t="str">
        <f>VLOOKUP(Tabelle51[[#This Row],[keine Verwertung]],Dropdown!$A$2:$D$4,4,FALSE)</f>
        <v>-</v>
      </c>
      <c r="F4" s="42" t="str">
        <f>VLOOKUP(Tabelle51[[#This Row],[kombinierter Ansatz]],Dropdown!$A$2:$D$4,4,FALSE)</f>
        <v>-</v>
      </c>
    </row>
    <row r="5" spans="1:6" ht="25.5" x14ac:dyDescent="0.25">
      <c r="A5" s="35" t="s">
        <v>348</v>
      </c>
      <c r="B5" s="42" t="str">
        <f>VLOOKUP(Tabelle51[[#This Row],[Modellierung (Simulation)]],Dropdown!$A$2:$D$4,4,FALSE)</f>
        <v>-</v>
      </c>
      <c r="C5" s="42" t="str">
        <f>VLOOKUP(Tabelle51[[#This Row],[Modellierung (Optimierung)]],Dropdown!$A$2:$D$4,4,FALSE)</f>
        <v>-</v>
      </c>
      <c r="D5" s="42" t="str">
        <f>VLOOKUP(Tabelle51[[#This Row],[Wirtschaftlichkeitsabschätzung]],Dropdown!$A$2:$D$4,4,FALSE)</f>
        <v>X</v>
      </c>
      <c r="E5" s="42" t="str">
        <f>VLOOKUP(Tabelle51[[#This Row],[keine Verwertung]],Dropdown!$A$2:$D$4,4,FALSE)</f>
        <v>-</v>
      </c>
      <c r="F5" s="42" t="str">
        <f>VLOOKUP(Tabelle51[[#This Row],[kombinierter Ansatz]],Dropdown!$A$2:$D$4,4,FALSE)</f>
        <v>-</v>
      </c>
    </row>
    <row r="6" spans="1:6" ht="25.5" x14ac:dyDescent="0.25">
      <c r="A6" s="35" t="s">
        <v>183</v>
      </c>
      <c r="B6" s="42" t="str">
        <f>VLOOKUP(Tabelle51[[#This Row],[Modellierung (Simulation)]],Dropdown!$A$2:$D$4,4,FALSE)</f>
        <v>-</v>
      </c>
      <c r="C6" s="42" t="str">
        <f>VLOOKUP(Tabelle51[[#This Row],[Modellierung (Optimierung)]],Dropdown!$A$2:$D$4,4,FALSE)</f>
        <v>-</v>
      </c>
      <c r="D6" s="42" t="str">
        <f>VLOOKUP(Tabelle51[[#This Row],[Wirtschaftlichkeitsabschätzung]],Dropdown!$A$2:$D$4,4,FALSE)</f>
        <v>-</v>
      </c>
      <c r="E6" s="42" t="str">
        <f>VLOOKUP(Tabelle51[[#This Row],[keine Verwertung]],Dropdown!$A$2:$D$4,4,FALSE)</f>
        <v>X</v>
      </c>
      <c r="F6" s="42" t="str">
        <f>VLOOKUP(Tabelle51[[#This Row],[kombinierter Ansatz]],Dropdown!$A$2:$D$4,4,FALSE)</f>
        <v>-</v>
      </c>
    </row>
    <row r="7" spans="1:6" ht="38.25" x14ac:dyDescent="0.25">
      <c r="A7" s="35" t="s">
        <v>258</v>
      </c>
      <c r="B7" s="42" t="str">
        <f>VLOOKUP(Tabelle51[[#This Row],[Modellierung (Simulation)]],Dropdown!$A$2:$D$4,4,FALSE)</f>
        <v>-</v>
      </c>
      <c r="C7" s="42" t="str">
        <f>VLOOKUP(Tabelle51[[#This Row],[Modellierung (Optimierung)]],Dropdown!$A$2:$D$4,4,FALSE)</f>
        <v>X</v>
      </c>
      <c r="D7" s="42" t="str">
        <f>VLOOKUP(Tabelle51[[#This Row],[Wirtschaftlichkeitsabschätzung]],Dropdown!$A$2:$D$4,4,FALSE)</f>
        <v>-</v>
      </c>
      <c r="E7" s="42" t="str">
        <f>VLOOKUP(Tabelle51[[#This Row],[keine Verwertung]],Dropdown!$A$2:$D$4,4,FALSE)</f>
        <v>-</v>
      </c>
      <c r="F7" s="42" t="str">
        <f>VLOOKUP(Tabelle51[[#This Row],[kombinierter Ansatz]],Dropdown!$A$2:$D$4,4,FALSE)</f>
        <v>-</v>
      </c>
    </row>
    <row r="8" spans="1:6" ht="25.5" x14ac:dyDescent="0.25">
      <c r="A8" s="35" t="s">
        <v>355</v>
      </c>
      <c r="B8" s="42" t="str">
        <f>VLOOKUP(Tabelle51[[#This Row],[Modellierung (Simulation)]],Dropdown!$A$2:$D$4,4,FALSE)</f>
        <v>X</v>
      </c>
      <c r="C8" s="42" t="str">
        <f>VLOOKUP(Tabelle51[[#This Row],[Modellierung (Optimierung)]],Dropdown!$A$2:$D$4,4,FALSE)</f>
        <v>-</v>
      </c>
      <c r="D8" s="42" t="str">
        <f>VLOOKUP(Tabelle51[[#This Row],[Wirtschaftlichkeitsabschätzung]],Dropdown!$A$2:$D$4,4,FALSE)</f>
        <v>-</v>
      </c>
      <c r="E8" s="42" t="str">
        <f>VLOOKUP(Tabelle51[[#This Row],[keine Verwertung]],Dropdown!$A$2:$D$4,4,FALSE)</f>
        <v>-</v>
      </c>
      <c r="F8" s="42" t="str">
        <f>VLOOKUP(Tabelle51[[#This Row],[kombinierter Ansatz]],Dropdown!$A$2:$D$4,4,FALSE)</f>
        <v>-</v>
      </c>
    </row>
    <row r="9" spans="1:6" ht="25.5" x14ac:dyDescent="0.25">
      <c r="A9" s="35" t="s">
        <v>431</v>
      </c>
      <c r="B9" s="42" t="str">
        <f>VLOOKUP(Tabelle51[[#This Row],[Modellierung (Simulation)]],Dropdown!$A$2:$D$4,4,FALSE)</f>
        <v>-</v>
      </c>
      <c r="C9" s="42" t="str">
        <f>VLOOKUP(Tabelle51[[#This Row],[Modellierung (Optimierung)]],Dropdown!$A$2:$D$4,4,FALSE)</f>
        <v>X</v>
      </c>
      <c r="D9" s="42" t="str">
        <f>VLOOKUP(Tabelle51[[#This Row],[Wirtschaftlichkeitsabschätzung]],Dropdown!$A$2:$D$4,4,FALSE)</f>
        <v>-</v>
      </c>
      <c r="E9" s="42" t="str">
        <f>VLOOKUP(Tabelle51[[#This Row],[keine Verwertung]],Dropdown!$A$2:$D$4,4,FALSE)</f>
        <v>-</v>
      </c>
      <c r="F9" s="42" t="str">
        <f>VLOOKUP(Tabelle51[[#This Row],[kombinierter Ansatz]],Dropdown!$A$2:$D$4,4,FALSE)</f>
        <v>-</v>
      </c>
    </row>
    <row r="10" spans="1:6" x14ac:dyDescent="0.25">
      <c r="A10" s="35" t="s">
        <v>410</v>
      </c>
      <c r="B10" s="42" t="str">
        <f>VLOOKUP(Tabelle51[[#This Row],[Modellierung (Simulation)]],Dropdown!$A$2:$D$4,4,FALSE)</f>
        <v>X</v>
      </c>
      <c r="C10" s="42" t="str">
        <f>VLOOKUP(Tabelle51[[#This Row],[Modellierung (Optimierung)]],Dropdown!$A$2:$D$4,4,FALSE)</f>
        <v>-</v>
      </c>
      <c r="D10" s="42" t="str">
        <f>VLOOKUP(Tabelle51[[#This Row],[Wirtschaftlichkeitsabschätzung]],Dropdown!$A$2:$D$4,4,FALSE)</f>
        <v>-</v>
      </c>
      <c r="E10" s="42" t="str">
        <f>VLOOKUP(Tabelle51[[#This Row],[keine Verwertung]],Dropdown!$A$2:$D$4,4,FALSE)</f>
        <v>-</v>
      </c>
      <c r="F10" s="42" t="str">
        <f>VLOOKUP(Tabelle51[[#This Row],[kombinierter Ansatz]],Dropdown!$A$2:$D$4,4,FALSE)</f>
        <v>-</v>
      </c>
    </row>
    <row r="11" spans="1:6" x14ac:dyDescent="0.25">
      <c r="A11" s="35" t="s">
        <v>393</v>
      </c>
      <c r="B11" s="42" t="str">
        <f>VLOOKUP(Tabelle51[[#This Row],[Modellierung (Simulation)]],Dropdown!$A$2:$D$4,4,FALSE)</f>
        <v>-</v>
      </c>
      <c r="C11" s="42" t="str">
        <f>VLOOKUP(Tabelle51[[#This Row],[Modellierung (Optimierung)]],Dropdown!$A$2:$D$4,4,FALSE)</f>
        <v>X</v>
      </c>
      <c r="D11" s="42" t="str">
        <f>VLOOKUP(Tabelle51[[#This Row],[Wirtschaftlichkeitsabschätzung]],Dropdown!$A$2:$D$4,4,FALSE)</f>
        <v>-</v>
      </c>
      <c r="E11" s="42" t="str">
        <f>VLOOKUP(Tabelle51[[#This Row],[keine Verwertung]],Dropdown!$A$2:$D$4,4,FALSE)</f>
        <v>-</v>
      </c>
      <c r="F11" s="42" t="str">
        <f>VLOOKUP(Tabelle51[[#This Row],[kombinierter Ansatz]],Dropdown!$A$2:$D$4,4,FALSE)</f>
        <v>-</v>
      </c>
    </row>
    <row r="12" spans="1:6" ht="51" x14ac:dyDescent="0.25">
      <c r="A12" s="35" t="s">
        <v>380</v>
      </c>
      <c r="B12" s="42" t="str">
        <f>VLOOKUP(Tabelle51[[#This Row],[Modellierung (Simulation)]],Dropdown!$A$2:$D$4,4,FALSE)</f>
        <v>-</v>
      </c>
      <c r="C12" s="42" t="str">
        <f>VLOOKUP(Tabelle51[[#This Row],[Modellierung (Optimierung)]],Dropdown!$A$2:$D$4,4,FALSE)</f>
        <v>X</v>
      </c>
      <c r="D12" s="42" t="str">
        <f>VLOOKUP(Tabelle51[[#This Row],[Wirtschaftlichkeitsabschätzung]],Dropdown!$A$2:$D$4,4,FALSE)</f>
        <v>-</v>
      </c>
      <c r="E12" s="42" t="str">
        <f>VLOOKUP(Tabelle51[[#This Row],[keine Verwertung]],Dropdown!$A$2:$D$4,4,FALSE)</f>
        <v>-</v>
      </c>
      <c r="F12" s="42" t="str">
        <f>VLOOKUP(Tabelle51[[#This Row],[kombinierter Ansatz]],Dropdown!$A$2:$D$4,4,FALSE)</f>
        <v>-</v>
      </c>
    </row>
    <row r="13" spans="1:6" ht="51" x14ac:dyDescent="0.25">
      <c r="A13" s="35" t="s">
        <v>95</v>
      </c>
      <c r="B13" s="42" t="str">
        <f>VLOOKUP(Tabelle51[[#This Row],[Modellierung (Simulation)]],Dropdown!$A$2:$D$4,4,FALSE)</f>
        <v>X</v>
      </c>
      <c r="C13" s="42" t="str">
        <f>VLOOKUP(Tabelle51[[#This Row],[Modellierung (Optimierung)]],Dropdown!$A$2:$D$4,4,FALSE)</f>
        <v>-</v>
      </c>
      <c r="D13" s="42" t="str">
        <f>VLOOKUP(Tabelle51[[#This Row],[Wirtschaftlichkeitsabschätzung]],Dropdown!$A$2:$D$4,4,FALSE)</f>
        <v>-</v>
      </c>
      <c r="E13" s="42" t="str">
        <f>VLOOKUP(Tabelle51[[#This Row],[keine Verwertung]],Dropdown!$A$2:$D$4,4,FALSE)</f>
        <v>-</v>
      </c>
      <c r="F13" s="42" t="str">
        <f>VLOOKUP(Tabelle51[[#This Row],[kombinierter Ansatz]],Dropdown!$A$2:$D$4,4,FALSE)</f>
        <v>-</v>
      </c>
    </row>
    <row r="14" spans="1:6" ht="63.75" x14ac:dyDescent="0.25">
      <c r="A14" s="35" t="s">
        <v>1709</v>
      </c>
      <c r="B14" s="42" t="str">
        <f>VLOOKUP(Tabelle51[[#This Row],[Modellierung (Simulation)]],Dropdown!$A$2:$D$4,4,FALSE)</f>
        <v>-</v>
      </c>
      <c r="C14" s="42" t="str">
        <f>VLOOKUP(Tabelle51[[#This Row],[Modellierung (Optimierung)]],Dropdown!$A$2:$D$4,4,FALSE)</f>
        <v>-</v>
      </c>
      <c r="D14" s="42" t="str">
        <f>VLOOKUP(Tabelle51[[#This Row],[Wirtschaftlichkeitsabschätzung]],Dropdown!$A$2:$D$4,4,FALSE)</f>
        <v>X</v>
      </c>
      <c r="E14" s="42" t="str">
        <f>VLOOKUP(Tabelle51[[#This Row],[keine Verwertung]],Dropdown!$A$2:$D$4,4,FALSE)</f>
        <v>-</v>
      </c>
      <c r="F14" s="42" t="str">
        <f>VLOOKUP(Tabelle51[[#This Row],[kombinierter Ansatz]],Dropdown!$A$2:$D$4,4,FALSE)</f>
        <v>-</v>
      </c>
    </row>
    <row r="15" spans="1:6" ht="25.5" x14ac:dyDescent="0.25">
      <c r="A15" s="35" t="s">
        <v>179</v>
      </c>
      <c r="B15" s="42" t="str">
        <f>VLOOKUP(Tabelle51[[#This Row],[Modellierung (Simulation)]],Dropdown!$A$2:$D$4,4,FALSE)</f>
        <v>-</v>
      </c>
      <c r="C15" s="42" t="str">
        <f>VLOOKUP(Tabelle51[[#This Row],[Modellierung (Optimierung)]],Dropdown!$A$2:$D$4,4,FALSE)</f>
        <v>-</v>
      </c>
      <c r="D15" s="42" t="str">
        <f>VLOOKUP(Tabelle51[[#This Row],[Wirtschaftlichkeitsabschätzung]],Dropdown!$A$2:$D$4,4,FALSE)</f>
        <v>-</v>
      </c>
      <c r="E15" s="42" t="str">
        <f>VLOOKUP(Tabelle51[[#This Row],[keine Verwertung]],Dropdown!$A$2:$D$4,4,FALSE)</f>
        <v>X</v>
      </c>
      <c r="F15" s="42" t="str">
        <f>VLOOKUP(Tabelle51[[#This Row],[kombinierter Ansatz]],Dropdown!$A$2:$D$4,4,FALSE)</f>
        <v>-</v>
      </c>
    </row>
    <row r="16" spans="1:6" x14ac:dyDescent="0.25">
      <c r="A16" s="35" t="s">
        <v>341</v>
      </c>
      <c r="B16" s="42" t="str">
        <f>VLOOKUP(Tabelle51[[#This Row],[Modellierung (Simulation)]],Dropdown!$A$2:$D$4,4,FALSE)</f>
        <v>-</v>
      </c>
      <c r="C16" s="42" t="str">
        <f>VLOOKUP(Tabelle51[[#This Row],[Modellierung (Optimierung)]],Dropdown!$A$2:$D$4,4,FALSE)</f>
        <v>X</v>
      </c>
      <c r="D16" s="42" t="str">
        <f>VLOOKUP(Tabelle51[[#This Row],[Wirtschaftlichkeitsabschätzung]],Dropdown!$A$2:$D$4,4,FALSE)</f>
        <v>-</v>
      </c>
      <c r="E16" s="42" t="str">
        <f>VLOOKUP(Tabelle51[[#This Row],[keine Verwertung]],Dropdown!$A$2:$D$4,4,FALSE)</f>
        <v>-</v>
      </c>
      <c r="F16" s="42" t="str">
        <f>VLOOKUP(Tabelle51[[#This Row],[kombinierter Ansatz]],Dropdown!$A$2:$D$4,4,FALSE)</f>
        <v>-</v>
      </c>
    </row>
    <row r="17" spans="1:6" ht="25.5" x14ac:dyDescent="0.25">
      <c r="A17" s="35" t="s">
        <v>22</v>
      </c>
      <c r="B17" s="42" t="str">
        <f>VLOOKUP(Tabelle51[[#This Row],[Modellierung (Simulation)]],Dropdown!$A$2:$D$4,4,FALSE)</f>
        <v>-</v>
      </c>
      <c r="C17" s="42" t="str">
        <f>VLOOKUP(Tabelle51[[#This Row],[Modellierung (Optimierung)]],Dropdown!$A$2:$D$4,4,FALSE)</f>
        <v>-</v>
      </c>
      <c r="D17" s="42" t="str">
        <f>VLOOKUP(Tabelle51[[#This Row],[Wirtschaftlichkeitsabschätzung]],Dropdown!$A$2:$D$4,4,FALSE)</f>
        <v>-</v>
      </c>
      <c r="E17" s="42" t="str">
        <f>VLOOKUP(Tabelle51[[#This Row],[keine Verwertung]],Dropdown!$A$2:$D$4,4,FALSE)</f>
        <v>X</v>
      </c>
      <c r="F17" s="42" t="str">
        <f>VLOOKUP(Tabelle51[[#This Row],[kombinierter Ansatz]],Dropdown!$A$2:$D$4,4,FALSE)</f>
        <v>-</v>
      </c>
    </row>
    <row r="18" spans="1:6" ht="38.25" x14ac:dyDescent="0.25">
      <c r="A18" s="35" t="s">
        <v>188</v>
      </c>
      <c r="B18" s="42" t="str">
        <f>VLOOKUP(Tabelle51[[#This Row],[Modellierung (Simulation)]],Dropdown!$A$2:$D$4,4,FALSE)</f>
        <v>-</v>
      </c>
      <c r="C18" s="42" t="str">
        <f>VLOOKUP(Tabelle51[[#This Row],[Modellierung (Optimierung)]],Dropdown!$A$2:$D$4,4,FALSE)</f>
        <v>-</v>
      </c>
      <c r="D18" s="42" t="str">
        <f>VLOOKUP(Tabelle51[[#This Row],[Wirtschaftlichkeitsabschätzung]],Dropdown!$A$2:$D$4,4,FALSE)</f>
        <v>-</v>
      </c>
      <c r="E18" s="42" t="str">
        <f>VLOOKUP(Tabelle51[[#This Row],[keine Verwertung]],Dropdown!$A$2:$D$4,4,FALSE)</f>
        <v>X</v>
      </c>
      <c r="F18" s="42" t="str">
        <f>VLOOKUP(Tabelle51[[#This Row],[kombinierter Ansatz]],Dropdown!$A$2:$D$4,4,FALSE)</f>
        <v>-</v>
      </c>
    </row>
    <row r="19" spans="1:6" ht="38.25" x14ac:dyDescent="0.25">
      <c r="A19" s="35" t="s">
        <v>133</v>
      </c>
      <c r="B19" s="42" t="str">
        <f>VLOOKUP(Tabelle51[[#This Row],[Modellierung (Simulation)]],Dropdown!$A$2:$D$4,4,FALSE)</f>
        <v>-</v>
      </c>
      <c r="C19" s="42" t="str">
        <f>VLOOKUP(Tabelle51[[#This Row],[Modellierung (Optimierung)]],Dropdown!$A$2:$D$4,4,FALSE)</f>
        <v>X</v>
      </c>
      <c r="D19" s="42" t="str">
        <f>VLOOKUP(Tabelle51[[#This Row],[Wirtschaftlichkeitsabschätzung]],Dropdown!$A$2:$D$4,4,FALSE)</f>
        <v>-</v>
      </c>
      <c r="E19" s="42" t="str">
        <f>VLOOKUP(Tabelle51[[#This Row],[keine Verwertung]],Dropdown!$A$2:$D$4,4,FALSE)</f>
        <v>-</v>
      </c>
      <c r="F19" s="42" t="str">
        <f>VLOOKUP(Tabelle51[[#This Row],[kombinierter Ansatz]],Dropdown!$A$2:$D$4,4,FALSE)</f>
        <v>-</v>
      </c>
    </row>
    <row r="20" spans="1:6" ht="38.25" x14ac:dyDescent="0.25">
      <c r="A20" s="35" t="s">
        <v>10</v>
      </c>
      <c r="B20" s="42" t="str">
        <f>VLOOKUP(Tabelle51[[#This Row],[Modellierung (Simulation)]],Dropdown!$A$2:$D$4,4,FALSE)</f>
        <v>-</v>
      </c>
      <c r="C20" s="42" t="str">
        <f>VLOOKUP(Tabelle51[[#This Row],[Modellierung (Optimierung)]],Dropdown!$A$2:$D$4,4,FALSE)</f>
        <v>X</v>
      </c>
      <c r="D20" s="42" t="str">
        <f>VLOOKUP(Tabelle51[[#This Row],[Wirtschaftlichkeitsabschätzung]],Dropdown!$A$2:$D$4,4,FALSE)</f>
        <v>-</v>
      </c>
      <c r="E20" s="42" t="str">
        <f>VLOOKUP(Tabelle51[[#This Row],[keine Verwertung]],Dropdown!$A$2:$D$4,4,FALSE)</f>
        <v>-</v>
      </c>
      <c r="F20" s="42" t="str">
        <f>VLOOKUP(Tabelle51[[#This Row],[kombinierter Ansatz]],Dropdown!$A$2:$D$4,4,FALSE)</f>
        <v>-</v>
      </c>
    </row>
    <row r="21" spans="1:6" ht="51" x14ac:dyDescent="0.25">
      <c r="A21" s="35" t="s">
        <v>832</v>
      </c>
      <c r="B21" s="42" t="str">
        <f>VLOOKUP(Tabelle51[[#This Row],[Modellierung (Simulation)]],Dropdown!$A$2:$D$4,4,FALSE)</f>
        <v>-</v>
      </c>
      <c r="C21" s="42" t="str">
        <f>VLOOKUP(Tabelle51[[#This Row],[Modellierung (Optimierung)]],Dropdown!$A$2:$D$4,4,FALSE)</f>
        <v>-</v>
      </c>
      <c r="D21" s="42" t="str">
        <f>VLOOKUP(Tabelle51[[#This Row],[Wirtschaftlichkeitsabschätzung]],Dropdown!$A$2:$D$4,4,FALSE)</f>
        <v>X</v>
      </c>
      <c r="E21" s="42" t="str">
        <f>VLOOKUP(Tabelle51[[#This Row],[keine Verwertung]],Dropdown!$A$2:$D$4,4,FALSE)</f>
        <v>-</v>
      </c>
      <c r="F21" s="42" t="str">
        <f>VLOOKUP(Tabelle51[[#This Row],[kombinierter Ansatz]],Dropdown!$A$2:$D$4,4,FALSE)</f>
        <v>-</v>
      </c>
    </row>
    <row r="22" spans="1:6" x14ac:dyDescent="0.25">
      <c r="A22" s="35" t="s">
        <v>16</v>
      </c>
      <c r="B22" s="42" t="str">
        <f>VLOOKUP(Tabelle51[[#This Row],[Modellierung (Simulation)]],Dropdown!$A$2:$D$4,4,FALSE)</f>
        <v>-</v>
      </c>
      <c r="C22" s="42" t="str">
        <f>VLOOKUP(Tabelle51[[#This Row],[Modellierung (Optimierung)]],Dropdown!$A$2:$D$4,4,FALSE)</f>
        <v>X</v>
      </c>
      <c r="D22" s="42" t="str">
        <f>VLOOKUP(Tabelle51[[#This Row],[Wirtschaftlichkeitsabschätzung]],Dropdown!$A$2:$D$4,4,FALSE)</f>
        <v>-</v>
      </c>
      <c r="E22" s="42" t="str">
        <f>VLOOKUP(Tabelle51[[#This Row],[keine Verwertung]],Dropdown!$A$2:$D$4,4,FALSE)</f>
        <v>-</v>
      </c>
      <c r="F22" s="42" t="str">
        <f>VLOOKUP(Tabelle51[[#This Row],[kombinierter Ansatz]],Dropdown!$A$2:$D$4,4,FALSE)</f>
        <v>-</v>
      </c>
    </row>
    <row r="23" spans="1:6" ht="38.25" x14ac:dyDescent="0.25">
      <c r="A23" s="35" t="s">
        <v>7</v>
      </c>
      <c r="B23" s="42" t="str">
        <f>VLOOKUP(Tabelle51[[#This Row],[Modellierung (Simulation)]],Dropdown!$A$2:$D$4,4,FALSE)</f>
        <v>-</v>
      </c>
      <c r="C23" s="42" t="str">
        <f>VLOOKUP(Tabelle51[[#This Row],[Modellierung (Optimierung)]],Dropdown!$A$2:$D$4,4,FALSE)</f>
        <v>-</v>
      </c>
      <c r="D23" s="42" t="str">
        <f>VLOOKUP(Tabelle51[[#This Row],[Wirtschaftlichkeitsabschätzung]],Dropdown!$A$2:$D$4,4,FALSE)</f>
        <v>-</v>
      </c>
      <c r="E23" s="42" t="str">
        <f>VLOOKUP(Tabelle51[[#This Row],[keine Verwertung]],Dropdown!$A$2:$D$4,4,FALSE)</f>
        <v>X</v>
      </c>
      <c r="F23" s="42" t="str">
        <f>VLOOKUP(Tabelle51[[#This Row],[kombinierter Ansatz]],Dropdown!$A$2:$D$4,4,FALSE)</f>
        <v>-</v>
      </c>
    </row>
    <row r="24" spans="1:6" ht="25.5" x14ac:dyDescent="0.25">
      <c r="A24" s="35" t="s">
        <v>18</v>
      </c>
      <c r="B24" s="42" t="str">
        <f>VLOOKUP(Tabelle51[[#This Row],[Modellierung (Simulation)]],Dropdown!$A$2:$D$4,4,FALSE)</f>
        <v>-</v>
      </c>
      <c r="C24" s="42" t="str">
        <f>VLOOKUP(Tabelle51[[#This Row],[Modellierung (Optimierung)]],Dropdown!$A$2:$D$4,4,FALSE)</f>
        <v>X</v>
      </c>
      <c r="D24" s="42" t="str">
        <f>VLOOKUP(Tabelle51[[#This Row],[Wirtschaftlichkeitsabschätzung]],Dropdown!$A$2:$D$4,4,FALSE)</f>
        <v>-</v>
      </c>
      <c r="E24" s="42" t="str">
        <f>VLOOKUP(Tabelle51[[#This Row],[keine Verwertung]],Dropdown!$A$2:$D$4,4,FALSE)</f>
        <v>-</v>
      </c>
      <c r="F24" s="42" t="str">
        <f>VLOOKUP(Tabelle51[[#This Row],[kombinierter Ansatz]],Dropdown!$A$2:$D$4,4,FALSE)</f>
        <v>-</v>
      </c>
    </row>
    <row r="25" spans="1:6" x14ac:dyDescent="0.25">
      <c r="A25" s="35" t="s">
        <v>338</v>
      </c>
      <c r="B25" s="42" t="str">
        <f>VLOOKUP(Tabelle51[[#This Row],[Modellierung (Simulation)]],Dropdown!$A$2:$D$4,4,FALSE)</f>
        <v>-</v>
      </c>
      <c r="C25" s="42" t="str">
        <f>VLOOKUP(Tabelle51[[#This Row],[Modellierung (Optimierung)]],Dropdown!$A$2:$D$4,4,FALSE)</f>
        <v>-</v>
      </c>
      <c r="D25" s="42" t="str">
        <f>VLOOKUP(Tabelle51[[#This Row],[Wirtschaftlichkeitsabschätzung]],Dropdown!$A$2:$D$4,4,FALSE)</f>
        <v>-</v>
      </c>
      <c r="E25" s="42" t="str">
        <f>VLOOKUP(Tabelle51[[#This Row],[keine Verwertung]],Dropdown!$A$2:$D$4,4,FALSE)</f>
        <v>X</v>
      </c>
      <c r="F25" s="42" t="str">
        <f>VLOOKUP(Tabelle51[[#This Row],[kombinierter Ansatz]],Dropdown!$A$2:$D$4,4,FALSE)</f>
        <v>-</v>
      </c>
    </row>
    <row r="26" spans="1:6" ht="38.25" x14ac:dyDescent="0.25">
      <c r="A26" s="35" t="s">
        <v>351</v>
      </c>
      <c r="B26" s="42" t="str">
        <f>VLOOKUP(Tabelle51[[#This Row],[Modellierung (Simulation)]],Dropdown!$A$2:$D$4,4,FALSE)</f>
        <v>-</v>
      </c>
      <c r="C26" s="42" t="str">
        <f>VLOOKUP(Tabelle51[[#This Row],[Modellierung (Optimierung)]],Dropdown!$A$2:$D$4,4,FALSE)</f>
        <v>X</v>
      </c>
      <c r="D26" s="42" t="str">
        <f>VLOOKUP(Tabelle51[[#This Row],[Wirtschaftlichkeitsabschätzung]],Dropdown!$A$2:$D$4,4,FALSE)</f>
        <v>-</v>
      </c>
      <c r="E26" s="42" t="str">
        <f>VLOOKUP(Tabelle51[[#This Row],[keine Verwertung]],Dropdown!$A$2:$D$4,4,FALSE)</f>
        <v>-</v>
      </c>
      <c r="F26" s="42" t="str">
        <f>VLOOKUP(Tabelle51[[#This Row],[kombinierter Ansatz]],Dropdown!$A$2:$D$4,4,FALSE)</f>
        <v>-</v>
      </c>
    </row>
    <row r="27" spans="1:6" ht="63.75" x14ac:dyDescent="0.25">
      <c r="A27" s="35" t="s">
        <v>24</v>
      </c>
      <c r="B27" s="42" t="str">
        <f>VLOOKUP(Tabelle51[[#This Row],[Modellierung (Simulation)]],Dropdown!$A$2:$D$4,4,FALSE)</f>
        <v>-</v>
      </c>
      <c r="C27" s="42" t="str">
        <f>VLOOKUP(Tabelle51[[#This Row],[Modellierung (Optimierung)]],Dropdown!$A$2:$D$4,4,FALSE)</f>
        <v>X</v>
      </c>
      <c r="D27" s="42" t="str">
        <f>VLOOKUP(Tabelle51[[#This Row],[Wirtschaftlichkeitsabschätzung]],Dropdown!$A$2:$D$4,4,FALSE)</f>
        <v>-</v>
      </c>
      <c r="E27" s="42" t="str">
        <f>VLOOKUP(Tabelle51[[#This Row],[keine Verwertung]],Dropdown!$A$2:$D$4,4,FALSE)</f>
        <v>-</v>
      </c>
      <c r="F27" s="42" t="str">
        <f>VLOOKUP(Tabelle51[[#This Row],[kombinierter Ansatz]],Dropdown!$A$2:$D$4,4,FALSE)</f>
        <v>-</v>
      </c>
    </row>
    <row r="28" spans="1:6" x14ac:dyDescent="0.25">
      <c r="A28" s="18" t="s">
        <v>854</v>
      </c>
      <c r="B28" s="88">
        <f>Tabelle51[[#This Row],[Modellierung (Simulation)]]</f>
        <v>5</v>
      </c>
      <c r="C28" s="88">
        <f>Tabelle51[[#This Row],[Modellierung (Optimierung)]]</f>
        <v>11</v>
      </c>
      <c r="D28" s="88">
        <f>Tabelle51[[#This Row],[Wirtschaftlichkeitsabschätzung]]</f>
        <v>3</v>
      </c>
      <c r="E28" s="88">
        <f>Tabelle51[[#This Row],[keine Verwertung]]</f>
        <v>6</v>
      </c>
      <c r="F28" s="88">
        <f>Tabelle51[[#This Row],[kombinierter Ansatz]]</f>
        <v>0</v>
      </c>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2AB43-E06A-4D67-81BC-FEFEA822CA90}">
  <sheetPr codeName="Tabelle26">
    <tabColor theme="7" tint="0.79998168889431442"/>
  </sheetPr>
  <dimension ref="A1:AA28"/>
  <sheetViews>
    <sheetView topLeftCell="A14" workbookViewId="0">
      <selection activeCell="AA26" sqref="AA26"/>
    </sheetView>
  </sheetViews>
  <sheetFormatPr baseColWidth="10" defaultRowHeight="15.75" x14ac:dyDescent="0.25"/>
  <cols>
    <col min="2" max="26" width="5.875" customWidth="1"/>
  </cols>
  <sheetData>
    <row r="1" spans="1:27" ht="38.25" hidden="1" x14ac:dyDescent="0.25">
      <c r="A1" s="91" t="s">
        <v>86</v>
      </c>
      <c r="B1" s="91" t="s">
        <v>101</v>
      </c>
      <c r="C1" s="91" t="s">
        <v>101</v>
      </c>
      <c r="D1" s="91" t="s">
        <v>101</v>
      </c>
      <c r="E1" s="91" t="s">
        <v>101</v>
      </c>
      <c r="F1" s="91" t="s">
        <v>101</v>
      </c>
      <c r="G1" s="91" t="s">
        <v>101</v>
      </c>
      <c r="H1" s="91" t="s">
        <v>101</v>
      </c>
      <c r="I1" s="91" t="s">
        <v>101</v>
      </c>
      <c r="J1" s="91" t="s">
        <v>101</v>
      </c>
      <c r="K1" s="91" t="s">
        <v>101</v>
      </c>
      <c r="L1" s="91" t="s">
        <v>101</v>
      </c>
      <c r="M1" s="91" t="s">
        <v>101</v>
      </c>
      <c r="N1" s="91" t="s">
        <v>101</v>
      </c>
      <c r="O1" s="91" t="s">
        <v>101</v>
      </c>
      <c r="P1" s="91" t="s">
        <v>101</v>
      </c>
      <c r="Q1" s="91" t="s">
        <v>101</v>
      </c>
      <c r="R1" s="91" t="s">
        <v>101</v>
      </c>
      <c r="S1" s="91" t="s">
        <v>101</v>
      </c>
      <c r="T1" s="91" t="s">
        <v>101</v>
      </c>
      <c r="U1" s="91" t="s">
        <v>101</v>
      </c>
      <c r="V1" s="91" t="s">
        <v>101</v>
      </c>
      <c r="W1" s="91" t="s">
        <v>101</v>
      </c>
      <c r="X1" s="91" t="s">
        <v>101</v>
      </c>
      <c r="Y1" s="91" t="s">
        <v>101</v>
      </c>
      <c r="Z1" s="91" t="s">
        <v>101</v>
      </c>
    </row>
    <row r="2" spans="1:27" ht="131.25" customHeight="1" x14ac:dyDescent="0.25">
      <c r="A2" s="84" t="s">
        <v>1390</v>
      </c>
      <c r="B2" s="53" t="s">
        <v>12</v>
      </c>
      <c r="C2" s="53" t="s">
        <v>347</v>
      </c>
      <c r="D2" s="53" t="s">
        <v>348</v>
      </c>
      <c r="E2" s="53" t="s">
        <v>183</v>
      </c>
      <c r="F2" s="53" t="s">
        <v>258</v>
      </c>
      <c r="G2" s="53" t="s">
        <v>355</v>
      </c>
      <c r="H2" s="53" t="s">
        <v>431</v>
      </c>
      <c r="I2" s="53" t="s">
        <v>410</v>
      </c>
      <c r="J2" s="53" t="s">
        <v>393</v>
      </c>
      <c r="K2" s="53" t="s">
        <v>380</v>
      </c>
      <c r="L2" s="53" t="s">
        <v>95</v>
      </c>
      <c r="M2" s="53" t="s">
        <v>1709</v>
      </c>
      <c r="N2" s="53" t="s">
        <v>179</v>
      </c>
      <c r="O2" s="53" t="s">
        <v>341</v>
      </c>
      <c r="P2" s="53" t="s">
        <v>22</v>
      </c>
      <c r="Q2" s="53" t="s">
        <v>188</v>
      </c>
      <c r="R2" s="53" t="s">
        <v>133</v>
      </c>
      <c r="S2" s="53" t="s">
        <v>10</v>
      </c>
      <c r="T2" s="53" t="s">
        <v>832</v>
      </c>
      <c r="U2" s="53" t="s">
        <v>16</v>
      </c>
      <c r="V2" s="53" t="s">
        <v>7</v>
      </c>
      <c r="W2" s="53" t="s">
        <v>18</v>
      </c>
      <c r="X2" s="53" t="s">
        <v>338</v>
      </c>
      <c r="Y2" s="53" t="s">
        <v>351</v>
      </c>
      <c r="Z2" s="54" t="s">
        <v>24</v>
      </c>
      <c r="AA2" s="50" t="s">
        <v>1692</v>
      </c>
    </row>
    <row r="3" spans="1:27" ht="25.5" x14ac:dyDescent="0.25">
      <c r="A3" s="35" t="s">
        <v>12</v>
      </c>
      <c r="B3" s="92"/>
      <c r="C3" s="92"/>
      <c r="D3" s="92"/>
      <c r="E3" s="92"/>
      <c r="F3" s="92"/>
      <c r="G3" s="85"/>
      <c r="H3" s="85"/>
      <c r="I3" s="85"/>
      <c r="J3" s="85"/>
      <c r="K3" s="85"/>
      <c r="L3" s="85">
        <v>1</v>
      </c>
      <c r="M3" s="85"/>
      <c r="N3" s="85"/>
      <c r="O3" s="85"/>
      <c r="P3" s="85"/>
      <c r="Q3" s="85"/>
      <c r="R3" s="85">
        <v>1</v>
      </c>
      <c r="S3" s="85"/>
      <c r="T3" s="85"/>
      <c r="U3" s="85"/>
      <c r="V3" s="85"/>
      <c r="W3" s="85"/>
      <c r="X3" s="85">
        <v>1</v>
      </c>
      <c r="Y3" s="85"/>
      <c r="Z3" s="86"/>
      <c r="AA3" s="111">
        <v>137</v>
      </c>
    </row>
    <row r="4" spans="1:27" ht="25.5" x14ac:dyDescent="0.25">
      <c r="A4" s="35" t="s">
        <v>347</v>
      </c>
      <c r="B4" s="92"/>
      <c r="C4" s="85"/>
      <c r="D4" s="85"/>
      <c r="E4" s="85"/>
      <c r="F4" s="85">
        <v>1</v>
      </c>
      <c r="G4" s="85"/>
      <c r="H4" s="85"/>
      <c r="I4" s="85"/>
      <c r="J4" s="85"/>
      <c r="K4" s="85"/>
      <c r="L4" s="85">
        <v>1</v>
      </c>
      <c r="M4" s="85"/>
      <c r="N4" s="85"/>
      <c r="O4" s="85"/>
      <c r="P4" s="85"/>
      <c r="Q4" s="85"/>
      <c r="R4" s="85"/>
      <c r="S4" s="85">
        <v>1</v>
      </c>
      <c r="T4" s="85"/>
      <c r="U4" s="85"/>
      <c r="V4" s="85"/>
      <c r="W4" s="85"/>
      <c r="X4" s="85"/>
      <c r="Y4" s="85"/>
      <c r="Z4" s="86"/>
      <c r="AA4" s="58" t="s">
        <v>1693</v>
      </c>
    </row>
    <row r="5" spans="1:27" ht="25.5" x14ac:dyDescent="0.25">
      <c r="A5" s="35" t="s">
        <v>348</v>
      </c>
      <c r="B5" s="92">
        <v>1</v>
      </c>
      <c r="C5" s="85"/>
      <c r="D5" s="85"/>
      <c r="E5" s="85"/>
      <c r="F5" s="85"/>
      <c r="G5" s="85">
        <v>1</v>
      </c>
      <c r="H5" s="85"/>
      <c r="I5" s="85"/>
      <c r="J5" s="85"/>
      <c r="K5" s="85"/>
      <c r="L5" s="85">
        <v>1</v>
      </c>
      <c r="M5" s="85"/>
      <c r="N5" s="85"/>
      <c r="O5" s="85"/>
      <c r="P5" s="85"/>
      <c r="Q5" s="85"/>
      <c r="R5" s="85">
        <v>1</v>
      </c>
      <c r="S5" s="85"/>
      <c r="T5" s="85"/>
      <c r="U5" s="85"/>
      <c r="V5" s="85">
        <v>1</v>
      </c>
      <c r="W5" s="85"/>
      <c r="X5" s="85"/>
      <c r="Y5" s="86"/>
      <c r="Z5" s="86"/>
      <c r="AA5" s="58" t="s">
        <v>1694</v>
      </c>
    </row>
    <row r="6" spans="1:27" ht="25.5" x14ac:dyDescent="0.25">
      <c r="A6" s="35" t="s">
        <v>183</v>
      </c>
      <c r="B6" s="92"/>
      <c r="C6" s="85"/>
      <c r="D6" s="85"/>
      <c r="E6" s="85"/>
      <c r="F6" s="85"/>
      <c r="G6" s="85"/>
      <c r="H6" s="85"/>
      <c r="I6" s="85"/>
      <c r="J6" s="85"/>
      <c r="K6" s="85"/>
      <c r="L6" s="85">
        <v>1</v>
      </c>
      <c r="M6" s="85"/>
      <c r="N6" s="85"/>
      <c r="O6" s="85"/>
      <c r="P6" s="85"/>
      <c r="Q6" s="85"/>
      <c r="R6" s="85"/>
      <c r="S6" s="85"/>
      <c r="T6" s="85"/>
      <c r="U6" s="85"/>
      <c r="V6" s="85"/>
      <c r="W6" s="85"/>
      <c r="X6" s="86"/>
      <c r="Y6" s="86"/>
      <c r="Z6" s="86"/>
      <c r="AA6" s="58">
        <v>131</v>
      </c>
    </row>
    <row r="7" spans="1:27" ht="38.25" x14ac:dyDescent="0.25">
      <c r="A7" s="35" t="s">
        <v>258</v>
      </c>
      <c r="B7" s="92"/>
      <c r="C7" s="85"/>
      <c r="D7" s="85"/>
      <c r="E7" s="85"/>
      <c r="F7" s="85"/>
      <c r="G7" s="85"/>
      <c r="H7" s="85"/>
      <c r="I7" s="85"/>
      <c r="J7" s="85"/>
      <c r="K7" s="85"/>
      <c r="L7" s="85">
        <v>1</v>
      </c>
      <c r="M7" s="85"/>
      <c r="N7" s="85"/>
      <c r="O7" s="85"/>
      <c r="P7" s="85"/>
      <c r="Q7" s="85"/>
      <c r="R7" s="85">
        <v>1</v>
      </c>
      <c r="S7" s="85">
        <v>1</v>
      </c>
      <c r="T7" s="85"/>
      <c r="U7" s="85"/>
      <c r="V7" s="85"/>
      <c r="W7" s="86">
        <v>1</v>
      </c>
      <c r="X7" s="86">
        <v>1</v>
      </c>
      <c r="Y7" s="86"/>
      <c r="Z7" s="86"/>
      <c r="AA7" s="58" t="s">
        <v>1695</v>
      </c>
    </row>
    <row r="8" spans="1:27" ht="25.5" x14ac:dyDescent="0.25">
      <c r="A8" s="35" t="s">
        <v>355</v>
      </c>
      <c r="B8" s="92"/>
      <c r="C8" s="85"/>
      <c r="D8" s="85"/>
      <c r="E8" s="85"/>
      <c r="F8" s="85"/>
      <c r="G8" s="85"/>
      <c r="H8" s="85"/>
      <c r="I8" s="85"/>
      <c r="J8" s="85"/>
      <c r="K8" s="85"/>
      <c r="L8" s="85">
        <v>1</v>
      </c>
      <c r="M8" s="85"/>
      <c r="N8" s="85"/>
      <c r="O8" s="85"/>
      <c r="P8" s="85"/>
      <c r="Q8" s="85"/>
      <c r="R8" s="85"/>
      <c r="S8" s="85"/>
      <c r="T8" s="85"/>
      <c r="U8" s="85"/>
      <c r="V8" s="86">
        <v>1</v>
      </c>
      <c r="W8" s="86"/>
      <c r="X8" s="86"/>
      <c r="Y8" s="86"/>
      <c r="Z8" s="86"/>
      <c r="AA8" s="58">
        <v>116</v>
      </c>
    </row>
    <row r="9" spans="1:27" ht="25.5" x14ac:dyDescent="0.25">
      <c r="A9" s="35" t="s">
        <v>431</v>
      </c>
      <c r="B9" s="92">
        <v>1</v>
      </c>
      <c r="C9" s="85"/>
      <c r="D9" s="85"/>
      <c r="E9" s="85"/>
      <c r="F9" s="85"/>
      <c r="G9" s="85"/>
      <c r="H9" s="85"/>
      <c r="I9" s="85"/>
      <c r="J9" s="85"/>
      <c r="K9" s="85"/>
      <c r="L9" s="85">
        <v>1</v>
      </c>
      <c r="M9" s="85"/>
      <c r="N9" s="85"/>
      <c r="O9" s="85"/>
      <c r="P9" s="85"/>
      <c r="Q9" s="85"/>
      <c r="R9" s="85">
        <v>1</v>
      </c>
      <c r="S9" s="85"/>
      <c r="T9" s="85"/>
      <c r="U9" s="86"/>
      <c r="V9" s="86"/>
      <c r="W9" s="86"/>
      <c r="X9" s="86"/>
      <c r="Y9" s="86"/>
      <c r="Z9" s="86"/>
      <c r="AA9" s="58">
        <v>36</v>
      </c>
    </row>
    <row r="10" spans="1:27" x14ac:dyDescent="0.25">
      <c r="A10" s="35" t="s">
        <v>410</v>
      </c>
      <c r="B10" s="92">
        <v>1</v>
      </c>
      <c r="C10" s="85"/>
      <c r="D10" s="85"/>
      <c r="E10" s="85"/>
      <c r="F10" s="85"/>
      <c r="G10" s="85"/>
      <c r="H10" s="85"/>
      <c r="I10" s="85"/>
      <c r="J10" s="85"/>
      <c r="K10" s="85"/>
      <c r="L10" s="85">
        <v>1</v>
      </c>
      <c r="M10" s="85">
        <v>1</v>
      </c>
      <c r="N10" s="85"/>
      <c r="O10" s="85"/>
      <c r="P10" s="85">
        <v>1</v>
      </c>
      <c r="Q10" s="85"/>
      <c r="R10" s="85">
        <v>1</v>
      </c>
      <c r="S10" s="85">
        <v>1</v>
      </c>
      <c r="T10" s="86">
        <v>1</v>
      </c>
      <c r="U10" s="86"/>
      <c r="V10" s="86">
        <v>1</v>
      </c>
      <c r="W10" s="86"/>
      <c r="X10" s="86">
        <v>1</v>
      </c>
      <c r="Y10" s="86"/>
      <c r="Z10" s="86"/>
      <c r="AA10" s="58" t="s">
        <v>1696</v>
      </c>
    </row>
    <row r="11" spans="1:27" x14ac:dyDescent="0.25">
      <c r="A11" s="35" t="s">
        <v>393</v>
      </c>
      <c r="B11" s="92">
        <v>1</v>
      </c>
      <c r="C11" s="85"/>
      <c r="D11" s="85"/>
      <c r="E11" s="85"/>
      <c r="F11" s="85">
        <v>1</v>
      </c>
      <c r="G11" s="85"/>
      <c r="H11" s="85"/>
      <c r="I11" s="85"/>
      <c r="J11" s="85"/>
      <c r="K11" s="85"/>
      <c r="L11" s="85">
        <v>1</v>
      </c>
      <c r="M11" s="85">
        <v>1</v>
      </c>
      <c r="N11" s="85"/>
      <c r="O11" s="85"/>
      <c r="P11" s="85"/>
      <c r="Q11" s="85"/>
      <c r="R11" s="85"/>
      <c r="S11" s="86">
        <v>1</v>
      </c>
      <c r="T11" s="86"/>
      <c r="U11" s="86"/>
      <c r="V11" s="86">
        <v>1</v>
      </c>
      <c r="W11" s="86"/>
      <c r="X11" s="86">
        <v>1</v>
      </c>
      <c r="Y11" s="86">
        <v>1</v>
      </c>
      <c r="Z11" s="86"/>
      <c r="AA11" s="58" t="s">
        <v>1697</v>
      </c>
    </row>
    <row r="12" spans="1:27" ht="51" x14ac:dyDescent="0.25">
      <c r="A12" s="35" t="s">
        <v>380</v>
      </c>
      <c r="B12" s="92"/>
      <c r="C12" s="85"/>
      <c r="D12" s="85"/>
      <c r="E12" s="85"/>
      <c r="F12" s="85"/>
      <c r="G12" s="85"/>
      <c r="H12" s="85"/>
      <c r="I12" s="85"/>
      <c r="J12" s="85"/>
      <c r="K12" s="85"/>
      <c r="L12" s="85"/>
      <c r="M12" s="85"/>
      <c r="N12" s="85"/>
      <c r="O12" s="85"/>
      <c r="P12" s="85"/>
      <c r="Q12" s="85"/>
      <c r="R12" s="86"/>
      <c r="S12" s="86"/>
      <c r="T12" s="86">
        <v>1</v>
      </c>
      <c r="U12" s="86"/>
      <c r="V12" s="86"/>
      <c r="W12" s="86"/>
      <c r="X12" s="86"/>
      <c r="Y12" s="86"/>
      <c r="Z12" s="86"/>
      <c r="AA12" s="58">
        <v>31</v>
      </c>
    </row>
    <row r="13" spans="1:27" ht="51" x14ac:dyDescent="0.25">
      <c r="A13" s="35" t="s">
        <v>95</v>
      </c>
      <c r="B13" s="92"/>
      <c r="C13" s="85"/>
      <c r="D13" s="85"/>
      <c r="E13" s="85"/>
      <c r="F13" s="85"/>
      <c r="G13" s="85"/>
      <c r="H13" s="85"/>
      <c r="I13" s="85"/>
      <c r="J13" s="85"/>
      <c r="K13" s="85"/>
      <c r="L13" s="85"/>
      <c r="M13" s="85"/>
      <c r="N13" s="85"/>
      <c r="O13" s="85"/>
      <c r="P13" s="85"/>
      <c r="Q13" s="86"/>
      <c r="R13" s="86"/>
      <c r="S13" s="86"/>
      <c r="T13" s="86"/>
      <c r="U13" s="86"/>
      <c r="V13" s="86"/>
      <c r="W13" s="86"/>
      <c r="X13" s="86">
        <v>1</v>
      </c>
      <c r="Y13" s="86"/>
      <c r="Z13" s="86"/>
      <c r="AA13" s="58">
        <v>209</v>
      </c>
    </row>
    <row r="14" spans="1:27" ht="63.75" x14ac:dyDescent="0.25">
      <c r="A14" s="35" t="s">
        <v>1709</v>
      </c>
      <c r="B14" s="92">
        <v>1</v>
      </c>
      <c r="C14" s="85"/>
      <c r="D14" s="85"/>
      <c r="E14" s="85"/>
      <c r="F14" s="85"/>
      <c r="G14" s="85"/>
      <c r="H14" s="85"/>
      <c r="I14" s="85"/>
      <c r="J14" s="85"/>
      <c r="K14" s="85"/>
      <c r="L14" s="85">
        <v>1</v>
      </c>
      <c r="M14" s="85"/>
      <c r="N14" s="85"/>
      <c r="O14" s="85"/>
      <c r="P14" s="86"/>
      <c r="Q14" s="86"/>
      <c r="R14" s="86">
        <v>1</v>
      </c>
      <c r="S14" s="86"/>
      <c r="T14" s="86"/>
      <c r="U14" s="86"/>
      <c r="V14" s="86"/>
      <c r="W14" s="86"/>
      <c r="X14" s="86">
        <v>1</v>
      </c>
      <c r="Y14" s="86"/>
      <c r="Z14" s="86"/>
      <c r="AA14" s="58">
        <v>108</v>
      </c>
    </row>
    <row r="15" spans="1:27" ht="25.5" x14ac:dyDescent="0.25">
      <c r="A15" s="35" t="s">
        <v>179</v>
      </c>
      <c r="B15" s="92"/>
      <c r="C15" s="85"/>
      <c r="D15" s="85"/>
      <c r="E15" s="85"/>
      <c r="F15" s="85"/>
      <c r="G15" s="85"/>
      <c r="H15" s="85"/>
      <c r="I15" s="85"/>
      <c r="J15" s="85"/>
      <c r="K15" s="85"/>
      <c r="L15" s="85">
        <v>1</v>
      </c>
      <c r="M15" s="85"/>
      <c r="N15" s="85"/>
      <c r="O15" s="86"/>
      <c r="P15" s="86"/>
      <c r="Q15" s="86"/>
      <c r="R15" s="86"/>
      <c r="S15" s="86"/>
      <c r="T15" s="86"/>
      <c r="U15" s="86"/>
      <c r="V15" s="86">
        <v>1</v>
      </c>
      <c r="W15" s="86"/>
      <c r="X15" s="86">
        <v>1</v>
      </c>
      <c r="Y15" s="86"/>
      <c r="Z15" s="86"/>
      <c r="AA15" s="58" t="s">
        <v>1698</v>
      </c>
    </row>
    <row r="16" spans="1:27" x14ac:dyDescent="0.25">
      <c r="A16" s="35" t="s">
        <v>341</v>
      </c>
      <c r="B16" s="92">
        <v>1</v>
      </c>
      <c r="C16" s="85"/>
      <c r="D16" s="85"/>
      <c r="E16" s="85"/>
      <c r="F16" s="85">
        <v>1</v>
      </c>
      <c r="G16" s="85"/>
      <c r="H16" s="85"/>
      <c r="I16" s="85"/>
      <c r="J16" s="85"/>
      <c r="K16" s="85"/>
      <c r="L16" s="85">
        <v>1</v>
      </c>
      <c r="M16" s="85">
        <v>1</v>
      </c>
      <c r="N16" s="86"/>
      <c r="O16" s="86"/>
      <c r="P16" s="86">
        <v>1</v>
      </c>
      <c r="Q16" s="86"/>
      <c r="R16" s="86">
        <v>1</v>
      </c>
      <c r="S16" s="86">
        <v>1</v>
      </c>
      <c r="T16" s="86"/>
      <c r="U16" s="86"/>
      <c r="V16" s="86"/>
      <c r="W16" s="86"/>
      <c r="X16" s="86">
        <v>1</v>
      </c>
      <c r="Y16" s="86"/>
      <c r="Z16" s="86"/>
      <c r="AA16" s="58" t="s">
        <v>1699</v>
      </c>
    </row>
    <row r="17" spans="1:27" ht="25.5" x14ac:dyDescent="0.25">
      <c r="A17" s="35" t="s">
        <v>22</v>
      </c>
      <c r="B17" s="92"/>
      <c r="C17" s="85"/>
      <c r="D17" s="85"/>
      <c r="E17" s="85"/>
      <c r="F17" s="85"/>
      <c r="G17" s="85"/>
      <c r="H17" s="85"/>
      <c r="I17" s="85"/>
      <c r="J17" s="85"/>
      <c r="K17" s="85"/>
      <c r="L17" s="85">
        <v>1</v>
      </c>
      <c r="M17" s="86"/>
      <c r="N17" s="86"/>
      <c r="O17" s="86"/>
      <c r="P17" s="86"/>
      <c r="Q17" s="86"/>
      <c r="R17" s="86">
        <v>1</v>
      </c>
      <c r="S17" s="86"/>
      <c r="T17" s="86"/>
      <c r="U17" s="86"/>
      <c r="V17" s="86">
        <v>1</v>
      </c>
      <c r="W17" s="86"/>
      <c r="X17" s="86">
        <v>1</v>
      </c>
      <c r="Y17" s="86"/>
      <c r="Z17" s="86"/>
      <c r="AA17" s="58" t="s">
        <v>1700</v>
      </c>
    </row>
    <row r="18" spans="1:27" ht="38.25" x14ac:dyDescent="0.25">
      <c r="A18" s="35" t="s">
        <v>188</v>
      </c>
      <c r="B18" s="92">
        <v>1</v>
      </c>
      <c r="C18" s="85"/>
      <c r="D18" s="85"/>
      <c r="E18" s="85"/>
      <c r="F18" s="85"/>
      <c r="G18" s="85"/>
      <c r="H18" s="85"/>
      <c r="I18" s="85"/>
      <c r="J18" s="85"/>
      <c r="K18" s="85"/>
      <c r="L18" s="86">
        <v>1</v>
      </c>
      <c r="M18" s="86">
        <v>1</v>
      </c>
      <c r="N18" s="86"/>
      <c r="O18" s="86"/>
      <c r="P18" s="86"/>
      <c r="Q18" s="86"/>
      <c r="R18" s="86">
        <v>1</v>
      </c>
      <c r="S18" s="86"/>
      <c r="T18" s="86"/>
      <c r="U18" s="86"/>
      <c r="V18" s="86"/>
      <c r="W18" s="86"/>
      <c r="X18" s="86"/>
      <c r="Y18" s="86"/>
      <c r="Z18" s="86"/>
      <c r="AA18" s="58" t="s">
        <v>1701</v>
      </c>
    </row>
    <row r="19" spans="1:27" ht="38.25" x14ac:dyDescent="0.25">
      <c r="A19" s="35" t="s">
        <v>133</v>
      </c>
      <c r="B19" s="92"/>
      <c r="C19" s="85"/>
      <c r="D19" s="85"/>
      <c r="E19" s="85"/>
      <c r="F19" s="85"/>
      <c r="G19" s="85"/>
      <c r="H19" s="85"/>
      <c r="I19" s="85"/>
      <c r="J19" s="85"/>
      <c r="K19" s="86"/>
      <c r="L19" s="86">
        <v>1</v>
      </c>
      <c r="M19" s="86"/>
      <c r="N19" s="86"/>
      <c r="O19" s="86"/>
      <c r="P19" s="86"/>
      <c r="Q19" s="86"/>
      <c r="R19" s="86"/>
      <c r="S19" s="86">
        <v>1</v>
      </c>
      <c r="T19" s="86"/>
      <c r="U19" s="86"/>
      <c r="V19" s="86"/>
      <c r="W19" s="86"/>
      <c r="X19" s="86">
        <v>1</v>
      </c>
      <c r="Y19" s="86"/>
      <c r="Z19" s="86"/>
      <c r="AA19" s="58">
        <v>545</v>
      </c>
    </row>
    <row r="20" spans="1:27" ht="38.25" x14ac:dyDescent="0.25">
      <c r="A20" s="35" t="s">
        <v>10</v>
      </c>
      <c r="B20" s="92">
        <v>1</v>
      </c>
      <c r="C20" s="85"/>
      <c r="D20" s="85"/>
      <c r="E20" s="85"/>
      <c r="F20" s="85"/>
      <c r="G20" s="85"/>
      <c r="H20" s="85"/>
      <c r="I20" s="85"/>
      <c r="J20" s="86"/>
      <c r="K20" s="86"/>
      <c r="L20" s="86">
        <v>1</v>
      </c>
      <c r="M20" s="86"/>
      <c r="N20" s="86"/>
      <c r="O20" s="86"/>
      <c r="P20" s="86"/>
      <c r="Q20" s="86"/>
      <c r="R20" s="86"/>
      <c r="S20" s="86"/>
      <c r="T20" s="86"/>
      <c r="U20" s="86"/>
      <c r="V20" s="86"/>
      <c r="W20" s="86"/>
      <c r="X20" s="86">
        <v>1</v>
      </c>
      <c r="Y20" s="86"/>
      <c r="Z20" s="86"/>
      <c r="AA20" s="58">
        <v>441</v>
      </c>
    </row>
    <row r="21" spans="1:27" ht="51" x14ac:dyDescent="0.25">
      <c r="A21" s="35" t="s">
        <v>832</v>
      </c>
      <c r="B21" s="92">
        <v>1</v>
      </c>
      <c r="C21" s="85"/>
      <c r="D21" s="85"/>
      <c r="E21" s="85"/>
      <c r="F21" s="85"/>
      <c r="G21" s="85"/>
      <c r="H21" s="85"/>
      <c r="I21" s="86"/>
      <c r="J21" s="86"/>
      <c r="K21" s="86"/>
      <c r="L21" s="86">
        <v>1</v>
      </c>
      <c r="M21" s="86">
        <v>1</v>
      </c>
      <c r="N21" s="86"/>
      <c r="O21" s="86"/>
      <c r="P21" s="86"/>
      <c r="Q21" s="86"/>
      <c r="R21" s="86">
        <v>1</v>
      </c>
      <c r="S21" s="86">
        <v>1</v>
      </c>
      <c r="T21" s="86"/>
      <c r="U21" s="86"/>
      <c r="V21" s="86">
        <v>1</v>
      </c>
      <c r="W21" s="86"/>
      <c r="X21" s="86">
        <v>1</v>
      </c>
      <c r="Y21" s="86"/>
      <c r="Z21" s="86"/>
      <c r="AA21" s="58" t="s">
        <v>1702</v>
      </c>
    </row>
    <row r="22" spans="1:27" x14ac:dyDescent="0.25">
      <c r="A22" s="35" t="s">
        <v>16</v>
      </c>
      <c r="B22" s="92">
        <v>1</v>
      </c>
      <c r="C22" s="85"/>
      <c r="D22" s="85"/>
      <c r="E22" s="85"/>
      <c r="F22" s="85"/>
      <c r="G22" s="85"/>
      <c r="H22" s="86"/>
      <c r="I22" s="86"/>
      <c r="J22" s="86"/>
      <c r="K22" s="86"/>
      <c r="L22" s="86">
        <v>1</v>
      </c>
      <c r="M22" s="86">
        <v>1</v>
      </c>
      <c r="N22" s="86">
        <v>1</v>
      </c>
      <c r="O22" s="86"/>
      <c r="P22" s="86"/>
      <c r="Q22" s="86"/>
      <c r="R22" s="86"/>
      <c r="S22" s="86"/>
      <c r="T22" s="86"/>
      <c r="U22" s="86"/>
      <c r="V22" s="86"/>
      <c r="W22" s="86"/>
      <c r="X22" s="86"/>
      <c r="Y22" s="86"/>
      <c r="Z22" s="86"/>
      <c r="AA22" s="58" t="s">
        <v>1703</v>
      </c>
    </row>
    <row r="23" spans="1:27" ht="38.25" x14ac:dyDescent="0.25">
      <c r="A23" s="35" t="s">
        <v>7</v>
      </c>
      <c r="B23" s="92"/>
      <c r="C23" s="85"/>
      <c r="D23" s="85"/>
      <c r="E23" s="85"/>
      <c r="F23" s="85"/>
      <c r="G23" s="86"/>
      <c r="H23" s="86"/>
      <c r="I23" s="86"/>
      <c r="J23" s="86"/>
      <c r="K23" s="86"/>
      <c r="L23" s="86">
        <v>1</v>
      </c>
      <c r="M23" s="86"/>
      <c r="N23" s="86"/>
      <c r="O23" s="86"/>
      <c r="P23" s="86"/>
      <c r="Q23" s="86"/>
      <c r="R23" s="86">
        <v>1</v>
      </c>
      <c r="S23" s="86"/>
      <c r="T23" s="86"/>
      <c r="U23" s="86"/>
      <c r="V23" s="86"/>
      <c r="W23" s="86"/>
      <c r="X23" s="86"/>
      <c r="Y23" s="86"/>
      <c r="Z23" s="86"/>
      <c r="AA23" s="58" t="s">
        <v>1704</v>
      </c>
    </row>
    <row r="24" spans="1:27" ht="25.5" x14ac:dyDescent="0.25">
      <c r="A24" s="35" t="s">
        <v>18</v>
      </c>
      <c r="B24" s="92"/>
      <c r="C24" s="85"/>
      <c r="D24" s="85"/>
      <c r="E24" s="85"/>
      <c r="F24" s="86">
        <v>1</v>
      </c>
      <c r="G24" s="86"/>
      <c r="H24" s="86"/>
      <c r="I24" s="86"/>
      <c r="J24" s="86"/>
      <c r="K24" s="86"/>
      <c r="L24" s="86">
        <v>1</v>
      </c>
      <c r="M24" s="86"/>
      <c r="N24" s="86"/>
      <c r="O24" s="86"/>
      <c r="P24" s="86"/>
      <c r="Q24" s="86"/>
      <c r="R24" s="86">
        <v>1</v>
      </c>
      <c r="S24" s="86"/>
      <c r="T24" s="86"/>
      <c r="U24" s="86"/>
      <c r="V24" s="86">
        <v>1</v>
      </c>
      <c r="W24" s="86"/>
      <c r="X24" s="86">
        <v>1</v>
      </c>
      <c r="Y24" s="86"/>
      <c r="Z24" s="86"/>
      <c r="AA24" s="58" t="s">
        <v>1705</v>
      </c>
    </row>
    <row r="25" spans="1:27" x14ac:dyDescent="0.25">
      <c r="A25" s="35" t="s">
        <v>338</v>
      </c>
      <c r="B25" s="92"/>
      <c r="C25" s="85"/>
      <c r="D25" s="85"/>
      <c r="E25" s="86"/>
      <c r="F25" s="86"/>
      <c r="G25" s="86"/>
      <c r="H25" s="86"/>
      <c r="I25" s="86"/>
      <c r="J25" s="86"/>
      <c r="K25" s="86"/>
      <c r="L25" s="86"/>
      <c r="M25" s="86"/>
      <c r="N25" s="86"/>
      <c r="O25" s="86"/>
      <c r="P25" s="86"/>
      <c r="Q25" s="86"/>
      <c r="R25" s="86"/>
      <c r="S25" s="86"/>
      <c r="T25" s="86"/>
      <c r="U25" s="86"/>
      <c r="V25" s="86"/>
      <c r="W25" s="86"/>
      <c r="X25" s="86"/>
      <c r="Y25" s="86"/>
      <c r="Z25" s="86"/>
      <c r="AA25" s="58"/>
    </row>
    <row r="26" spans="1:27" ht="38.25" x14ac:dyDescent="0.25">
      <c r="A26" s="35" t="s">
        <v>351</v>
      </c>
      <c r="B26" s="92">
        <v>1</v>
      </c>
      <c r="C26" s="85"/>
      <c r="D26" s="85"/>
      <c r="E26" s="86">
        <v>1</v>
      </c>
      <c r="F26" s="86">
        <v>1</v>
      </c>
      <c r="G26" s="86"/>
      <c r="H26" s="86">
        <v>1</v>
      </c>
      <c r="I26" s="86"/>
      <c r="J26" s="86"/>
      <c r="K26" s="86">
        <v>1</v>
      </c>
      <c r="L26" s="86">
        <v>1</v>
      </c>
      <c r="M26" s="86">
        <v>1</v>
      </c>
      <c r="N26" s="86">
        <v>1</v>
      </c>
      <c r="O26" s="86"/>
      <c r="P26" s="86">
        <v>1</v>
      </c>
      <c r="Q26" s="86"/>
      <c r="R26" s="86">
        <v>1</v>
      </c>
      <c r="S26" s="86">
        <v>1</v>
      </c>
      <c r="T26" s="86"/>
      <c r="U26" s="86">
        <v>1</v>
      </c>
      <c r="V26" s="86">
        <v>1</v>
      </c>
      <c r="W26" s="86"/>
      <c r="X26" s="86">
        <v>1</v>
      </c>
      <c r="Y26" s="86"/>
      <c r="Z26" s="86">
        <v>1</v>
      </c>
      <c r="AA26" s="58" t="s">
        <v>1707</v>
      </c>
    </row>
    <row r="27" spans="1:27" ht="63.75" x14ac:dyDescent="0.25">
      <c r="A27" s="35" t="s">
        <v>24</v>
      </c>
      <c r="B27" s="92">
        <v>1</v>
      </c>
      <c r="C27" s="85"/>
      <c r="D27" s="85"/>
      <c r="E27" s="85"/>
      <c r="F27" s="85"/>
      <c r="G27" s="85"/>
      <c r="H27" s="85"/>
      <c r="I27" s="85"/>
      <c r="J27" s="85"/>
      <c r="K27" s="85"/>
      <c r="L27" s="85">
        <v>1</v>
      </c>
      <c r="M27" s="85">
        <v>1</v>
      </c>
      <c r="N27" s="85"/>
      <c r="O27" s="85"/>
      <c r="P27" s="85"/>
      <c r="Q27" s="85"/>
      <c r="R27" s="85">
        <v>1</v>
      </c>
      <c r="S27" s="85"/>
      <c r="T27" s="85"/>
      <c r="U27" s="85"/>
      <c r="V27" s="85"/>
      <c r="W27" s="85"/>
      <c r="X27" s="85"/>
      <c r="Y27" s="85"/>
      <c r="Z27" s="85"/>
      <c r="AA27" s="58" t="s">
        <v>1706</v>
      </c>
    </row>
    <row r="28" spans="1:27" x14ac:dyDescent="0.25">
      <c r="A28" s="18" t="s">
        <v>854</v>
      </c>
      <c r="B28" s="88">
        <f>SUM(B3:B27)</f>
        <v>12</v>
      </c>
      <c r="C28" s="88">
        <f t="shared" ref="C28:Z28" si="0">SUM(C3:C27)</f>
        <v>0</v>
      </c>
      <c r="D28" s="88">
        <f t="shared" si="0"/>
        <v>0</v>
      </c>
      <c r="E28" s="88">
        <f t="shared" si="0"/>
        <v>1</v>
      </c>
      <c r="F28" s="88">
        <f t="shared" si="0"/>
        <v>5</v>
      </c>
      <c r="G28" s="88">
        <f t="shared" si="0"/>
        <v>1</v>
      </c>
      <c r="H28" s="88">
        <f t="shared" si="0"/>
        <v>1</v>
      </c>
      <c r="I28" s="88">
        <f t="shared" si="0"/>
        <v>0</v>
      </c>
      <c r="J28" s="88">
        <f t="shared" si="0"/>
        <v>0</v>
      </c>
      <c r="K28" s="88">
        <f t="shared" si="0"/>
        <v>1</v>
      </c>
      <c r="L28" s="88">
        <f t="shared" si="0"/>
        <v>22</v>
      </c>
      <c r="M28" s="88">
        <f t="shared" si="0"/>
        <v>8</v>
      </c>
      <c r="N28" s="88">
        <f t="shared" si="0"/>
        <v>2</v>
      </c>
      <c r="O28" s="88">
        <f t="shared" si="0"/>
        <v>0</v>
      </c>
      <c r="P28" s="88">
        <f t="shared" si="0"/>
        <v>3</v>
      </c>
      <c r="Q28" s="88">
        <f t="shared" si="0"/>
        <v>0</v>
      </c>
      <c r="R28" s="88">
        <f t="shared" si="0"/>
        <v>14</v>
      </c>
      <c r="S28" s="88">
        <f t="shared" si="0"/>
        <v>8</v>
      </c>
      <c r="T28" s="88">
        <f t="shared" si="0"/>
        <v>2</v>
      </c>
      <c r="U28" s="88">
        <f t="shared" si="0"/>
        <v>1</v>
      </c>
      <c r="V28" s="88">
        <f t="shared" si="0"/>
        <v>9</v>
      </c>
      <c r="W28" s="88">
        <f t="shared" si="0"/>
        <v>1</v>
      </c>
      <c r="X28" s="88">
        <f t="shared" si="0"/>
        <v>14</v>
      </c>
      <c r="Y28" s="88">
        <f t="shared" si="0"/>
        <v>1</v>
      </c>
      <c r="Z28" s="88">
        <f t="shared" si="0"/>
        <v>1</v>
      </c>
      <c r="AA28" s="112"/>
    </row>
  </sheetData>
  <pageMargins left="0.7" right="0.7" top="0.78740157499999996" bottom="0.78740157499999996" header="0.3" footer="0.3"/>
  <pageSetup paperSize="9" orientation="portrait" r:id="rId1"/>
  <drawing r:id="rId2"/>
  <tableParts count="1">
    <tablePart r:id="rId3"/>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0DBD2-0FC1-418C-955E-CF643046DD69}">
  <sheetPr codeName="Tabelle27">
    <tabColor theme="5" tint="0.79998168889431442"/>
  </sheetPr>
  <dimension ref="A1:B13"/>
  <sheetViews>
    <sheetView workbookViewId="0">
      <selection activeCell="B10" sqref="B10"/>
    </sheetView>
  </sheetViews>
  <sheetFormatPr baseColWidth="10" defaultColWidth="11" defaultRowHeight="14.25" x14ac:dyDescent="0.2"/>
  <cols>
    <col min="1" max="1" width="48" style="1" bestFit="1" customWidth="1"/>
    <col min="2" max="2" width="31.25" style="1" bestFit="1" customWidth="1"/>
    <col min="3" max="16384" width="11" style="1"/>
  </cols>
  <sheetData>
    <row r="1" spans="1:2" ht="15" x14ac:dyDescent="0.25">
      <c r="A1" s="2" t="s">
        <v>872</v>
      </c>
      <c r="B1" s="2" t="s">
        <v>858</v>
      </c>
    </row>
    <row r="2" spans="1:2" x14ac:dyDescent="0.2">
      <c r="A2" s="1" t="s">
        <v>963</v>
      </c>
      <c r="B2" s="1">
        <v>1</v>
      </c>
    </row>
    <row r="3" spans="1:2" x14ac:dyDescent="0.2">
      <c r="A3" s="1" t="s">
        <v>1044</v>
      </c>
      <c r="B3" s="1">
        <v>2</v>
      </c>
    </row>
    <row r="4" spans="1:2" x14ac:dyDescent="0.2">
      <c r="A4" s="1" t="s">
        <v>1033</v>
      </c>
      <c r="B4" s="1">
        <v>3</v>
      </c>
    </row>
    <row r="5" spans="1:2" x14ac:dyDescent="0.2">
      <c r="A5" s="1" t="s">
        <v>1047</v>
      </c>
      <c r="B5" s="1" t="s">
        <v>1042</v>
      </c>
    </row>
    <row r="6" spans="1:2" x14ac:dyDescent="0.2">
      <c r="A6" s="1" t="s">
        <v>1034</v>
      </c>
      <c r="B6" s="1">
        <v>4</v>
      </c>
    </row>
    <row r="7" spans="1:2" x14ac:dyDescent="0.2">
      <c r="A7" s="1" t="s">
        <v>1025</v>
      </c>
      <c r="B7" s="1">
        <v>5</v>
      </c>
    </row>
    <row r="8" spans="1:2" x14ac:dyDescent="0.2">
      <c r="A8" s="1" t="s">
        <v>1045</v>
      </c>
      <c r="B8" s="1">
        <v>6</v>
      </c>
    </row>
    <row r="9" spans="1:2" x14ac:dyDescent="0.2">
      <c r="A9" s="1" t="s">
        <v>389</v>
      </c>
      <c r="B9" s="1">
        <v>7</v>
      </c>
    </row>
    <row r="10" spans="1:2" x14ac:dyDescent="0.2">
      <c r="A10" s="1" t="s">
        <v>1027</v>
      </c>
      <c r="B10" s="1">
        <v>8</v>
      </c>
    </row>
    <row r="11" spans="1:2" x14ac:dyDescent="0.2">
      <c r="A11" s="1" t="s">
        <v>931</v>
      </c>
      <c r="B11" s="1">
        <v>9</v>
      </c>
    </row>
    <row r="12" spans="1:2" x14ac:dyDescent="0.2">
      <c r="A12" s="1" t="s">
        <v>1046</v>
      </c>
      <c r="B12" s="1">
        <v>10</v>
      </c>
    </row>
    <row r="13" spans="1:2" x14ac:dyDescent="0.2">
      <c r="A13" s="1" t="s">
        <v>1039</v>
      </c>
      <c r="B13" s="1">
        <v>11</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8140C-0BD7-4345-8FC8-0F86BF80EFD9}">
  <sheetPr codeName="Tabelle28">
    <tabColor theme="5" tint="0.79998168889431442"/>
  </sheetPr>
  <dimension ref="A1:D52"/>
  <sheetViews>
    <sheetView workbookViewId="0">
      <selection activeCell="C38" sqref="C38"/>
    </sheetView>
  </sheetViews>
  <sheetFormatPr baseColWidth="10" defaultColWidth="11" defaultRowHeight="14.25" x14ac:dyDescent="0.2"/>
  <cols>
    <col min="1" max="1" width="44" style="1" customWidth="1"/>
    <col min="2" max="2" width="39.875" style="1" bestFit="1" customWidth="1"/>
    <col min="3" max="16384" width="11" style="1"/>
  </cols>
  <sheetData>
    <row r="1" spans="1:4" ht="15" x14ac:dyDescent="0.25">
      <c r="A1" s="2" t="s">
        <v>872</v>
      </c>
      <c r="B1" s="2" t="s">
        <v>1048</v>
      </c>
      <c r="C1" s="2" t="s">
        <v>935</v>
      </c>
      <c r="D1" s="2" t="s">
        <v>1016</v>
      </c>
    </row>
    <row r="2" spans="1:4" x14ac:dyDescent="0.2">
      <c r="A2" s="1" t="s">
        <v>1097</v>
      </c>
      <c r="B2" s="1">
        <v>1</v>
      </c>
    </row>
    <row r="3" spans="1:4" x14ac:dyDescent="0.2">
      <c r="A3" s="1" t="s">
        <v>1098</v>
      </c>
      <c r="B3" s="1">
        <v>2</v>
      </c>
    </row>
    <row r="4" spans="1:4" x14ac:dyDescent="0.2">
      <c r="A4" s="1" t="s">
        <v>1099</v>
      </c>
      <c r="B4" s="1">
        <v>3</v>
      </c>
    </row>
    <row r="5" spans="1:4" x14ac:dyDescent="0.2">
      <c r="A5" s="1" t="s">
        <v>1100</v>
      </c>
      <c r="B5" s="1">
        <v>4</v>
      </c>
    </row>
    <row r="6" spans="1:4" x14ac:dyDescent="0.2">
      <c r="A6" s="1" t="s">
        <v>1101</v>
      </c>
      <c r="B6" s="1">
        <v>5</v>
      </c>
    </row>
    <row r="7" spans="1:4" x14ac:dyDescent="0.2">
      <c r="A7" s="1" t="s">
        <v>1102</v>
      </c>
      <c r="B7" s="1">
        <v>6</v>
      </c>
    </row>
    <row r="8" spans="1:4" x14ac:dyDescent="0.2">
      <c r="A8" s="1" t="s">
        <v>1103</v>
      </c>
      <c r="B8" s="1">
        <v>7</v>
      </c>
    </row>
    <row r="9" spans="1:4" x14ac:dyDescent="0.2">
      <c r="A9" s="1" t="s">
        <v>1104</v>
      </c>
      <c r="B9" s="1">
        <v>8</v>
      </c>
    </row>
    <row r="10" spans="1:4" x14ac:dyDescent="0.2">
      <c r="A10" s="1" t="s">
        <v>1105</v>
      </c>
      <c r="B10" s="1">
        <v>9</v>
      </c>
    </row>
    <row r="11" spans="1:4" x14ac:dyDescent="0.2">
      <c r="A11" s="1" t="s">
        <v>1033</v>
      </c>
      <c r="B11" s="1">
        <v>10</v>
      </c>
    </row>
    <row r="12" spans="1:4" x14ac:dyDescent="0.2">
      <c r="A12" s="1" t="s">
        <v>1068</v>
      </c>
      <c r="B12" s="1" t="s">
        <v>1089</v>
      </c>
    </row>
    <row r="13" spans="1:4" x14ac:dyDescent="0.2">
      <c r="A13" s="1" t="s">
        <v>1067</v>
      </c>
      <c r="B13" s="1" t="s">
        <v>1090</v>
      </c>
    </row>
    <row r="14" spans="1:4" x14ac:dyDescent="0.2">
      <c r="A14" s="1" t="s">
        <v>1085</v>
      </c>
      <c r="B14" s="1" t="s">
        <v>1091</v>
      </c>
    </row>
    <row r="15" spans="1:4" x14ac:dyDescent="0.2">
      <c r="A15" s="1" t="s">
        <v>1046</v>
      </c>
      <c r="B15" s="1">
        <v>11</v>
      </c>
    </row>
    <row r="16" spans="1:4" x14ac:dyDescent="0.2">
      <c r="A16" s="1" t="s">
        <v>1164</v>
      </c>
      <c r="B16" s="1">
        <v>12</v>
      </c>
    </row>
    <row r="17" spans="1:4" x14ac:dyDescent="0.2">
      <c r="A17" s="1" t="s">
        <v>1066</v>
      </c>
      <c r="B17" s="1">
        <v>13</v>
      </c>
    </row>
    <row r="18" spans="1:4" x14ac:dyDescent="0.2">
      <c r="A18" s="1" t="s">
        <v>1050</v>
      </c>
      <c r="B18" s="1">
        <v>14</v>
      </c>
    </row>
    <row r="19" spans="1:4" x14ac:dyDescent="0.2">
      <c r="A19" s="1" t="s">
        <v>1071</v>
      </c>
      <c r="B19" s="1" t="s">
        <v>1092</v>
      </c>
    </row>
    <row r="20" spans="1:4" x14ac:dyDescent="0.2">
      <c r="A20" s="1" t="s">
        <v>1078</v>
      </c>
      <c r="B20" s="1" t="s">
        <v>1094</v>
      </c>
    </row>
    <row r="21" spans="1:4" x14ac:dyDescent="0.2">
      <c r="A21" s="1" t="s">
        <v>400</v>
      </c>
      <c r="B21" s="1" t="s">
        <v>1093</v>
      </c>
    </row>
    <row r="22" spans="1:4" x14ac:dyDescent="0.2">
      <c r="A22" s="1" t="s">
        <v>1045</v>
      </c>
      <c r="B22" s="1">
        <v>15</v>
      </c>
    </row>
    <row r="23" spans="1:4" x14ac:dyDescent="0.2">
      <c r="A23" s="1" t="s">
        <v>1106</v>
      </c>
      <c r="B23" s="1" t="s">
        <v>1096</v>
      </c>
    </row>
    <row r="24" spans="1:4" x14ac:dyDescent="0.2">
      <c r="A24" s="1" t="s">
        <v>1084</v>
      </c>
      <c r="B24" s="1">
        <v>16</v>
      </c>
    </row>
    <row r="25" spans="1:4" x14ac:dyDescent="0.2">
      <c r="A25" s="1" t="s">
        <v>1034</v>
      </c>
      <c r="B25" s="1">
        <v>17</v>
      </c>
    </row>
    <row r="26" spans="1:4" x14ac:dyDescent="0.2">
      <c r="A26" s="1" t="s">
        <v>1051</v>
      </c>
      <c r="B26" s="1">
        <v>18</v>
      </c>
    </row>
    <row r="27" spans="1:4" x14ac:dyDescent="0.2">
      <c r="A27" s="1" t="s">
        <v>1079</v>
      </c>
      <c r="B27" s="1">
        <v>20</v>
      </c>
    </row>
    <row r="28" spans="1:4" x14ac:dyDescent="0.2">
      <c r="A28" s="1" t="s">
        <v>799</v>
      </c>
      <c r="B28" s="1">
        <v>21</v>
      </c>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row r="38" spans="1:4" ht="15.75" x14ac:dyDescent="0.25">
      <c r="A38"/>
      <c r="B38"/>
      <c r="C38"/>
      <c r="D38"/>
    </row>
    <row r="39" spans="1:4" ht="15.75" x14ac:dyDescent="0.25">
      <c r="A39"/>
      <c r="B39"/>
      <c r="C39"/>
      <c r="D39"/>
    </row>
    <row r="40" spans="1:4" ht="15.75" x14ac:dyDescent="0.25">
      <c r="A40"/>
      <c r="B40"/>
      <c r="C40"/>
      <c r="D40"/>
    </row>
    <row r="41" spans="1:4" ht="15.75" x14ac:dyDescent="0.25">
      <c r="A41"/>
      <c r="B41"/>
      <c r="C41"/>
      <c r="D41"/>
    </row>
    <row r="42" spans="1:4" ht="15.75" x14ac:dyDescent="0.25">
      <c r="A42"/>
      <c r="B42"/>
      <c r="C42"/>
      <c r="D42"/>
    </row>
    <row r="43" spans="1:4" ht="15.75" x14ac:dyDescent="0.25">
      <c r="A43"/>
      <c r="B43"/>
      <c r="C43"/>
      <c r="D43"/>
    </row>
    <row r="44" spans="1:4" ht="15.75" x14ac:dyDescent="0.25">
      <c r="A44"/>
      <c r="B44"/>
      <c r="C44"/>
      <c r="D44"/>
    </row>
    <row r="45" spans="1:4" ht="15.75" x14ac:dyDescent="0.25">
      <c r="A45"/>
      <c r="B45"/>
      <c r="C45"/>
      <c r="D45"/>
    </row>
    <row r="46" spans="1:4" ht="15.75" x14ac:dyDescent="0.25">
      <c r="A46"/>
      <c r="B46"/>
      <c r="C46"/>
      <c r="D46"/>
    </row>
    <row r="47" spans="1:4" ht="15.75" x14ac:dyDescent="0.25">
      <c r="A47"/>
      <c r="B47"/>
      <c r="C47"/>
      <c r="D47"/>
    </row>
    <row r="48" spans="1:4" ht="15.75" x14ac:dyDescent="0.25">
      <c r="A48"/>
      <c r="B48"/>
      <c r="C48"/>
      <c r="D48"/>
    </row>
    <row r="49" spans="1:4" ht="15.75" x14ac:dyDescent="0.25">
      <c r="A49"/>
      <c r="B49"/>
      <c r="C49"/>
      <c r="D49"/>
    </row>
    <row r="50" spans="1:4" ht="15.75" x14ac:dyDescent="0.25">
      <c r="A50"/>
      <c r="B50"/>
      <c r="C50"/>
      <c r="D50"/>
    </row>
    <row r="51" spans="1:4" ht="15.75" x14ac:dyDescent="0.25">
      <c r="A51"/>
      <c r="B51"/>
      <c r="C51"/>
      <c r="D51"/>
    </row>
    <row r="52" spans="1:4" ht="15.75" x14ac:dyDescent="0.25">
      <c r="A52"/>
      <c r="B52"/>
      <c r="C52"/>
      <c r="D52"/>
    </row>
  </sheetData>
  <pageMargins left="0.7" right="0.7" top="0.78740157499999996" bottom="0.78740157499999996" header="0.3" footer="0.3"/>
  <pageSetup paperSize="9" orientation="portrait" horizontalDpi="0" verticalDpi="0"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F147-5FF2-4603-9E72-196F91429529}">
  <sheetPr codeName="Tabelle29">
    <tabColor theme="5" tint="0.79998168889431442"/>
  </sheetPr>
  <dimension ref="A1:D37"/>
  <sheetViews>
    <sheetView workbookViewId="0">
      <selection activeCell="A14" sqref="A14"/>
    </sheetView>
  </sheetViews>
  <sheetFormatPr baseColWidth="10" defaultColWidth="11" defaultRowHeight="14.25" x14ac:dyDescent="0.2"/>
  <cols>
    <col min="1" max="1" width="27.625" style="1" customWidth="1"/>
    <col min="2" max="2" width="66.375" style="1" bestFit="1" customWidth="1"/>
    <col min="3" max="16384" width="11" style="1"/>
  </cols>
  <sheetData>
    <row r="1" spans="1:4" ht="15" x14ac:dyDescent="0.25">
      <c r="A1" s="2" t="s">
        <v>872</v>
      </c>
      <c r="B1" s="2" t="s">
        <v>1108</v>
      </c>
      <c r="C1" s="2" t="s">
        <v>935</v>
      </c>
      <c r="D1" s="2" t="s">
        <v>1016</v>
      </c>
    </row>
    <row r="2" spans="1:4" x14ac:dyDescent="0.2">
      <c r="A2" s="1" t="s">
        <v>1131</v>
      </c>
      <c r="B2" s="1">
        <v>1</v>
      </c>
    </row>
    <row r="3" spans="1:4" x14ac:dyDescent="0.2">
      <c r="A3" s="1" t="s">
        <v>1116</v>
      </c>
      <c r="B3" s="1">
        <v>2</v>
      </c>
    </row>
    <row r="4" spans="1:4" x14ac:dyDescent="0.2">
      <c r="A4" s="1" t="s">
        <v>1118</v>
      </c>
      <c r="B4" s="1">
        <v>3</v>
      </c>
    </row>
    <row r="5" spans="1:4" x14ac:dyDescent="0.2">
      <c r="A5" s="1" t="s">
        <v>1129</v>
      </c>
      <c r="B5" s="1">
        <v>4</v>
      </c>
    </row>
    <row r="6" spans="1:4" x14ac:dyDescent="0.2">
      <c r="A6" s="1" t="s">
        <v>1139</v>
      </c>
      <c r="B6" s="1">
        <v>5</v>
      </c>
    </row>
    <row r="7" spans="1:4" x14ac:dyDescent="0.2">
      <c r="A7" s="1" t="s">
        <v>1078</v>
      </c>
      <c r="B7" s="1">
        <v>6</v>
      </c>
    </row>
    <row r="8" spans="1:4" x14ac:dyDescent="0.2">
      <c r="A8" s="1" t="s">
        <v>1112</v>
      </c>
      <c r="B8" s="1" t="s">
        <v>1140</v>
      </c>
    </row>
    <row r="9" spans="1:4" x14ac:dyDescent="0.2">
      <c r="A9" s="1" t="s">
        <v>1071</v>
      </c>
      <c r="B9" s="1">
        <v>7</v>
      </c>
    </row>
    <row r="10" spans="1:4" x14ac:dyDescent="0.2">
      <c r="A10" s="1" t="s">
        <v>1132</v>
      </c>
      <c r="B10" s="1">
        <v>8</v>
      </c>
    </row>
    <row r="11" spans="1:4" x14ac:dyDescent="0.2">
      <c r="A11" s="1" t="s">
        <v>1144</v>
      </c>
      <c r="B11" s="1">
        <v>9</v>
      </c>
    </row>
    <row r="12" spans="1:4" x14ac:dyDescent="0.2">
      <c r="A12" s="1" t="s">
        <v>1145</v>
      </c>
      <c r="B12" s="1">
        <v>10</v>
      </c>
    </row>
    <row r="13" spans="1:4" x14ac:dyDescent="0.2">
      <c r="A13" s="1" t="s">
        <v>1146</v>
      </c>
      <c r="B13" s="1">
        <v>11</v>
      </c>
    </row>
    <row r="14" spans="1:4" x14ac:dyDescent="0.2">
      <c r="A14" s="1" t="s">
        <v>1147</v>
      </c>
      <c r="B14" s="1">
        <v>12</v>
      </c>
    </row>
    <row r="15" spans="1:4" x14ac:dyDescent="0.2">
      <c r="A15" s="1" t="s">
        <v>1114</v>
      </c>
      <c r="B15" s="1">
        <v>13</v>
      </c>
    </row>
    <row r="16" spans="1:4" x14ac:dyDescent="0.2">
      <c r="A16" s="1" t="s">
        <v>1133</v>
      </c>
      <c r="B16" s="1">
        <v>14</v>
      </c>
    </row>
    <row r="17" spans="1:4" x14ac:dyDescent="0.2">
      <c r="A17" s="1" t="s">
        <v>1135</v>
      </c>
      <c r="B17" s="1">
        <v>15</v>
      </c>
    </row>
    <row r="18" spans="1:4" x14ac:dyDescent="0.2">
      <c r="A18" s="1" t="s">
        <v>1136</v>
      </c>
      <c r="B18" s="1">
        <v>16</v>
      </c>
    </row>
    <row r="19" spans="1:4" x14ac:dyDescent="0.2">
      <c r="A19" s="1" t="s">
        <v>1149</v>
      </c>
      <c r="B19" s="1">
        <v>17</v>
      </c>
    </row>
    <row r="20" spans="1:4" x14ac:dyDescent="0.2">
      <c r="A20" s="1" t="s">
        <v>1148</v>
      </c>
      <c r="B20" s="1">
        <v>18</v>
      </c>
    </row>
    <row r="21" spans="1:4" ht="15.75" x14ac:dyDescent="0.25">
      <c r="A21"/>
      <c r="B21"/>
      <c r="C21"/>
      <c r="D21"/>
    </row>
    <row r="22" spans="1:4" ht="15.75" x14ac:dyDescent="0.25">
      <c r="A22"/>
      <c r="B22"/>
      <c r="C22"/>
      <c r="D22"/>
    </row>
    <row r="23" spans="1:4" ht="15.75" x14ac:dyDescent="0.25">
      <c r="A23"/>
      <c r="B23"/>
      <c r="C23"/>
      <c r="D23"/>
    </row>
    <row r="24" spans="1:4" ht="15.75" x14ac:dyDescent="0.25">
      <c r="A24"/>
      <c r="B24"/>
      <c r="C24"/>
      <c r="D24"/>
    </row>
    <row r="25" spans="1:4" ht="15.75" x14ac:dyDescent="0.25">
      <c r="A25"/>
      <c r="B25"/>
      <c r="C25"/>
      <c r="D25"/>
    </row>
    <row r="26" spans="1:4" ht="15.75" x14ac:dyDescent="0.25">
      <c r="A26"/>
      <c r="B26"/>
      <c r="C26"/>
      <c r="D26"/>
    </row>
    <row r="27" spans="1:4" ht="15.75" x14ac:dyDescent="0.25">
      <c r="A27"/>
      <c r="B27"/>
      <c r="C27"/>
      <c r="D27"/>
    </row>
    <row r="28" spans="1:4" ht="15.75" x14ac:dyDescent="0.25">
      <c r="A28"/>
      <c r="B28"/>
      <c r="C28"/>
      <c r="D28"/>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sheetData>
  <pageMargins left="0.7" right="0.7" top="0.78740157499999996" bottom="0.78740157499999996"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9DFE-7B1C-48E6-BFD1-D071197D3A30}">
  <sheetPr codeName="Tabelle3">
    <tabColor theme="5" tint="0.79998168889431442"/>
  </sheetPr>
  <dimension ref="A1:B27"/>
  <sheetViews>
    <sheetView workbookViewId="0">
      <selection activeCell="B27" sqref="B27"/>
    </sheetView>
  </sheetViews>
  <sheetFormatPr baseColWidth="10" defaultColWidth="11" defaultRowHeight="14.25" x14ac:dyDescent="0.2"/>
  <cols>
    <col min="1" max="1" width="5.625" style="97" customWidth="1"/>
    <col min="2" max="16384" width="11" style="97"/>
  </cols>
  <sheetData>
    <row r="1" spans="1:2" ht="15" x14ac:dyDescent="0.25">
      <c r="A1" s="96" t="s">
        <v>969</v>
      </c>
    </row>
    <row r="3" spans="1:2" ht="15" x14ac:dyDescent="0.25">
      <c r="A3" s="96" t="s">
        <v>970</v>
      </c>
      <c r="B3" s="96" t="s">
        <v>973</v>
      </c>
    </row>
    <row r="4" spans="1:2" x14ac:dyDescent="0.2">
      <c r="B4" s="98" t="s">
        <v>1733</v>
      </c>
    </row>
    <row r="5" spans="1:2" x14ac:dyDescent="0.2">
      <c r="B5" s="98" t="s">
        <v>972</v>
      </c>
    </row>
    <row r="6" spans="1:2" x14ac:dyDescent="0.2">
      <c r="B6" s="98" t="s">
        <v>976</v>
      </c>
    </row>
    <row r="8" spans="1:2" ht="15" x14ac:dyDescent="0.25">
      <c r="A8" s="96" t="s">
        <v>971</v>
      </c>
      <c r="B8" s="96" t="s">
        <v>974</v>
      </c>
    </row>
    <row r="9" spans="1:2" x14ac:dyDescent="0.2">
      <c r="B9" s="98" t="s">
        <v>975</v>
      </c>
    </row>
    <row r="11" spans="1:2" ht="15" x14ac:dyDescent="0.25">
      <c r="A11" s="96" t="s">
        <v>977</v>
      </c>
      <c r="B11" s="96" t="s">
        <v>1276</v>
      </c>
    </row>
    <row r="12" spans="1:2" x14ac:dyDescent="0.2">
      <c r="B12" s="98" t="s">
        <v>978</v>
      </c>
    </row>
    <row r="13" spans="1:2" x14ac:dyDescent="0.2">
      <c r="B13" s="98" t="s">
        <v>979</v>
      </c>
    </row>
    <row r="15" spans="1:2" ht="15" x14ac:dyDescent="0.25">
      <c r="A15" s="96" t="s">
        <v>980</v>
      </c>
      <c r="B15" s="96" t="s">
        <v>1275</v>
      </c>
    </row>
    <row r="16" spans="1:2" x14ac:dyDescent="0.2">
      <c r="B16" s="98" t="s">
        <v>1277</v>
      </c>
    </row>
    <row r="17" spans="1:2" x14ac:dyDescent="0.2">
      <c r="B17" s="98" t="s">
        <v>1278</v>
      </c>
    </row>
    <row r="18" spans="1:2" x14ac:dyDescent="0.2">
      <c r="B18" s="98" t="s">
        <v>983</v>
      </c>
    </row>
    <row r="19" spans="1:2" x14ac:dyDescent="0.2">
      <c r="B19" s="98" t="s">
        <v>1281</v>
      </c>
    </row>
    <row r="20" spans="1:2" x14ac:dyDescent="0.2">
      <c r="B20" s="98"/>
    </row>
    <row r="21" spans="1:2" ht="15" x14ac:dyDescent="0.25">
      <c r="A21" s="96" t="s">
        <v>1274</v>
      </c>
      <c r="B21" s="96" t="s">
        <v>981</v>
      </c>
    </row>
    <row r="22" spans="1:2" x14ac:dyDescent="0.2">
      <c r="B22" s="98" t="s">
        <v>982</v>
      </c>
    </row>
    <row r="23" spans="1:2" x14ac:dyDescent="0.2">
      <c r="B23" s="98" t="s">
        <v>983</v>
      </c>
    </row>
    <row r="24" spans="1:2" x14ac:dyDescent="0.2">
      <c r="B24" s="98" t="s">
        <v>1160</v>
      </c>
    </row>
    <row r="25" spans="1:2" x14ac:dyDescent="0.2">
      <c r="B25" s="98" t="s">
        <v>1159</v>
      </c>
    </row>
    <row r="26" spans="1:2" x14ac:dyDescent="0.2">
      <c r="B26" s="98" t="s">
        <v>984</v>
      </c>
    </row>
    <row r="27" spans="1:2" x14ac:dyDescent="0.2">
      <c r="B27" s="98" t="s">
        <v>985</v>
      </c>
    </row>
  </sheetData>
  <pageMargins left="0.7" right="0.7" top="0.78740157499999996" bottom="0.78740157499999996"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171B7-4458-453A-89D1-9F6761272E06}">
  <sheetPr codeName="Tabelle30">
    <tabColor theme="5" tint="0.79998168889431442"/>
  </sheetPr>
  <dimension ref="A1:D26"/>
  <sheetViews>
    <sheetView workbookViewId="0">
      <selection activeCell="B18" sqref="B18"/>
    </sheetView>
  </sheetViews>
  <sheetFormatPr baseColWidth="10" defaultColWidth="11" defaultRowHeight="14.25" x14ac:dyDescent="0.2"/>
  <cols>
    <col min="1" max="1" width="20.5" style="1" bestFit="1" customWidth="1"/>
    <col min="2" max="2" width="55.25" style="1" customWidth="1"/>
    <col min="3" max="3" width="17.625" style="1" bestFit="1" customWidth="1"/>
    <col min="4" max="4" width="61.625" style="1" bestFit="1" customWidth="1"/>
    <col min="5" max="16384" width="11" style="1"/>
  </cols>
  <sheetData>
    <row r="1" spans="1:4" ht="15" x14ac:dyDescent="0.25">
      <c r="A1" s="2" t="s">
        <v>872</v>
      </c>
      <c r="B1" s="2" t="s">
        <v>856</v>
      </c>
      <c r="C1" s="2" t="s">
        <v>935</v>
      </c>
      <c r="D1" s="2" t="s">
        <v>1016</v>
      </c>
    </row>
    <row r="2" spans="1:4" x14ac:dyDescent="0.2">
      <c r="A2" s="47">
        <v>1</v>
      </c>
      <c r="B2" s="1" t="s">
        <v>867</v>
      </c>
      <c r="C2" s="1" t="s">
        <v>993</v>
      </c>
      <c r="D2" s="1" t="s">
        <v>994</v>
      </c>
    </row>
    <row r="3" spans="1:4" x14ac:dyDescent="0.2">
      <c r="A3" s="47">
        <v>2</v>
      </c>
      <c r="B3" s="1" t="s">
        <v>914</v>
      </c>
      <c r="C3" s="1" t="s">
        <v>938</v>
      </c>
      <c r="D3" s="1" t="s">
        <v>939</v>
      </c>
    </row>
    <row r="4" spans="1:4" x14ac:dyDescent="0.2">
      <c r="A4" s="47" t="s">
        <v>873</v>
      </c>
      <c r="B4" s="48" t="s">
        <v>967</v>
      </c>
      <c r="C4" s="1" t="s">
        <v>940</v>
      </c>
      <c r="D4" s="1" t="s">
        <v>941</v>
      </c>
    </row>
    <row r="5" spans="1:4" x14ac:dyDescent="0.2">
      <c r="A5" s="47" t="s">
        <v>874</v>
      </c>
      <c r="B5" s="48" t="s">
        <v>864</v>
      </c>
      <c r="C5" s="1" t="s">
        <v>942</v>
      </c>
      <c r="D5" s="1" t="s">
        <v>943</v>
      </c>
    </row>
    <row r="6" spans="1:4" x14ac:dyDescent="0.2">
      <c r="A6" s="47" t="s">
        <v>933</v>
      </c>
      <c r="B6" s="48" t="s">
        <v>1153</v>
      </c>
      <c r="C6" s="1" t="s">
        <v>940</v>
      </c>
      <c r="D6" s="1" t="s">
        <v>941</v>
      </c>
    </row>
    <row r="7" spans="1:4" x14ac:dyDescent="0.2">
      <c r="A7" s="47" t="s">
        <v>1151</v>
      </c>
      <c r="B7" s="48" t="s">
        <v>1152</v>
      </c>
      <c r="C7" s="1" t="s">
        <v>942</v>
      </c>
      <c r="D7" s="1" t="s">
        <v>943</v>
      </c>
    </row>
    <row r="8" spans="1:4" x14ac:dyDescent="0.2">
      <c r="A8" s="47">
        <v>3</v>
      </c>
      <c r="B8" s="1" t="s">
        <v>865</v>
      </c>
      <c r="C8" s="1" t="s">
        <v>999</v>
      </c>
      <c r="D8" s="1" t="s">
        <v>1000</v>
      </c>
    </row>
    <row r="9" spans="1:4" x14ac:dyDescent="0.2">
      <c r="A9" s="47">
        <v>4</v>
      </c>
      <c r="B9" s="1" t="s">
        <v>950</v>
      </c>
      <c r="C9" s="1" t="s">
        <v>990</v>
      </c>
      <c r="D9" s="1" t="s">
        <v>991</v>
      </c>
    </row>
    <row r="10" spans="1:4" x14ac:dyDescent="0.2">
      <c r="A10" s="47">
        <v>5</v>
      </c>
      <c r="B10" s="1" t="s">
        <v>952</v>
      </c>
      <c r="C10" s="1" t="s">
        <v>997</v>
      </c>
      <c r="D10" s="1" t="s">
        <v>998</v>
      </c>
    </row>
    <row r="11" spans="1:4" x14ac:dyDescent="0.2">
      <c r="A11" s="47" t="s">
        <v>875</v>
      </c>
      <c r="B11" s="48" t="s">
        <v>863</v>
      </c>
      <c r="C11" s="1" t="s">
        <v>997</v>
      </c>
      <c r="D11" s="1" t="s">
        <v>998</v>
      </c>
    </row>
    <row r="12" spans="1:4" x14ac:dyDescent="0.2">
      <c r="A12" s="47">
        <v>6</v>
      </c>
      <c r="B12" s="1" t="s">
        <v>866</v>
      </c>
      <c r="C12" s="1" t="s">
        <v>999</v>
      </c>
      <c r="D12" s="1" t="s">
        <v>1000</v>
      </c>
    </row>
    <row r="13" spans="1:4" x14ac:dyDescent="0.2">
      <c r="A13" s="47">
        <v>7</v>
      </c>
      <c r="B13" s="1" t="s">
        <v>953</v>
      </c>
      <c r="C13" s="1" t="s">
        <v>1002</v>
      </c>
      <c r="D13" s="1" t="s">
        <v>1001</v>
      </c>
    </row>
    <row r="14" spans="1:4" x14ac:dyDescent="0.2">
      <c r="A14" s="47" t="s">
        <v>936</v>
      </c>
      <c r="B14" s="1" t="s">
        <v>921</v>
      </c>
      <c r="C14" s="1" t="s">
        <v>1017</v>
      </c>
      <c r="D14" s="1" t="s">
        <v>1019</v>
      </c>
    </row>
    <row r="15" spans="1:4" x14ac:dyDescent="0.2">
      <c r="A15" s="47" t="s">
        <v>937</v>
      </c>
      <c r="B15" s="1" t="s">
        <v>920</v>
      </c>
      <c r="C15" s="1" t="s">
        <v>1018</v>
      </c>
      <c r="D15" s="1" t="s">
        <v>1020</v>
      </c>
    </row>
    <row r="16" spans="1:4" x14ac:dyDescent="0.2">
      <c r="A16" s="47">
        <v>8</v>
      </c>
      <c r="B16" s="1" t="s">
        <v>956</v>
      </c>
      <c r="C16" s="1" t="s">
        <v>1003</v>
      </c>
      <c r="D16" s="1" t="s">
        <v>1004</v>
      </c>
    </row>
    <row r="17" spans="1:4" x14ac:dyDescent="0.2">
      <c r="A17" s="47">
        <v>9</v>
      </c>
      <c r="B17" s="1" t="s">
        <v>957</v>
      </c>
      <c r="C17" s="1" t="s">
        <v>996</v>
      </c>
      <c r="D17" s="1" t="s">
        <v>910</v>
      </c>
    </row>
    <row r="18" spans="1:4" x14ac:dyDescent="0.2">
      <c r="A18" s="47">
        <v>11</v>
      </c>
      <c r="B18" s="1" t="s">
        <v>919</v>
      </c>
      <c r="C18" s="1" t="s">
        <v>1006</v>
      </c>
      <c r="D18" s="1" t="s">
        <v>1005</v>
      </c>
    </row>
    <row r="19" spans="1:4" x14ac:dyDescent="0.2">
      <c r="A19" s="47">
        <v>12</v>
      </c>
      <c r="B19" s="1" t="s">
        <v>958</v>
      </c>
      <c r="C19" s="1" t="s">
        <v>986</v>
      </c>
      <c r="D19" s="1" t="s">
        <v>987</v>
      </c>
    </row>
    <row r="20" spans="1:4" x14ac:dyDescent="0.2">
      <c r="A20" s="47">
        <v>13</v>
      </c>
      <c r="B20" s="1" t="s">
        <v>959</v>
      </c>
      <c r="C20" s="1" t="s">
        <v>988</v>
      </c>
      <c r="D20" s="1" t="s">
        <v>989</v>
      </c>
    </row>
    <row r="21" spans="1:4" x14ac:dyDescent="0.2">
      <c r="A21" s="47">
        <v>14</v>
      </c>
      <c r="B21" s="1" t="s">
        <v>960</v>
      </c>
      <c r="C21" s="1" t="s">
        <v>1007</v>
      </c>
      <c r="D21" s="1" t="s">
        <v>1008</v>
      </c>
    </row>
    <row r="22" spans="1:4" x14ac:dyDescent="0.2">
      <c r="A22" s="47">
        <v>15</v>
      </c>
      <c r="B22" s="1" t="s">
        <v>961</v>
      </c>
      <c r="C22" s="1" t="s">
        <v>1009</v>
      </c>
      <c r="D22" s="1" t="s">
        <v>900</v>
      </c>
    </row>
    <row r="23" spans="1:4" x14ac:dyDescent="0.2">
      <c r="A23" s="47">
        <v>16</v>
      </c>
      <c r="B23" s="1" t="s">
        <v>962</v>
      </c>
      <c r="C23" s="1" t="s">
        <v>1010</v>
      </c>
      <c r="D23" s="1" t="s">
        <v>1011</v>
      </c>
    </row>
    <row r="24" spans="1:4" x14ac:dyDescent="0.2">
      <c r="A24" s="47" t="s">
        <v>945</v>
      </c>
      <c r="B24" s="48" t="s">
        <v>966</v>
      </c>
      <c r="C24" s="1" t="s">
        <v>1010</v>
      </c>
      <c r="D24" s="1" t="s">
        <v>1011</v>
      </c>
    </row>
    <row r="25" spans="1:4" x14ac:dyDescent="0.2">
      <c r="A25" s="47">
        <v>18</v>
      </c>
      <c r="B25" s="1" t="s">
        <v>926</v>
      </c>
      <c r="C25" s="1" t="s">
        <v>1012</v>
      </c>
      <c r="D25" s="1" t="s">
        <v>1013</v>
      </c>
    </row>
    <row r="26" spans="1:4" x14ac:dyDescent="0.2">
      <c r="A26" s="47">
        <v>19</v>
      </c>
      <c r="B26" s="1" t="s">
        <v>927</v>
      </c>
      <c r="C26" s="1" t="s">
        <v>1014</v>
      </c>
      <c r="D26" s="1" t="s">
        <v>1015</v>
      </c>
    </row>
  </sheetData>
  <pageMargins left="0.7" right="0.7" top="0.78740157499999996" bottom="0.78740157499999996" header="0.3" footer="0.3"/>
  <pageSetup paperSize="9" orientation="portrait" horizontalDpi="0" verticalDpi="0" r:id="rId1"/>
  <tableParts count="1">
    <tablePart r:id="rId2"/>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C201F-D5E2-41CC-8248-DD04860E8309}">
  <sheetPr codeName="Tabelle31">
    <tabColor theme="5" tint="0.79998168889431442"/>
  </sheetPr>
  <dimension ref="A1:D88"/>
  <sheetViews>
    <sheetView topLeftCell="A10" workbookViewId="0">
      <selection activeCell="A35" sqref="A35:XFD35"/>
    </sheetView>
  </sheetViews>
  <sheetFormatPr baseColWidth="10" defaultColWidth="11" defaultRowHeight="14.25" x14ac:dyDescent="0.2"/>
  <cols>
    <col min="1" max="1" width="63.375" style="1" customWidth="1"/>
    <col min="2" max="3" width="27.625" style="1" customWidth="1"/>
    <col min="4" max="4" width="66.25" style="1" bestFit="1" customWidth="1"/>
    <col min="5" max="16384" width="11" style="1"/>
  </cols>
  <sheetData>
    <row r="1" spans="1:4" ht="15" x14ac:dyDescent="0.25">
      <c r="A1" s="2" t="s">
        <v>855</v>
      </c>
      <c r="B1" s="2" t="s">
        <v>872</v>
      </c>
      <c r="C1" s="2" t="s">
        <v>935</v>
      </c>
      <c r="D1" s="2" t="s">
        <v>1016</v>
      </c>
    </row>
    <row r="2" spans="1:4" x14ac:dyDescent="0.2">
      <c r="A2" s="1" t="s">
        <v>859</v>
      </c>
      <c r="B2" s="1">
        <v>1</v>
      </c>
      <c r="C2" s="1" t="s">
        <v>993</v>
      </c>
      <c r="D2" s="1" t="s">
        <v>994</v>
      </c>
    </row>
    <row r="3" spans="1:4" x14ac:dyDescent="0.2">
      <c r="A3" s="1" t="s">
        <v>860</v>
      </c>
      <c r="B3" s="1" t="s">
        <v>873</v>
      </c>
      <c r="C3" s="1" t="s">
        <v>940</v>
      </c>
      <c r="D3" s="1" t="s">
        <v>941</v>
      </c>
    </row>
    <row r="4" spans="1:4" x14ac:dyDescent="0.2">
      <c r="A4" s="1" t="s">
        <v>867</v>
      </c>
      <c r="B4" s="1">
        <v>1</v>
      </c>
      <c r="C4" s="1" t="s">
        <v>993</v>
      </c>
      <c r="D4" s="1" t="s">
        <v>994</v>
      </c>
    </row>
    <row r="5" spans="1:4" x14ac:dyDescent="0.2">
      <c r="A5" s="1" t="s">
        <v>895</v>
      </c>
      <c r="B5" s="1">
        <v>1</v>
      </c>
      <c r="C5" s="1" t="s">
        <v>993</v>
      </c>
      <c r="D5" s="1" t="s">
        <v>994</v>
      </c>
    </row>
    <row r="6" spans="1:4" x14ac:dyDescent="0.2">
      <c r="A6" s="1" t="s">
        <v>863</v>
      </c>
      <c r="B6" s="1" t="s">
        <v>875</v>
      </c>
      <c r="C6" s="1" t="s">
        <v>997</v>
      </c>
      <c r="D6" s="1" t="s">
        <v>998</v>
      </c>
    </row>
    <row r="7" spans="1:4" x14ac:dyDescent="0.2">
      <c r="A7" s="1" t="s">
        <v>864</v>
      </c>
      <c r="B7" s="1" t="s">
        <v>874</v>
      </c>
      <c r="C7" s="1" t="s">
        <v>942</v>
      </c>
      <c r="D7" s="1" t="s">
        <v>943</v>
      </c>
    </row>
    <row r="8" spans="1:4" x14ac:dyDescent="0.2">
      <c r="A8" s="1" t="s">
        <v>881</v>
      </c>
      <c r="B8" s="1">
        <v>1</v>
      </c>
      <c r="C8" s="1" t="s">
        <v>993</v>
      </c>
      <c r="D8" s="1" t="s">
        <v>994</v>
      </c>
    </row>
    <row r="9" spans="1:4" x14ac:dyDescent="0.2">
      <c r="A9" s="1" t="s">
        <v>867</v>
      </c>
      <c r="B9" s="1">
        <v>1</v>
      </c>
      <c r="C9" s="1" t="s">
        <v>993</v>
      </c>
      <c r="D9" s="1" t="s">
        <v>994</v>
      </c>
    </row>
    <row r="10" spans="1:4" x14ac:dyDescent="0.2">
      <c r="A10" s="1" t="s">
        <v>946</v>
      </c>
      <c r="B10" s="1">
        <v>1</v>
      </c>
      <c r="C10" s="1" t="s">
        <v>993</v>
      </c>
      <c r="D10" s="1" t="s">
        <v>994</v>
      </c>
    </row>
    <row r="11" spans="1:4" x14ac:dyDescent="0.2">
      <c r="A11" s="1" t="s">
        <v>923</v>
      </c>
      <c r="B11" s="1">
        <v>1</v>
      </c>
      <c r="C11" s="1" t="s">
        <v>993</v>
      </c>
      <c r="D11" s="1" t="s">
        <v>994</v>
      </c>
    </row>
    <row r="12" spans="1:4" x14ac:dyDescent="0.2">
      <c r="A12" s="1" t="s">
        <v>894</v>
      </c>
      <c r="B12" s="1">
        <v>2</v>
      </c>
      <c r="C12" s="1" t="s">
        <v>938</v>
      </c>
      <c r="D12" s="1" t="s">
        <v>939</v>
      </c>
    </row>
    <row r="13" spans="1:4" x14ac:dyDescent="0.2">
      <c r="A13" s="1" t="s">
        <v>879</v>
      </c>
      <c r="B13" s="1">
        <v>2</v>
      </c>
      <c r="C13" s="1" t="s">
        <v>938</v>
      </c>
      <c r="D13" s="1" t="s">
        <v>939</v>
      </c>
    </row>
    <row r="14" spans="1:4" x14ac:dyDescent="0.2">
      <c r="A14" s="1" t="s">
        <v>914</v>
      </c>
      <c r="B14" s="1">
        <v>2</v>
      </c>
      <c r="C14" s="1" t="s">
        <v>938</v>
      </c>
      <c r="D14" s="1" t="s">
        <v>939</v>
      </c>
    </row>
    <row r="15" spans="1:4" x14ac:dyDescent="0.2">
      <c r="A15" s="1" t="s">
        <v>861</v>
      </c>
      <c r="B15" s="1">
        <v>3</v>
      </c>
      <c r="C15" s="1" t="s">
        <v>999</v>
      </c>
      <c r="D15" s="1" t="s">
        <v>1000</v>
      </c>
    </row>
    <row r="16" spans="1:4" x14ac:dyDescent="0.2">
      <c r="A16" s="1" t="s">
        <v>865</v>
      </c>
      <c r="B16" s="1">
        <v>3</v>
      </c>
      <c r="C16" s="1" t="s">
        <v>999</v>
      </c>
      <c r="D16" s="1" t="s">
        <v>1000</v>
      </c>
    </row>
    <row r="17" spans="1:4" x14ac:dyDescent="0.2">
      <c r="A17" s="1" t="s">
        <v>870</v>
      </c>
      <c r="B17" s="1">
        <v>3</v>
      </c>
      <c r="C17" s="1" t="s">
        <v>999</v>
      </c>
      <c r="D17" s="1" t="s">
        <v>1000</v>
      </c>
    </row>
    <row r="18" spans="1:4" x14ac:dyDescent="0.2">
      <c r="A18" s="1" t="s">
        <v>861</v>
      </c>
      <c r="B18" s="1">
        <v>3</v>
      </c>
      <c r="C18" s="1" t="s">
        <v>999</v>
      </c>
      <c r="D18" s="1" t="s">
        <v>1000</v>
      </c>
    </row>
    <row r="19" spans="1:4" x14ac:dyDescent="0.2">
      <c r="A19" s="1" t="s">
        <v>884</v>
      </c>
      <c r="B19" s="1">
        <v>3</v>
      </c>
      <c r="C19" s="1" t="s">
        <v>999</v>
      </c>
      <c r="D19" s="1" t="s">
        <v>1000</v>
      </c>
    </row>
    <row r="20" spans="1:4" x14ac:dyDescent="0.2">
      <c r="A20" s="1" t="s">
        <v>877</v>
      </c>
      <c r="B20" s="1">
        <v>9</v>
      </c>
      <c r="C20" s="1" t="s">
        <v>996</v>
      </c>
      <c r="D20" s="1" t="s">
        <v>910</v>
      </c>
    </row>
    <row r="21" spans="1:4" x14ac:dyDescent="0.2">
      <c r="A21" s="1" t="s">
        <v>911</v>
      </c>
      <c r="B21" s="1">
        <v>3</v>
      </c>
      <c r="C21" s="1" t="s">
        <v>999</v>
      </c>
      <c r="D21" s="1" t="s">
        <v>1000</v>
      </c>
    </row>
    <row r="22" spans="1:4" x14ac:dyDescent="0.2">
      <c r="A22" s="1" t="s">
        <v>880</v>
      </c>
      <c r="B22" s="1" t="s">
        <v>944</v>
      </c>
      <c r="C22" s="1" t="s">
        <v>992</v>
      </c>
      <c r="D22" s="1" t="s">
        <v>995</v>
      </c>
    </row>
    <row r="23" spans="1:4" x14ac:dyDescent="0.2">
      <c r="A23" s="1" t="s">
        <v>910</v>
      </c>
      <c r="B23" s="1">
        <v>9</v>
      </c>
      <c r="C23" s="1" t="s">
        <v>996</v>
      </c>
      <c r="D23" s="1" t="s">
        <v>910</v>
      </c>
    </row>
    <row r="24" spans="1:4" x14ac:dyDescent="0.2">
      <c r="A24" s="1" t="s">
        <v>918</v>
      </c>
      <c r="B24" s="1">
        <v>3</v>
      </c>
      <c r="C24" s="1" t="s">
        <v>999</v>
      </c>
      <c r="D24" s="1" t="s">
        <v>1000</v>
      </c>
    </row>
    <row r="25" spans="1:4" x14ac:dyDescent="0.2">
      <c r="A25" s="1" t="s">
        <v>922</v>
      </c>
      <c r="B25" s="1">
        <v>3</v>
      </c>
      <c r="C25" s="1" t="s">
        <v>999</v>
      </c>
      <c r="D25" s="1" t="s">
        <v>1000</v>
      </c>
    </row>
    <row r="26" spans="1:4" x14ac:dyDescent="0.2">
      <c r="A26" s="1" t="s">
        <v>862</v>
      </c>
      <c r="B26" s="1">
        <v>4</v>
      </c>
      <c r="C26" s="1" t="s">
        <v>990</v>
      </c>
      <c r="D26" s="1" t="s">
        <v>991</v>
      </c>
    </row>
    <row r="27" spans="1:4" x14ac:dyDescent="0.2">
      <c r="A27" s="1" t="s">
        <v>882</v>
      </c>
      <c r="B27" s="1" t="s">
        <v>936</v>
      </c>
      <c r="C27" s="1" t="s">
        <v>1017</v>
      </c>
      <c r="D27" s="1" t="s">
        <v>1019</v>
      </c>
    </row>
    <row r="28" spans="1:4" x14ac:dyDescent="0.2">
      <c r="A28" s="1" t="s">
        <v>883</v>
      </c>
      <c r="B28" s="1" t="s">
        <v>937</v>
      </c>
      <c r="C28" s="1" t="s">
        <v>1018</v>
      </c>
      <c r="D28" s="1" t="s">
        <v>1020</v>
      </c>
    </row>
    <row r="29" spans="1:4" x14ac:dyDescent="0.2">
      <c r="A29" s="1" t="s">
        <v>869</v>
      </c>
      <c r="B29" s="1">
        <v>4</v>
      </c>
      <c r="C29" s="1" t="s">
        <v>990</v>
      </c>
      <c r="D29" s="1" t="s">
        <v>991</v>
      </c>
    </row>
    <row r="30" spans="1:4" x14ac:dyDescent="0.2">
      <c r="A30" s="1" t="s">
        <v>885</v>
      </c>
      <c r="B30" s="1" t="s">
        <v>873</v>
      </c>
      <c r="C30" s="1" t="s">
        <v>940</v>
      </c>
      <c r="D30" s="1" t="s">
        <v>941</v>
      </c>
    </row>
    <row r="31" spans="1:4" x14ac:dyDescent="0.2">
      <c r="A31" s="1" t="s">
        <v>886</v>
      </c>
      <c r="B31" s="1" t="s">
        <v>933</v>
      </c>
      <c r="C31" s="1" t="s">
        <v>940</v>
      </c>
      <c r="D31" s="1" t="s">
        <v>941</v>
      </c>
    </row>
    <row r="32" spans="1:4" x14ac:dyDescent="0.2">
      <c r="A32" s="1" t="s">
        <v>864</v>
      </c>
      <c r="B32" s="1" t="s">
        <v>874</v>
      </c>
      <c r="C32" s="1" t="s">
        <v>942</v>
      </c>
      <c r="D32" s="1" t="s">
        <v>943</v>
      </c>
    </row>
    <row r="33" spans="1:4" x14ac:dyDescent="0.2">
      <c r="A33" s="1" t="s">
        <v>893</v>
      </c>
      <c r="B33" s="1">
        <v>4</v>
      </c>
      <c r="C33" s="1" t="s">
        <v>990</v>
      </c>
      <c r="D33" s="1" t="s">
        <v>991</v>
      </c>
    </row>
    <row r="34" spans="1:4" x14ac:dyDescent="0.2">
      <c r="A34" s="1" t="s">
        <v>924</v>
      </c>
      <c r="B34" s="1">
        <v>9</v>
      </c>
      <c r="C34" s="1" t="s">
        <v>996</v>
      </c>
      <c r="D34" s="1" t="s">
        <v>910</v>
      </c>
    </row>
    <row r="35" spans="1:4" x14ac:dyDescent="0.2">
      <c r="A35" s="1" t="s">
        <v>934</v>
      </c>
      <c r="B35" s="1">
        <v>11</v>
      </c>
      <c r="C35" s="1" t="s">
        <v>1006</v>
      </c>
      <c r="D35" s="1" t="s">
        <v>1005</v>
      </c>
    </row>
    <row r="36" spans="1:4" x14ac:dyDescent="0.2">
      <c r="A36" s="1" t="s">
        <v>878</v>
      </c>
      <c r="B36" s="1">
        <v>4</v>
      </c>
      <c r="C36" s="1" t="s">
        <v>990</v>
      </c>
      <c r="D36" s="1" t="s">
        <v>991</v>
      </c>
    </row>
    <row r="37" spans="1:4" x14ac:dyDescent="0.2">
      <c r="A37" s="1" t="s">
        <v>919</v>
      </c>
      <c r="B37" s="1">
        <v>11</v>
      </c>
      <c r="C37" s="1" t="s">
        <v>1006</v>
      </c>
      <c r="D37" s="1" t="s">
        <v>1005</v>
      </c>
    </row>
    <row r="38" spans="1:4" x14ac:dyDescent="0.2">
      <c r="A38" s="1" t="s">
        <v>896</v>
      </c>
      <c r="B38" s="1">
        <v>12</v>
      </c>
      <c r="C38" s="1" t="s">
        <v>986</v>
      </c>
      <c r="D38" s="1" t="s">
        <v>987</v>
      </c>
    </row>
    <row r="39" spans="1:4" x14ac:dyDescent="0.2">
      <c r="A39" s="1" t="s">
        <v>897</v>
      </c>
      <c r="B39" s="1">
        <v>13</v>
      </c>
      <c r="C39" s="1" t="s">
        <v>988</v>
      </c>
      <c r="D39" s="1" t="s">
        <v>989</v>
      </c>
    </row>
    <row r="40" spans="1:4" x14ac:dyDescent="0.2">
      <c r="A40" s="1" t="s">
        <v>902</v>
      </c>
      <c r="B40" s="1">
        <v>4</v>
      </c>
      <c r="C40" s="1" t="s">
        <v>990</v>
      </c>
      <c r="D40" s="1" t="s">
        <v>991</v>
      </c>
    </row>
    <row r="41" spans="1:4" x14ac:dyDescent="0.2">
      <c r="A41" s="1" t="s">
        <v>903</v>
      </c>
      <c r="B41" s="1" t="s">
        <v>873</v>
      </c>
      <c r="C41" s="1" t="s">
        <v>940</v>
      </c>
      <c r="D41" s="1" t="s">
        <v>941</v>
      </c>
    </row>
    <row r="42" spans="1:4" x14ac:dyDescent="0.2">
      <c r="A42" s="1" t="s">
        <v>904</v>
      </c>
      <c r="B42" s="1" t="s">
        <v>873</v>
      </c>
      <c r="C42" s="1" t="s">
        <v>940</v>
      </c>
      <c r="D42" s="1" t="s">
        <v>941</v>
      </c>
    </row>
    <row r="43" spans="1:4" x14ac:dyDescent="0.2">
      <c r="A43" s="1" t="s">
        <v>912</v>
      </c>
      <c r="B43" s="1">
        <v>4</v>
      </c>
      <c r="C43" s="1" t="s">
        <v>990</v>
      </c>
      <c r="D43" s="1" t="s">
        <v>991</v>
      </c>
    </row>
    <row r="44" spans="1:4" x14ac:dyDescent="0.2">
      <c r="A44" s="1" t="s">
        <v>889</v>
      </c>
      <c r="B44" s="1" t="s">
        <v>873</v>
      </c>
      <c r="C44" s="1" t="s">
        <v>940</v>
      </c>
      <c r="D44" s="1" t="s">
        <v>941</v>
      </c>
    </row>
    <row r="45" spans="1:4" x14ac:dyDescent="0.2">
      <c r="A45" s="1" t="s">
        <v>906</v>
      </c>
      <c r="B45" s="1" t="s">
        <v>873</v>
      </c>
      <c r="C45" s="1" t="s">
        <v>940</v>
      </c>
      <c r="D45" s="1" t="s">
        <v>941</v>
      </c>
    </row>
    <row r="46" spans="1:4" x14ac:dyDescent="0.2">
      <c r="A46" s="1" t="s">
        <v>907</v>
      </c>
      <c r="B46" s="1" t="s">
        <v>873</v>
      </c>
      <c r="C46" s="1" t="s">
        <v>940</v>
      </c>
      <c r="D46" s="1" t="s">
        <v>941</v>
      </c>
    </row>
    <row r="47" spans="1:4" x14ac:dyDescent="0.2">
      <c r="A47" s="1" t="s">
        <v>886</v>
      </c>
      <c r="B47" s="1" t="s">
        <v>933</v>
      </c>
      <c r="C47" s="1" t="s">
        <v>940</v>
      </c>
      <c r="D47" s="1" t="s">
        <v>941</v>
      </c>
    </row>
    <row r="48" spans="1:4" x14ac:dyDescent="0.2">
      <c r="A48" s="1" t="s">
        <v>864</v>
      </c>
      <c r="B48" s="1" t="s">
        <v>874</v>
      </c>
      <c r="C48" s="1" t="s">
        <v>942</v>
      </c>
      <c r="D48" s="1" t="s">
        <v>943</v>
      </c>
    </row>
    <row r="49" spans="1:4" x14ac:dyDescent="0.2">
      <c r="A49" s="1" t="s">
        <v>863</v>
      </c>
      <c r="B49" s="1" t="s">
        <v>875</v>
      </c>
      <c r="C49" s="1" t="s">
        <v>997</v>
      </c>
      <c r="D49" s="1" t="s">
        <v>998</v>
      </c>
    </row>
    <row r="50" spans="1:4" x14ac:dyDescent="0.2">
      <c r="A50" s="1" t="s">
        <v>915</v>
      </c>
      <c r="B50" s="1">
        <v>4</v>
      </c>
      <c r="C50" s="1" t="s">
        <v>990</v>
      </c>
      <c r="D50" s="1" t="s">
        <v>991</v>
      </c>
    </row>
    <row r="51" spans="1:4" x14ac:dyDescent="0.2">
      <c r="A51" s="1" t="s">
        <v>903</v>
      </c>
      <c r="B51" s="1" t="s">
        <v>873</v>
      </c>
      <c r="C51" s="1" t="s">
        <v>940</v>
      </c>
      <c r="D51" s="1" t="s">
        <v>941</v>
      </c>
    </row>
    <row r="52" spans="1:4" x14ac:dyDescent="0.2">
      <c r="A52" s="1" t="s">
        <v>886</v>
      </c>
      <c r="B52" s="1" t="s">
        <v>933</v>
      </c>
      <c r="C52" s="1" t="s">
        <v>940</v>
      </c>
      <c r="D52" s="1" t="s">
        <v>941</v>
      </c>
    </row>
    <row r="53" spans="1:4" x14ac:dyDescent="0.2">
      <c r="A53" s="1" t="s">
        <v>909</v>
      </c>
      <c r="B53" s="1" t="s">
        <v>873</v>
      </c>
      <c r="C53" s="1" t="s">
        <v>940</v>
      </c>
      <c r="D53" s="1" t="s">
        <v>941</v>
      </c>
    </row>
    <row r="54" spans="1:4" x14ac:dyDescent="0.2">
      <c r="A54" s="1" t="s">
        <v>954</v>
      </c>
      <c r="B54" s="1" t="s">
        <v>955</v>
      </c>
      <c r="C54" s="49" t="s">
        <v>1003</v>
      </c>
      <c r="D54" s="49" t="s">
        <v>1004</v>
      </c>
    </row>
    <row r="55" spans="1:4" x14ac:dyDescent="0.2">
      <c r="A55" s="1" t="s">
        <v>899</v>
      </c>
      <c r="B55" s="1">
        <v>14</v>
      </c>
      <c r="C55" s="1" t="s">
        <v>1007</v>
      </c>
      <c r="D55" s="1" t="s">
        <v>1008</v>
      </c>
    </row>
    <row r="56" spans="1:4" x14ac:dyDescent="0.2">
      <c r="A56" s="1" t="s">
        <v>925</v>
      </c>
      <c r="B56" s="1">
        <v>4</v>
      </c>
      <c r="C56" s="1" t="s">
        <v>990</v>
      </c>
      <c r="D56" s="1" t="s">
        <v>991</v>
      </c>
    </row>
    <row r="57" spans="1:4" x14ac:dyDescent="0.2">
      <c r="A57" s="1" t="s">
        <v>900</v>
      </c>
      <c r="B57" s="1">
        <v>15</v>
      </c>
      <c r="C57" s="1" t="s">
        <v>1009</v>
      </c>
      <c r="D57" s="1" t="s">
        <v>900</v>
      </c>
    </row>
    <row r="58" spans="1:4" x14ac:dyDescent="0.2">
      <c r="A58" s="1" t="s">
        <v>892</v>
      </c>
      <c r="B58" s="1">
        <v>5</v>
      </c>
      <c r="C58" s="1" t="s">
        <v>997</v>
      </c>
      <c r="D58" s="1" t="s">
        <v>998</v>
      </c>
    </row>
    <row r="59" spans="1:4" x14ac:dyDescent="0.2">
      <c r="A59" s="1" t="s">
        <v>913</v>
      </c>
      <c r="B59" s="1" t="s">
        <v>873</v>
      </c>
      <c r="C59" s="1" t="s">
        <v>940</v>
      </c>
      <c r="D59" s="1" t="s">
        <v>941</v>
      </c>
    </row>
    <row r="60" spans="1:4" x14ac:dyDescent="0.2">
      <c r="A60" s="1" t="s">
        <v>871</v>
      </c>
      <c r="B60" s="1">
        <v>5</v>
      </c>
      <c r="C60" s="1" t="s">
        <v>997</v>
      </c>
      <c r="D60" s="1" t="s">
        <v>998</v>
      </c>
    </row>
    <row r="61" spans="1:4" x14ac:dyDescent="0.2">
      <c r="A61" s="1" t="s">
        <v>887</v>
      </c>
      <c r="B61" s="1">
        <v>5</v>
      </c>
      <c r="C61" s="1" t="s">
        <v>997</v>
      </c>
      <c r="D61" s="1" t="s">
        <v>998</v>
      </c>
    </row>
    <row r="62" spans="1:4" x14ac:dyDescent="0.2">
      <c r="A62" s="1" t="s">
        <v>863</v>
      </c>
      <c r="B62" s="1" t="s">
        <v>875</v>
      </c>
      <c r="C62" s="1" t="s">
        <v>997</v>
      </c>
      <c r="D62" s="1" t="s">
        <v>998</v>
      </c>
    </row>
    <row r="63" spans="1:4" x14ac:dyDescent="0.2">
      <c r="A63" s="1" t="s">
        <v>908</v>
      </c>
      <c r="B63" s="1">
        <v>5</v>
      </c>
      <c r="C63" s="1" t="s">
        <v>997</v>
      </c>
      <c r="D63" s="1" t="s">
        <v>998</v>
      </c>
    </row>
    <row r="64" spans="1:4" x14ac:dyDescent="0.2">
      <c r="A64" s="1" t="s">
        <v>951</v>
      </c>
      <c r="B64" s="1">
        <v>5</v>
      </c>
      <c r="C64" s="1" t="s">
        <v>997</v>
      </c>
      <c r="D64" s="1" t="s">
        <v>998</v>
      </c>
    </row>
    <row r="65" spans="1:4" x14ac:dyDescent="0.2">
      <c r="A65" s="1" t="s">
        <v>888</v>
      </c>
      <c r="B65" s="1">
        <v>5</v>
      </c>
      <c r="C65" s="1" t="s">
        <v>997</v>
      </c>
      <c r="D65" s="1" t="s">
        <v>998</v>
      </c>
    </row>
    <row r="66" spans="1:4" x14ac:dyDescent="0.2">
      <c r="A66" s="1" t="s">
        <v>928</v>
      </c>
      <c r="B66" s="1" t="s">
        <v>945</v>
      </c>
      <c r="C66" s="1" t="s">
        <v>1010</v>
      </c>
      <c r="D66" s="1" t="s">
        <v>1011</v>
      </c>
    </row>
    <row r="67" spans="1:4" x14ac:dyDescent="0.2">
      <c r="A67" s="1" t="s">
        <v>866</v>
      </c>
      <c r="B67" s="1">
        <v>6</v>
      </c>
      <c r="C67" s="1" t="s">
        <v>999</v>
      </c>
      <c r="D67" s="1" t="s">
        <v>1000</v>
      </c>
    </row>
    <row r="68" spans="1:4" x14ac:dyDescent="0.2">
      <c r="A68" s="1" t="s">
        <v>948</v>
      </c>
      <c r="B68" s="1">
        <v>6</v>
      </c>
      <c r="C68" s="1" t="s">
        <v>999</v>
      </c>
      <c r="D68" s="1" t="s">
        <v>1000</v>
      </c>
    </row>
    <row r="69" spans="1:4" x14ac:dyDescent="0.2">
      <c r="A69" s="1" t="s">
        <v>916</v>
      </c>
      <c r="B69" s="1" t="s">
        <v>936</v>
      </c>
      <c r="C69" s="1" t="s">
        <v>1017</v>
      </c>
      <c r="D69" s="1" t="s">
        <v>1019</v>
      </c>
    </row>
    <row r="70" spans="1:4" x14ac:dyDescent="0.2">
      <c r="A70" s="1" t="s">
        <v>917</v>
      </c>
      <c r="B70" s="1" t="s">
        <v>933</v>
      </c>
      <c r="C70" s="1" t="s">
        <v>940</v>
      </c>
      <c r="D70" s="1" t="s">
        <v>941</v>
      </c>
    </row>
    <row r="71" spans="1:4" x14ac:dyDescent="0.2">
      <c r="A71" s="1" t="s">
        <v>907</v>
      </c>
      <c r="B71" s="1" t="s">
        <v>873</v>
      </c>
      <c r="C71" s="1" t="s">
        <v>940</v>
      </c>
      <c r="D71" s="1" t="s">
        <v>941</v>
      </c>
    </row>
    <row r="72" spans="1:4" x14ac:dyDescent="0.2">
      <c r="A72" s="1" t="s">
        <v>891</v>
      </c>
      <c r="B72" s="1" t="s">
        <v>937</v>
      </c>
      <c r="C72" s="1" t="s">
        <v>1018</v>
      </c>
      <c r="D72" s="1" t="s">
        <v>1020</v>
      </c>
    </row>
    <row r="73" spans="1:4" x14ac:dyDescent="0.2">
      <c r="A73" s="1" t="s">
        <v>920</v>
      </c>
      <c r="B73" s="1" t="s">
        <v>937</v>
      </c>
      <c r="C73" s="1" t="s">
        <v>1018</v>
      </c>
      <c r="D73" s="1" t="s">
        <v>1020</v>
      </c>
    </row>
    <row r="74" spans="1:4" x14ac:dyDescent="0.2">
      <c r="A74" s="1" t="s">
        <v>921</v>
      </c>
      <c r="B74" s="1" t="s">
        <v>936</v>
      </c>
      <c r="C74" s="1" t="s">
        <v>1017</v>
      </c>
      <c r="D74" s="1" t="s">
        <v>1019</v>
      </c>
    </row>
    <row r="75" spans="1:4" x14ac:dyDescent="0.2">
      <c r="A75" s="1" t="s">
        <v>868</v>
      </c>
      <c r="B75" s="1">
        <v>7</v>
      </c>
      <c r="C75" s="1" t="s">
        <v>1002</v>
      </c>
      <c r="D75" s="1" t="s">
        <v>1001</v>
      </c>
    </row>
    <row r="76" spans="1:4" x14ac:dyDescent="0.2">
      <c r="A76" s="1" t="s">
        <v>905</v>
      </c>
      <c r="B76" s="1">
        <v>7</v>
      </c>
      <c r="C76" s="1" t="s">
        <v>1002</v>
      </c>
      <c r="D76" s="1" t="s">
        <v>1001</v>
      </c>
    </row>
    <row r="77" spans="1:4" x14ac:dyDescent="0.2">
      <c r="A77" s="1" t="s">
        <v>876</v>
      </c>
      <c r="B77" s="1">
        <v>8</v>
      </c>
      <c r="C77" s="1" t="s">
        <v>1003</v>
      </c>
      <c r="D77" s="1" t="s">
        <v>1004</v>
      </c>
    </row>
    <row r="78" spans="1:4" x14ac:dyDescent="0.2">
      <c r="A78" s="1" t="s">
        <v>901</v>
      </c>
      <c r="B78" s="1">
        <v>16</v>
      </c>
      <c r="C78" s="1" t="s">
        <v>1010</v>
      </c>
      <c r="D78" s="1" t="s">
        <v>1011</v>
      </c>
    </row>
    <row r="79" spans="1:4" x14ac:dyDescent="0.2">
      <c r="A79" s="1" t="s">
        <v>898</v>
      </c>
      <c r="B79" s="1">
        <v>8</v>
      </c>
      <c r="C79" s="1" t="s">
        <v>1003</v>
      </c>
      <c r="D79" s="1" t="s">
        <v>1004</v>
      </c>
    </row>
    <row r="80" spans="1:4" x14ac:dyDescent="0.2">
      <c r="A80" s="1" t="s">
        <v>890</v>
      </c>
      <c r="B80" s="1">
        <v>6</v>
      </c>
      <c r="C80" s="1" t="s">
        <v>999</v>
      </c>
      <c r="D80" s="1" t="s">
        <v>1000</v>
      </c>
    </row>
    <row r="81" spans="1:4" x14ac:dyDescent="0.2">
      <c r="A81" s="1" t="s">
        <v>926</v>
      </c>
      <c r="B81" s="1">
        <v>18</v>
      </c>
      <c r="C81" s="1" t="s">
        <v>1012</v>
      </c>
      <c r="D81" s="1" t="s">
        <v>1013</v>
      </c>
    </row>
    <row r="82" spans="1:4" x14ac:dyDescent="0.2">
      <c r="A82" s="1" t="s">
        <v>928</v>
      </c>
      <c r="B82" s="1" t="s">
        <v>945</v>
      </c>
      <c r="C82" s="1" t="s">
        <v>1010</v>
      </c>
      <c r="D82" s="1" t="s">
        <v>1011</v>
      </c>
    </row>
    <row r="83" spans="1:4" x14ac:dyDescent="0.2">
      <c r="A83" s="1" t="s">
        <v>929</v>
      </c>
      <c r="B83" s="1" t="s">
        <v>873</v>
      </c>
      <c r="C83" s="1" t="s">
        <v>940</v>
      </c>
      <c r="D83" s="1" t="s">
        <v>941</v>
      </c>
    </row>
    <row r="84" spans="1:4" x14ac:dyDescent="0.2">
      <c r="A84" s="1" t="s">
        <v>930</v>
      </c>
      <c r="B84" s="1" t="s">
        <v>949</v>
      </c>
      <c r="C84" s="1" t="s">
        <v>940</v>
      </c>
      <c r="D84" s="1" t="s">
        <v>941</v>
      </c>
    </row>
    <row r="85" spans="1:4" x14ac:dyDescent="0.2">
      <c r="A85" s="1" t="s">
        <v>864</v>
      </c>
      <c r="B85" s="1" t="s">
        <v>874</v>
      </c>
      <c r="C85" s="1" t="s">
        <v>942</v>
      </c>
      <c r="D85" s="1" t="s">
        <v>943</v>
      </c>
    </row>
    <row r="86" spans="1:4" x14ac:dyDescent="0.2">
      <c r="A86" s="1" t="s">
        <v>863</v>
      </c>
      <c r="B86" s="1" t="s">
        <v>875</v>
      </c>
      <c r="C86" s="1" t="s">
        <v>997</v>
      </c>
      <c r="D86" s="1" t="s">
        <v>998</v>
      </c>
    </row>
    <row r="87" spans="1:4" x14ac:dyDescent="0.2">
      <c r="A87" s="1" t="s">
        <v>927</v>
      </c>
      <c r="B87" s="1">
        <v>19</v>
      </c>
      <c r="C87" s="1" t="s">
        <v>1014</v>
      </c>
      <c r="D87" s="1" t="s">
        <v>1015</v>
      </c>
    </row>
    <row r="88" spans="1:4" x14ac:dyDescent="0.2">
      <c r="A88" s="1" t="s">
        <v>1150</v>
      </c>
      <c r="B88" s="1" t="s">
        <v>1151</v>
      </c>
      <c r="C88" s="1" t="s">
        <v>942</v>
      </c>
      <c r="D88" s="1" t="s">
        <v>943</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207D9-E9DF-4EB4-8FF8-A7CF5EED1B4A}">
  <sheetPr codeName="Tabelle32">
    <tabColor theme="5" tint="0.79998168889431442"/>
  </sheetPr>
  <dimension ref="A1:Z27"/>
  <sheetViews>
    <sheetView workbookViewId="0">
      <selection activeCell="R1" sqref="R1"/>
    </sheetView>
  </sheetViews>
  <sheetFormatPr baseColWidth="10" defaultRowHeight="15.75" x14ac:dyDescent="0.25"/>
  <cols>
    <col min="1" max="1" width="17.625" customWidth="1"/>
    <col min="2" max="26" width="5.875" style="7" customWidth="1"/>
  </cols>
  <sheetData>
    <row r="1" spans="1:26" ht="166.5" x14ac:dyDescent="0.25">
      <c r="A1" s="50" t="s">
        <v>1</v>
      </c>
      <c r="B1" s="43" t="s">
        <v>867</v>
      </c>
      <c r="C1" s="43" t="s">
        <v>1625</v>
      </c>
      <c r="D1" s="43" t="s">
        <v>1626</v>
      </c>
      <c r="E1" s="43" t="s">
        <v>864</v>
      </c>
      <c r="F1" s="43" t="s">
        <v>1153</v>
      </c>
      <c r="G1" s="43" t="s">
        <v>1627</v>
      </c>
      <c r="H1" s="43" t="s">
        <v>865</v>
      </c>
      <c r="I1" s="43" t="s">
        <v>1628</v>
      </c>
      <c r="J1" s="43" t="s">
        <v>1629</v>
      </c>
      <c r="K1" s="43" t="s">
        <v>863</v>
      </c>
      <c r="L1" s="43" t="s">
        <v>866</v>
      </c>
      <c r="M1" s="43" t="s">
        <v>1630</v>
      </c>
      <c r="N1" s="43" t="s">
        <v>1631</v>
      </c>
      <c r="O1" s="43" t="s">
        <v>1632</v>
      </c>
      <c r="P1" s="43" t="s">
        <v>1633</v>
      </c>
      <c r="Q1" s="43" t="s">
        <v>957</v>
      </c>
      <c r="R1" s="43" t="s">
        <v>1634</v>
      </c>
      <c r="S1" s="43" t="s">
        <v>958</v>
      </c>
      <c r="T1" s="43" t="s">
        <v>959</v>
      </c>
      <c r="U1" s="43" t="s">
        <v>960</v>
      </c>
      <c r="V1" s="43" t="s">
        <v>961</v>
      </c>
      <c r="W1" s="43" t="s">
        <v>962</v>
      </c>
      <c r="X1" s="43" t="s">
        <v>966</v>
      </c>
      <c r="Y1" s="43" t="s">
        <v>1636</v>
      </c>
      <c r="Z1" s="43" t="s">
        <v>1635</v>
      </c>
    </row>
    <row r="2" spans="1:26" x14ac:dyDescent="0.25">
      <c r="A2" s="6" t="s">
        <v>12</v>
      </c>
      <c r="B2" s="42">
        <v>1</v>
      </c>
      <c r="C2" s="42">
        <v>0</v>
      </c>
      <c r="D2" s="42">
        <v>1</v>
      </c>
      <c r="E2" s="42">
        <v>1</v>
      </c>
      <c r="F2" s="42">
        <v>0</v>
      </c>
      <c r="G2" s="42">
        <v>0</v>
      </c>
      <c r="H2" s="42">
        <v>1</v>
      </c>
      <c r="I2" s="42">
        <v>1</v>
      </c>
      <c r="J2" s="42">
        <v>1</v>
      </c>
      <c r="K2" s="42">
        <v>0</v>
      </c>
      <c r="L2" s="42">
        <v>0</v>
      </c>
      <c r="M2" s="42">
        <v>0</v>
      </c>
      <c r="N2" s="42">
        <v>0</v>
      </c>
      <c r="O2" s="42">
        <v>0</v>
      </c>
      <c r="P2" s="42">
        <v>0</v>
      </c>
      <c r="Q2" s="42">
        <v>0</v>
      </c>
      <c r="R2" s="42">
        <v>0</v>
      </c>
      <c r="S2" s="42">
        <v>0</v>
      </c>
      <c r="T2" s="42">
        <v>0</v>
      </c>
      <c r="U2" s="42">
        <v>0</v>
      </c>
      <c r="V2" s="42">
        <v>0</v>
      </c>
      <c r="W2" s="42">
        <v>0</v>
      </c>
      <c r="X2" s="42">
        <v>0</v>
      </c>
      <c r="Y2" s="42">
        <v>0</v>
      </c>
      <c r="Z2" s="42">
        <v>0</v>
      </c>
    </row>
    <row r="3" spans="1:26" ht="25.5" x14ac:dyDescent="0.25">
      <c r="A3" s="6" t="s">
        <v>347</v>
      </c>
      <c r="B3" s="42">
        <v>1</v>
      </c>
      <c r="C3" s="42">
        <v>1</v>
      </c>
      <c r="D3" s="42">
        <v>0</v>
      </c>
      <c r="E3" s="42">
        <v>0</v>
      </c>
      <c r="F3" s="42">
        <v>0</v>
      </c>
      <c r="G3" s="42">
        <v>0</v>
      </c>
      <c r="H3" s="42">
        <v>1</v>
      </c>
      <c r="I3" s="42">
        <v>1</v>
      </c>
      <c r="J3" s="42">
        <v>1</v>
      </c>
      <c r="K3" s="42">
        <v>0</v>
      </c>
      <c r="L3" s="42">
        <v>1</v>
      </c>
      <c r="M3" s="42">
        <v>1</v>
      </c>
      <c r="N3" s="42">
        <v>0</v>
      </c>
      <c r="O3" s="42">
        <v>0</v>
      </c>
      <c r="P3" s="42">
        <v>0</v>
      </c>
      <c r="Q3" s="42">
        <v>0</v>
      </c>
      <c r="R3" s="42">
        <v>0</v>
      </c>
      <c r="S3" s="42">
        <v>0</v>
      </c>
      <c r="T3" s="42">
        <v>0</v>
      </c>
      <c r="U3" s="42">
        <v>0</v>
      </c>
      <c r="V3" s="42">
        <v>0</v>
      </c>
      <c r="W3" s="42">
        <v>0</v>
      </c>
      <c r="X3" s="42">
        <v>0</v>
      </c>
      <c r="Y3" s="42">
        <v>0</v>
      </c>
      <c r="Z3" s="42">
        <v>0</v>
      </c>
    </row>
    <row r="4" spans="1:26" ht="25.5" x14ac:dyDescent="0.25">
      <c r="A4" s="6" t="s">
        <v>348</v>
      </c>
      <c r="B4" s="42">
        <v>1</v>
      </c>
      <c r="C4" s="42">
        <v>1</v>
      </c>
      <c r="D4" s="42">
        <v>0</v>
      </c>
      <c r="E4" s="42">
        <v>0</v>
      </c>
      <c r="F4" s="42">
        <v>0</v>
      </c>
      <c r="G4" s="42">
        <v>0</v>
      </c>
      <c r="H4" s="42">
        <v>1</v>
      </c>
      <c r="I4" s="42">
        <v>1</v>
      </c>
      <c r="J4" s="42">
        <v>1</v>
      </c>
      <c r="K4" s="42">
        <v>0</v>
      </c>
      <c r="L4" s="42">
        <v>0</v>
      </c>
      <c r="M4" s="42">
        <v>0</v>
      </c>
      <c r="N4" s="42">
        <v>0</v>
      </c>
      <c r="O4" s="42">
        <v>0</v>
      </c>
      <c r="P4" s="42">
        <v>0</v>
      </c>
      <c r="Q4" s="42">
        <v>0</v>
      </c>
      <c r="R4" s="42">
        <v>0</v>
      </c>
      <c r="S4" s="42">
        <v>0</v>
      </c>
      <c r="T4" s="42">
        <v>0</v>
      </c>
      <c r="U4" s="42">
        <v>0</v>
      </c>
      <c r="V4" s="42">
        <v>0</v>
      </c>
      <c r="W4" s="42">
        <v>0</v>
      </c>
      <c r="X4" s="42">
        <v>0</v>
      </c>
      <c r="Y4" s="42">
        <v>0</v>
      </c>
      <c r="Z4" s="42">
        <v>0</v>
      </c>
    </row>
    <row r="5" spans="1:26" x14ac:dyDescent="0.25">
      <c r="A5" s="6" t="s">
        <v>183</v>
      </c>
      <c r="B5" s="42">
        <v>1</v>
      </c>
      <c r="C5" s="42">
        <v>0</v>
      </c>
      <c r="D5" s="42">
        <v>1</v>
      </c>
      <c r="E5" s="42">
        <v>1</v>
      </c>
      <c r="F5" s="42">
        <v>1</v>
      </c>
      <c r="G5" s="42">
        <v>1</v>
      </c>
      <c r="H5" s="42">
        <v>1</v>
      </c>
      <c r="I5" s="42">
        <v>1</v>
      </c>
      <c r="J5" s="42">
        <v>1</v>
      </c>
      <c r="K5" s="42">
        <v>0</v>
      </c>
      <c r="L5" s="42">
        <v>1</v>
      </c>
      <c r="M5" s="42">
        <v>1</v>
      </c>
      <c r="N5" s="42">
        <v>0</v>
      </c>
      <c r="O5" s="42">
        <v>0</v>
      </c>
      <c r="P5" s="42">
        <v>1</v>
      </c>
      <c r="Q5" s="42">
        <v>1</v>
      </c>
      <c r="R5" s="42">
        <v>0</v>
      </c>
      <c r="S5" s="42">
        <v>0</v>
      </c>
      <c r="T5" s="42">
        <v>0</v>
      </c>
      <c r="U5" s="42">
        <v>0</v>
      </c>
      <c r="V5" s="42">
        <v>0</v>
      </c>
      <c r="W5" s="42">
        <v>0</v>
      </c>
      <c r="X5" s="42">
        <v>0</v>
      </c>
      <c r="Y5" s="42">
        <v>0</v>
      </c>
      <c r="Z5" s="42">
        <v>0</v>
      </c>
    </row>
    <row r="6" spans="1:26" ht="25.5" x14ac:dyDescent="0.25">
      <c r="A6" s="6" t="s">
        <v>258</v>
      </c>
      <c r="B6" s="42">
        <v>1</v>
      </c>
      <c r="C6" s="42">
        <v>0</v>
      </c>
      <c r="D6" s="42">
        <v>1</v>
      </c>
      <c r="E6" s="42">
        <v>1</v>
      </c>
      <c r="F6" s="42">
        <v>1</v>
      </c>
      <c r="G6" s="42">
        <v>0</v>
      </c>
      <c r="H6" s="42">
        <v>1</v>
      </c>
      <c r="I6" s="42">
        <v>1</v>
      </c>
      <c r="J6" s="42">
        <v>1</v>
      </c>
      <c r="K6" s="42">
        <v>0</v>
      </c>
      <c r="L6" s="42">
        <v>1</v>
      </c>
      <c r="M6" s="42">
        <v>0</v>
      </c>
      <c r="N6" s="42">
        <v>1</v>
      </c>
      <c r="O6" s="42">
        <v>1</v>
      </c>
      <c r="P6" s="42">
        <v>0</v>
      </c>
      <c r="Q6" s="42">
        <v>0</v>
      </c>
      <c r="R6" s="42">
        <v>1</v>
      </c>
      <c r="S6" s="42">
        <v>0</v>
      </c>
      <c r="T6" s="42">
        <v>0</v>
      </c>
      <c r="U6" s="42">
        <v>0</v>
      </c>
      <c r="V6" s="42">
        <v>0</v>
      </c>
      <c r="W6" s="42">
        <v>0</v>
      </c>
      <c r="X6" s="42">
        <v>0</v>
      </c>
      <c r="Y6" s="42">
        <v>0</v>
      </c>
      <c r="Z6" s="42">
        <v>0</v>
      </c>
    </row>
    <row r="7" spans="1:26" x14ac:dyDescent="0.25">
      <c r="A7" s="18" t="s">
        <v>355</v>
      </c>
      <c r="B7" s="42">
        <v>0</v>
      </c>
      <c r="C7" s="42">
        <v>1</v>
      </c>
      <c r="D7" s="42">
        <v>0</v>
      </c>
      <c r="E7" s="42">
        <v>0</v>
      </c>
      <c r="F7" s="42">
        <v>0</v>
      </c>
      <c r="G7" s="42">
        <v>0</v>
      </c>
      <c r="H7" s="42">
        <v>0</v>
      </c>
      <c r="I7" s="42">
        <v>0</v>
      </c>
      <c r="J7" s="42">
        <v>0</v>
      </c>
      <c r="K7" s="42">
        <v>0</v>
      </c>
      <c r="L7" s="42">
        <v>0</v>
      </c>
      <c r="M7" s="42">
        <v>0</v>
      </c>
      <c r="N7" s="42">
        <v>0</v>
      </c>
      <c r="O7" s="42">
        <v>0</v>
      </c>
      <c r="P7" s="42">
        <v>0</v>
      </c>
      <c r="Q7" s="42">
        <v>0</v>
      </c>
      <c r="R7" s="42">
        <v>0</v>
      </c>
      <c r="S7" s="42">
        <v>1</v>
      </c>
      <c r="T7" s="42">
        <v>1</v>
      </c>
      <c r="U7" s="42">
        <v>1</v>
      </c>
      <c r="V7" s="42">
        <v>1</v>
      </c>
      <c r="W7" s="42">
        <v>1</v>
      </c>
      <c r="X7" s="42">
        <v>0</v>
      </c>
      <c r="Y7" s="42">
        <v>0</v>
      </c>
      <c r="Z7" s="42">
        <v>0</v>
      </c>
    </row>
    <row r="8" spans="1:26" x14ac:dyDescent="0.25">
      <c r="A8" s="18" t="s">
        <v>431</v>
      </c>
      <c r="B8" s="42">
        <v>0</v>
      </c>
      <c r="C8" s="42">
        <v>1</v>
      </c>
      <c r="D8" s="42">
        <v>0</v>
      </c>
      <c r="E8" s="42">
        <v>0</v>
      </c>
      <c r="F8" s="42">
        <v>0</v>
      </c>
      <c r="G8" s="42">
        <v>0</v>
      </c>
      <c r="H8" s="42">
        <v>1</v>
      </c>
      <c r="I8" s="42">
        <v>1</v>
      </c>
      <c r="J8" s="42">
        <v>1</v>
      </c>
      <c r="K8" s="42">
        <v>0</v>
      </c>
      <c r="L8" s="42">
        <v>0</v>
      </c>
      <c r="M8" s="42">
        <v>0</v>
      </c>
      <c r="N8" s="42">
        <v>0</v>
      </c>
      <c r="O8" s="42">
        <v>0</v>
      </c>
      <c r="P8" s="42">
        <v>0</v>
      </c>
      <c r="Q8" s="42">
        <v>0</v>
      </c>
      <c r="R8" s="42">
        <v>0</v>
      </c>
      <c r="S8" s="42">
        <v>0</v>
      </c>
      <c r="T8" s="42">
        <v>0</v>
      </c>
      <c r="U8" s="42">
        <v>0</v>
      </c>
      <c r="V8" s="42">
        <v>0</v>
      </c>
      <c r="W8" s="42">
        <v>0</v>
      </c>
      <c r="X8" s="42">
        <v>0</v>
      </c>
      <c r="Y8" s="42">
        <v>0</v>
      </c>
      <c r="Z8" s="42">
        <v>0</v>
      </c>
    </row>
    <row r="9" spans="1:26" x14ac:dyDescent="0.25">
      <c r="A9" s="6" t="s">
        <v>410</v>
      </c>
      <c r="B9" s="42">
        <v>1</v>
      </c>
      <c r="C9" s="42">
        <v>0</v>
      </c>
      <c r="D9" s="42">
        <v>1</v>
      </c>
      <c r="E9" s="42">
        <v>0</v>
      </c>
      <c r="F9" s="42">
        <v>0</v>
      </c>
      <c r="G9" s="42">
        <v>0</v>
      </c>
      <c r="H9" s="42">
        <v>1</v>
      </c>
      <c r="I9" s="42">
        <v>1</v>
      </c>
      <c r="J9" s="42">
        <v>1</v>
      </c>
      <c r="K9" s="42">
        <v>0</v>
      </c>
      <c r="L9" s="42">
        <v>0</v>
      </c>
      <c r="M9" s="42">
        <v>0</v>
      </c>
      <c r="N9" s="42">
        <v>0</v>
      </c>
      <c r="O9" s="42">
        <v>0</v>
      </c>
      <c r="P9" s="42">
        <v>0</v>
      </c>
      <c r="Q9" s="42">
        <v>0</v>
      </c>
      <c r="R9" s="42">
        <v>0</v>
      </c>
      <c r="S9" s="42">
        <v>0</v>
      </c>
      <c r="T9" s="42">
        <v>0</v>
      </c>
      <c r="U9" s="42">
        <v>0</v>
      </c>
      <c r="V9" s="42">
        <v>0</v>
      </c>
      <c r="W9" s="42">
        <v>0</v>
      </c>
      <c r="X9" s="42">
        <v>0</v>
      </c>
      <c r="Y9" s="42">
        <v>0</v>
      </c>
      <c r="Z9" s="42">
        <v>0</v>
      </c>
    </row>
    <row r="10" spans="1:26" x14ac:dyDescent="0.25">
      <c r="A10" s="6" t="s">
        <v>393</v>
      </c>
      <c r="B10" s="42">
        <v>1</v>
      </c>
      <c r="C10" s="42">
        <v>0</v>
      </c>
      <c r="D10" s="42">
        <v>1</v>
      </c>
      <c r="E10" s="42">
        <v>0</v>
      </c>
      <c r="F10" s="42">
        <v>0</v>
      </c>
      <c r="G10" s="42">
        <v>0</v>
      </c>
      <c r="H10" s="42">
        <v>1</v>
      </c>
      <c r="I10" s="42">
        <v>1</v>
      </c>
      <c r="J10" s="42">
        <v>0</v>
      </c>
      <c r="K10" s="42">
        <v>0</v>
      </c>
      <c r="L10" s="42">
        <v>0</v>
      </c>
      <c r="M10" s="42">
        <v>1</v>
      </c>
      <c r="N10" s="42">
        <v>0</v>
      </c>
      <c r="O10" s="42">
        <v>0</v>
      </c>
      <c r="P10" s="42">
        <v>0</v>
      </c>
      <c r="Q10" s="42">
        <v>0</v>
      </c>
      <c r="R10" s="42">
        <v>0</v>
      </c>
      <c r="S10" s="42">
        <v>0</v>
      </c>
      <c r="T10" s="42">
        <v>0</v>
      </c>
      <c r="U10" s="42">
        <v>0</v>
      </c>
      <c r="V10" s="42">
        <v>0</v>
      </c>
      <c r="W10" s="42">
        <v>0</v>
      </c>
      <c r="X10" s="42">
        <v>0</v>
      </c>
      <c r="Y10" s="42">
        <v>0</v>
      </c>
      <c r="Z10" s="42">
        <v>0</v>
      </c>
    </row>
    <row r="11" spans="1:26" ht="38.25" x14ac:dyDescent="0.25">
      <c r="A11" s="21" t="s">
        <v>380</v>
      </c>
      <c r="B11" s="42">
        <v>0</v>
      </c>
      <c r="C11" s="42">
        <v>0</v>
      </c>
      <c r="D11" s="42">
        <v>0</v>
      </c>
      <c r="E11" s="42">
        <v>0</v>
      </c>
      <c r="F11" s="42">
        <v>0</v>
      </c>
      <c r="G11" s="42">
        <v>0</v>
      </c>
      <c r="H11" s="42">
        <v>0</v>
      </c>
      <c r="I11" s="42">
        <v>0</v>
      </c>
      <c r="J11" s="42">
        <v>0</v>
      </c>
      <c r="K11" s="42">
        <v>0</v>
      </c>
      <c r="L11" s="42">
        <v>0</v>
      </c>
      <c r="M11" s="42">
        <v>0</v>
      </c>
      <c r="N11" s="42">
        <v>0</v>
      </c>
      <c r="O11" s="42">
        <v>0</v>
      </c>
      <c r="P11" s="42">
        <v>0</v>
      </c>
      <c r="Q11" s="42">
        <v>0</v>
      </c>
      <c r="R11" s="42">
        <v>0</v>
      </c>
      <c r="S11" s="42">
        <v>0</v>
      </c>
      <c r="T11" s="42">
        <v>0</v>
      </c>
      <c r="U11" s="42">
        <v>0</v>
      </c>
      <c r="V11" s="42">
        <v>0</v>
      </c>
      <c r="W11" s="42">
        <v>0</v>
      </c>
      <c r="X11" s="42">
        <v>0</v>
      </c>
      <c r="Y11" s="42">
        <v>0</v>
      </c>
      <c r="Z11" s="42">
        <v>0</v>
      </c>
    </row>
    <row r="12" spans="1:26" ht="25.5" x14ac:dyDescent="0.25">
      <c r="A12" s="6" t="s">
        <v>95</v>
      </c>
      <c r="B12" s="42">
        <v>1</v>
      </c>
      <c r="C12" s="42">
        <v>0</v>
      </c>
      <c r="D12" s="42">
        <v>1</v>
      </c>
      <c r="E12" s="42">
        <v>1</v>
      </c>
      <c r="F12" s="42">
        <v>1</v>
      </c>
      <c r="G12" s="42">
        <v>1</v>
      </c>
      <c r="H12" s="42">
        <v>1</v>
      </c>
      <c r="I12" s="42">
        <v>1</v>
      </c>
      <c r="J12" s="42">
        <v>1</v>
      </c>
      <c r="K12" s="42">
        <v>0</v>
      </c>
      <c r="L12" s="42">
        <v>1</v>
      </c>
      <c r="M12" s="42">
        <v>0</v>
      </c>
      <c r="N12" s="42">
        <v>1</v>
      </c>
      <c r="O12" s="42">
        <v>1</v>
      </c>
      <c r="P12" s="42">
        <v>0</v>
      </c>
      <c r="Q12" s="42">
        <v>0</v>
      </c>
      <c r="R12" s="42">
        <v>0</v>
      </c>
      <c r="S12" s="42">
        <v>0</v>
      </c>
      <c r="T12" s="42">
        <v>0</v>
      </c>
      <c r="U12" s="42">
        <v>0</v>
      </c>
      <c r="V12" s="42">
        <v>0</v>
      </c>
      <c r="W12" s="42">
        <v>0</v>
      </c>
      <c r="X12" s="42">
        <v>0</v>
      </c>
      <c r="Y12" s="42">
        <v>0</v>
      </c>
      <c r="Z12" s="42">
        <v>0</v>
      </c>
    </row>
    <row r="13" spans="1:26" ht="38.25" x14ac:dyDescent="0.25">
      <c r="A13" s="6" t="s">
        <v>1709</v>
      </c>
      <c r="B13" s="42">
        <v>1</v>
      </c>
      <c r="C13" s="42">
        <v>0</v>
      </c>
      <c r="D13" s="42">
        <v>1</v>
      </c>
      <c r="E13" s="42">
        <v>0</v>
      </c>
      <c r="F13" s="42">
        <v>1</v>
      </c>
      <c r="G13" s="42">
        <v>0</v>
      </c>
      <c r="H13" s="42">
        <v>1</v>
      </c>
      <c r="I13" s="42">
        <v>1</v>
      </c>
      <c r="J13" s="42">
        <v>1</v>
      </c>
      <c r="K13" s="42">
        <v>0</v>
      </c>
      <c r="L13" s="42">
        <v>0.5</v>
      </c>
      <c r="M13" s="42">
        <v>0</v>
      </c>
      <c r="N13" s="42">
        <v>0</v>
      </c>
      <c r="O13" s="42">
        <v>0</v>
      </c>
      <c r="P13" s="42">
        <v>0.5</v>
      </c>
      <c r="Q13" s="42">
        <v>0.5</v>
      </c>
      <c r="R13" s="42">
        <v>0</v>
      </c>
      <c r="S13" s="42">
        <v>0</v>
      </c>
      <c r="T13" s="42">
        <v>0</v>
      </c>
      <c r="U13" s="42">
        <v>0</v>
      </c>
      <c r="V13" s="42">
        <v>0</v>
      </c>
      <c r="W13" s="42">
        <v>0</v>
      </c>
      <c r="X13" s="42">
        <v>0</v>
      </c>
      <c r="Y13" s="42">
        <v>0</v>
      </c>
      <c r="Z13" s="42">
        <v>0</v>
      </c>
    </row>
    <row r="14" spans="1:26" x14ac:dyDescent="0.25">
      <c r="A14" s="6" t="s">
        <v>179</v>
      </c>
      <c r="B14" s="42">
        <v>0</v>
      </c>
      <c r="C14" s="42">
        <v>0</v>
      </c>
      <c r="D14" s="42">
        <v>0</v>
      </c>
      <c r="E14" s="42">
        <v>0</v>
      </c>
      <c r="F14" s="42">
        <v>0</v>
      </c>
      <c r="G14" s="42">
        <v>0</v>
      </c>
      <c r="H14" s="42">
        <v>0</v>
      </c>
      <c r="I14" s="42">
        <v>0</v>
      </c>
      <c r="J14" s="42">
        <v>0</v>
      </c>
      <c r="K14" s="42">
        <v>0</v>
      </c>
      <c r="L14" s="42">
        <v>0</v>
      </c>
      <c r="M14" s="42">
        <v>0</v>
      </c>
      <c r="N14" s="42">
        <v>0</v>
      </c>
      <c r="O14" s="42">
        <v>0</v>
      </c>
      <c r="P14" s="42">
        <v>0</v>
      </c>
      <c r="Q14" s="42">
        <v>0</v>
      </c>
      <c r="R14" s="42">
        <v>0</v>
      </c>
      <c r="S14" s="42">
        <v>0</v>
      </c>
      <c r="T14" s="42">
        <v>0</v>
      </c>
      <c r="U14" s="42">
        <v>0</v>
      </c>
      <c r="V14" s="42">
        <v>0</v>
      </c>
      <c r="W14" s="42">
        <v>0</v>
      </c>
      <c r="X14" s="42">
        <v>0</v>
      </c>
      <c r="Y14" s="42">
        <v>0</v>
      </c>
      <c r="Z14" s="42">
        <v>0</v>
      </c>
    </row>
    <row r="15" spans="1:26" x14ac:dyDescent="0.25">
      <c r="A15" s="6" t="s">
        <v>341</v>
      </c>
      <c r="B15" s="42">
        <v>1</v>
      </c>
      <c r="C15" s="42">
        <v>0</v>
      </c>
      <c r="D15" s="42">
        <v>1</v>
      </c>
      <c r="E15" s="42">
        <v>0</v>
      </c>
      <c r="F15" s="42">
        <v>0</v>
      </c>
      <c r="G15" s="42">
        <v>0</v>
      </c>
      <c r="H15" s="42">
        <v>1</v>
      </c>
      <c r="I15" s="42">
        <v>1</v>
      </c>
      <c r="J15" s="42">
        <v>0</v>
      </c>
      <c r="K15" s="42">
        <v>1</v>
      </c>
      <c r="L15" s="42">
        <v>0</v>
      </c>
      <c r="M15" s="42">
        <v>0</v>
      </c>
      <c r="N15" s="42">
        <v>0</v>
      </c>
      <c r="O15" s="42">
        <v>0</v>
      </c>
      <c r="P15" s="42">
        <v>0</v>
      </c>
      <c r="Q15" s="42">
        <v>0</v>
      </c>
      <c r="R15" s="42">
        <v>0</v>
      </c>
      <c r="S15" s="42">
        <v>0</v>
      </c>
      <c r="T15" s="42">
        <v>0</v>
      </c>
      <c r="U15" s="42">
        <v>0</v>
      </c>
      <c r="V15" s="42">
        <v>0</v>
      </c>
      <c r="W15" s="42">
        <v>0</v>
      </c>
      <c r="X15" s="42">
        <v>0</v>
      </c>
      <c r="Y15" s="42">
        <v>0</v>
      </c>
      <c r="Z15" s="42">
        <v>0</v>
      </c>
    </row>
    <row r="16" spans="1:26" x14ac:dyDescent="0.25">
      <c r="A16" s="6" t="s">
        <v>22</v>
      </c>
      <c r="B16" s="42">
        <v>1</v>
      </c>
      <c r="C16" s="42">
        <v>0</v>
      </c>
      <c r="D16" s="42">
        <v>0</v>
      </c>
      <c r="E16" s="42">
        <v>1</v>
      </c>
      <c r="F16" s="42">
        <v>0</v>
      </c>
      <c r="G16" s="42">
        <v>0</v>
      </c>
      <c r="H16" s="42">
        <v>1</v>
      </c>
      <c r="I16" s="42">
        <v>1</v>
      </c>
      <c r="J16" s="42">
        <v>1</v>
      </c>
      <c r="K16" s="42">
        <v>0</v>
      </c>
      <c r="L16" s="42">
        <v>1</v>
      </c>
      <c r="M16" s="42">
        <v>0</v>
      </c>
      <c r="N16" s="42">
        <v>0</v>
      </c>
      <c r="O16" s="42">
        <v>0</v>
      </c>
      <c r="P16" s="42">
        <v>0</v>
      </c>
      <c r="Q16" s="42">
        <v>0</v>
      </c>
      <c r="R16" s="42">
        <v>0</v>
      </c>
      <c r="S16" s="42">
        <v>0</v>
      </c>
      <c r="T16" s="42">
        <v>0</v>
      </c>
      <c r="U16" s="42">
        <v>0</v>
      </c>
      <c r="V16" s="42">
        <v>0</v>
      </c>
      <c r="W16" s="42">
        <v>0</v>
      </c>
      <c r="X16" s="42">
        <v>1</v>
      </c>
      <c r="Y16" s="42">
        <v>0</v>
      </c>
      <c r="Z16" s="42">
        <v>0</v>
      </c>
    </row>
    <row r="17" spans="1:26" ht="25.5" x14ac:dyDescent="0.25">
      <c r="A17" s="6" t="s">
        <v>188</v>
      </c>
      <c r="B17" s="42">
        <v>0</v>
      </c>
      <c r="C17" s="42">
        <v>0</v>
      </c>
      <c r="D17" s="42">
        <v>0</v>
      </c>
      <c r="E17" s="42">
        <v>0</v>
      </c>
      <c r="F17" s="42">
        <v>0</v>
      </c>
      <c r="G17" s="42">
        <v>0</v>
      </c>
      <c r="H17" s="42">
        <v>0</v>
      </c>
      <c r="I17" s="42">
        <v>0</v>
      </c>
      <c r="J17" s="42">
        <v>0</v>
      </c>
      <c r="K17" s="42">
        <v>0</v>
      </c>
      <c r="L17" s="42">
        <v>0</v>
      </c>
      <c r="M17" s="42">
        <v>0</v>
      </c>
      <c r="N17" s="42">
        <v>0</v>
      </c>
      <c r="O17" s="42">
        <v>0</v>
      </c>
      <c r="P17" s="42">
        <v>0</v>
      </c>
      <c r="Q17" s="42">
        <v>0</v>
      </c>
      <c r="R17" s="42">
        <v>0</v>
      </c>
      <c r="S17" s="42">
        <v>0</v>
      </c>
      <c r="T17" s="42">
        <v>0</v>
      </c>
      <c r="U17" s="42">
        <v>0</v>
      </c>
      <c r="V17" s="42">
        <v>0</v>
      </c>
      <c r="W17" s="42">
        <v>0</v>
      </c>
      <c r="X17" s="42">
        <v>0</v>
      </c>
      <c r="Y17" s="42">
        <v>0</v>
      </c>
      <c r="Z17" s="42">
        <v>0</v>
      </c>
    </row>
    <row r="18" spans="1:26" ht="25.5" x14ac:dyDescent="0.25">
      <c r="A18" s="6" t="s">
        <v>133</v>
      </c>
      <c r="B18" s="42">
        <v>1</v>
      </c>
      <c r="C18" s="42">
        <v>0</v>
      </c>
      <c r="D18" s="42">
        <v>1</v>
      </c>
      <c r="E18" s="42">
        <v>0</v>
      </c>
      <c r="F18" s="42">
        <v>0</v>
      </c>
      <c r="G18" s="42">
        <v>1</v>
      </c>
      <c r="H18" s="42">
        <v>1</v>
      </c>
      <c r="I18" s="42">
        <v>1</v>
      </c>
      <c r="J18" s="42">
        <v>1</v>
      </c>
      <c r="K18" s="42">
        <v>0</v>
      </c>
      <c r="L18" s="42">
        <v>0</v>
      </c>
      <c r="M18" s="42">
        <v>0</v>
      </c>
      <c r="N18" s="42">
        <v>0</v>
      </c>
      <c r="O18" s="42">
        <v>0</v>
      </c>
      <c r="P18" s="42">
        <v>0</v>
      </c>
      <c r="Q18" s="42">
        <v>0</v>
      </c>
      <c r="R18" s="42">
        <v>0</v>
      </c>
      <c r="S18" s="42">
        <v>0</v>
      </c>
      <c r="T18" s="42">
        <v>0</v>
      </c>
      <c r="U18" s="42">
        <v>0</v>
      </c>
      <c r="V18" s="42">
        <v>0</v>
      </c>
      <c r="W18" s="42">
        <v>0</v>
      </c>
      <c r="X18" s="42">
        <v>0</v>
      </c>
      <c r="Y18" s="42">
        <v>0</v>
      </c>
      <c r="Z18" s="42">
        <v>0</v>
      </c>
    </row>
    <row r="19" spans="1:26" ht="25.5" x14ac:dyDescent="0.25">
      <c r="A19" s="6" t="s">
        <v>10</v>
      </c>
      <c r="B19" s="42">
        <v>1</v>
      </c>
      <c r="C19" s="42">
        <v>0</v>
      </c>
      <c r="D19" s="42">
        <v>1</v>
      </c>
      <c r="E19" s="42">
        <v>0</v>
      </c>
      <c r="F19" s="42">
        <v>0</v>
      </c>
      <c r="G19" s="42">
        <v>0</v>
      </c>
      <c r="H19" s="42">
        <v>1</v>
      </c>
      <c r="I19" s="42">
        <v>1</v>
      </c>
      <c r="J19" s="42">
        <v>1</v>
      </c>
      <c r="K19" s="42">
        <v>0</v>
      </c>
      <c r="L19" s="42">
        <v>0</v>
      </c>
      <c r="M19" s="42">
        <v>0</v>
      </c>
      <c r="N19" s="42">
        <v>0</v>
      </c>
      <c r="O19" s="42">
        <v>0</v>
      </c>
      <c r="P19" s="42">
        <v>0</v>
      </c>
      <c r="Q19" s="42">
        <v>0</v>
      </c>
      <c r="R19" s="42">
        <v>0</v>
      </c>
      <c r="S19" s="42">
        <v>0</v>
      </c>
      <c r="T19" s="42">
        <v>0</v>
      </c>
      <c r="U19" s="42">
        <v>0</v>
      </c>
      <c r="V19" s="42">
        <v>0</v>
      </c>
      <c r="W19" s="42">
        <v>0</v>
      </c>
      <c r="X19" s="42">
        <v>0</v>
      </c>
      <c r="Y19" s="42">
        <v>0</v>
      </c>
      <c r="Z19" s="42">
        <v>0</v>
      </c>
    </row>
    <row r="20" spans="1:26" ht="38.25" x14ac:dyDescent="0.25">
      <c r="A20" s="6" t="s">
        <v>832</v>
      </c>
      <c r="B20" s="42">
        <v>1</v>
      </c>
      <c r="C20" s="42">
        <v>1</v>
      </c>
      <c r="D20" s="42">
        <v>1</v>
      </c>
      <c r="E20" s="42">
        <v>0</v>
      </c>
      <c r="F20" s="42">
        <v>0</v>
      </c>
      <c r="G20" s="42">
        <v>0</v>
      </c>
      <c r="H20" s="42">
        <v>1</v>
      </c>
      <c r="I20" s="42">
        <v>1</v>
      </c>
      <c r="J20" s="42">
        <v>1</v>
      </c>
      <c r="K20" s="42">
        <v>0</v>
      </c>
      <c r="L20" s="42">
        <v>0</v>
      </c>
      <c r="M20" s="42">
        <v>0</v>
      </c>
      <c r="N20" s="42">
        <v>0</v>
      </c>
      <c r="O20" s="42">
        <v>0</v>
      </c>
      <c r="P20" s="42">
        <v>0</v>
      </c>
      <c r="Q20" s="42">
        <v>0</v>
      </c>
      <c r="R20" s="42">
        <v>0</v>
      </c>
      <c r="S20" s="42">
        <v>0</v>
      </c>
      <c r="T20" s="42">
        <v>0</v>
      </c>
      <c r="U20" s="42">
        <v>0</v>
      </c>
      <c r="V20" s="42">
        <v>0</v>
      </c>
      <c r="W20" s="42">
        <v>0</v>
      </c>
      <c r="X20" s="42">
        <v>0</v>
      </c>
      <c r="Y20" s="42">
        <v>0</v>
      </c>
      <c r="Z20" s="42">
        <v>0</v>
      </c>
    </row>
    <row r="21" spans="1:26" x14ac:dyDescent="0.25">
      <c r="A21" s="6" t="s">
        <v>16</v>
      </c>
      <c r="B21" s="42">
        <v>1</v>
      </c>
      <c r="C21" s="42">
        <v>1</v>
      </c>
      <c r="D21" s="42">
        <v>0</v>
      </c>
      <c r="E21" s="42">
        <v>0</v>
      </c>
      <c r="F21" s="42">
        <v>0</v>
      </c>
      <c r="G21" s="42">
        <v>0</v>
      </c>
      <c r="H21" s="42">
        <v>1</v>
      </c>
      <c r="I21" s="42">
        <v>1</v>
      </c>
      <c r="J21" s="42">
        <v>1</v>
      </c>
      <c r="K21" s="42">
        <v>0</v>
      </c>
      <c r="L21" s="42">
        <v>1</v>
      </c>
      <c r="M21" s="42">
        <v>0</v>
      </c>
      <c r="N21" s="42">
        <v>0</v>
      </c>
      <c r="O21" s="42">
        <v>0</v>
      </c>
      <c r="P21" s="42">
        <v>0</v>
      </c>
      <c r="Q21" s="42">
        <v>0</v>
      </c>
      <c r="R21" s="42">
        <v>0</v>
      </c>
      <c r="S21" s="42">
        <v>0</v>
      </c>
      <c r="T21" s="42">
        <v>0</v>
      </c>
      <c r="U21" s="42">
        <v>0</v>
      </c>
      <c r="V21" s="42">
        <v>0</v>
      </c>
      <c r="W21" s="42">
        <v>0</v>
      </c>
      <c r="X21" s="42">
        <v>0</v>
      </c>
      <c r="Y21" s="42">
        <v>0</v>
      </c>
      <c r="Z21" s="42">
        <v>0</v>
      </c>
    </row>
    <row r="22" spans="1:26" ht="25.5" x14ac:dyDescent="0.25">
      <c r="A22" s="6" t="s">
        <v>7</v>
      </c>
      <c r="B22" s="42">
        <v>0</v>
      </c>
      <c r="C22" s="42">
        <v>1</v>
      </c>
      <c r="D22" s="42">
        <v>0</v>
      </c>
      <c r="E22" s="42">
        <v>0</v>
      </c>
      <c r="F22" s="42">
        <v>0</v>
      </c>
      <c r="G22" s="42">
        <v>0</v>
      </c>
      <c r="H22" s="42">
        <v>0</v>
      </c>
      <c r="I22" s="42">
        <v>0</v>
      </c>
      <c r="J22" s="42">
        <v>0</v>
      </c>
      <c r="K22" s="42">
        <v>0</v>
      </c>
      <c r="L22" s="42">
        <v>0</v>
      </c>
      <c r="M22" s="42">
        <v>0</v>
      </c>
      <c r="N22" s="42">
        <v>0</v>
      </c>
      <c r="O22" s="42">
        <v>0</v>
      </c>
      <c r="P22" s="42">
        <v>1</v>
      </c>
      <c r="Q22" s="42">
        <v>0</v>
      </c>
      <c r="R22" s="42">
        <v>0</v>
      </c>
      <c r="S22" s="42">
        <v>1</v>
      </c>
      <c r="T22" s="42">
        <v>1</v>
      </c>
      <c r="U22" s="42">
        <v>1</v>
      </c>
      <c r="V22" s="42">
        <v>1</v>
      </c>
      <c r="W22" s="42">
        <v>1</v>
      </c>
      <c r="X22" s="42">
        <v>0</v>
      </c>
      <c r="Y22" s="42">
        <v>0</v>
      </c>
      <c r="Z22" s="42">
        <v>0</v>
      </c>
    </row>
    <row r="23" spans="1:26" x14ac:dyDescent="0.25">
      <c r="A23" s="6" t="s">
        <v>18</v>
      </c>
      <c r="B23" s="42">
        <v>1</v>
      </c>
      <c r="C23" s="42">
        <v>0</v>
      </c>
      <c r="D23" s="42">
        <v>1</v>
      </c>
      <c r="E23" s="42">
        <v>1</v>
      </c>
      <c r="F23" s="42">
        <v>1</v>
      </c>
      <c r="G23" s="42">
        <v>0</v>
      </c>
      <c r="H23" s="42">
        <v>1</v>
      </c>
      <c r="I23" s="42">
        <v>1</v>
      </c>
      <c r="J23" s="42">
        <v>1</v>
      </c>
      <c r="K23" s="42">
        <v>0</v>
      </c>
      <c r="L23" s="42">
        <v>1</v>
      </c>
      <c r="M23" s="42">
        <v>0</v>
      </c>
      <c r="N23" s="42">
        <v>1</v>
      </c>
      <c r="O23" s="42">
        <v>1</v>
      </c>
      <c r="P23" s="42">
        <v>0</v>
      </c>
      <c r="Q23" s="42">
        <v>0</v>
      </c>
      <c r="R23" s="42">
        <v>1</v>
      </c>
      <c r="S23" s="42">
        <v>0</v>
      </c>
      <c r="T23" s="42">
        <v>0</v>
      </c>
      <c r="U23" s="42">
        <v>0</v>
      </c>
      <c r="V23" s="42">
        <v>0</v>
      </c>
      <c r="W23" s="42">
        <v>0</v>
      </c>
      <c r="X23" s="42">
        <v>0</v>
      </c>
      <c r="Y23" s="42">
        <v>0</v>
      </c>
      <c r="Z23" s="42">
        <v>0</v>
      </c>
    </row>
    <row r="24" spans="1:26" x14ac:dyDescent="0.25">
      <c r="A24" s="6" t="s">
        <v>338</v>
      </c>
      <c r="B24" s="42">
        <v>0</v>
      </c>
      <c r="C24" s="42">
        <v>0</v>
      </c>
      <c r="D24" s="42">
        <v>0</v>
      </c>
      <c r="E24" s="42">
        <v>0</v>
      </c>
      <c r="F24" s="42">
        <v>0</v>
      </c>
      <c r="G24" s="42">
        <v>0</v>
      </c>
      <c r="H24" s="42">
        <v>0</v>
      </c>
      <c r="I24" s="42">
        <v>0</v>
      </c>
      <c r="J24" s="42">
        <v>0</v>
      </c>
      <c r="K24" s="42">
        <v>0</v>
      </c>
      <c r="L24" s="42">
        <v>0</v>
      </c>
      <c r="M24" s="42">
        <v>0</v>
      </c>
      <c r="N24" s="42">
        <v>0</v>
      </c>
      <c r="O24" s="42">
        <v>0</v>
      </c>
      <c r="P24" s="42">
        <v>0</v>
      </c>
      <c r="Q24" s="42">
        <v>0</v>
      </c>
      <c r="R24" s="42">
        <v>0</v>
      </c>
      <c r="S24" s="42">
        <v>0</v>
      </c>
      <c r="T24" s="42">
        <v>0</v>
      </c>
      <c r="U24" s="42">
        <v>0</v>
      </c>
      <c r="V24" s="42">
        <v>0</v>
      </c>
      <c r="W24" s="42">
        <v>0</v>
      </c>
      <c r="X24" s="42">
        <v>0</v>
      </c>
      <c r="Y24" s="42">
        <v>0</v>
      </c>
      <c r="Z24" s="42">
        <v>0</v>
      </c>
    </row>
    <row r="25" spans="1:26" ht="25.5" x14ac:dyDescent="0.25">
      <c r="A25" s="6" t="s">
        <v>351</v>
      </c>
      <c r="B25" s="42">
        <v>1</v>
      </c>
      <c r="C25" s="42">
        <v>0</v>
      </c>
      <c r="D25" s="42">
        <v>1</v>
      </c>
      <c r="E25" s="42">
        <v>1</v>
      </c>
      <c r="F25" s="42">
        <v>1</v>
      </c>
      <c r="G25" s="42">
        <v>0</v>
      </c>
      <c r="H25" s="42">
        <v>1</v>
      </c>
      <c r="I25" s="42">
        <v>1</v>
      </c>
      <c r="J25" s="42">
        <v>1</v>
      </c>
      <c r="K25" s="42">
        <v>0</v>
      </c>
      <c r="L25" s="42">
        <v>1</v>
      </c>
      <c r="M25" s="42">
        <v>0</v>
      </c>
      <c r="N25" s="42">
        <v>1</v>
      </c>
      <c r="O25" s="42">
        <v>1</v>
      </c>
      <c r="P25" s="42">
        <v>0</v>
      </c>
      <c r="Q25" s="42">
        <v>1</v>
      </c>
      <c r="R25" s="42">
        <v>1</v>
      </c>
      <c r="S25" s="42">
        <v>0</v>
      </c>
      <c r="T25" s="42">
        <v>0</v>
      </c>
      <c r="U25" s="42">
        <v>0</v>
      </c>
      <c r="V25" s="42">
        <v>0</v>
      </c>
      <c r="W25" s="42">
        <v>0</v>
      </c>
      <c r="X25" s="42">
        <v>1</v>
      </c>
      <c r="Y25" s="42">
        <v>1</v>
      </c>
      <c r="Z25" s="42">
        <v>1</v>
      </c>
    </row>
    <row r="26" spans="1:26" ht="38.25" x14ac:dyDescent="0.25">
      <c r="A26" s="51" t="s">
        <v>24</v>
      </c>
      <c r="B26" s="42">
        <v>0.5</v>
      </c>
      <c r="C26" s="42">
        <v>0.5</v>
      </c>
      <c r="D26" s="42">
        <v>0</v>
      </c>
      <c r="E26" s="42">
        <v>0</v>
      </c>
      <c r="F26" s="42">
        <v>0</v>
      </c>
      <c r="G26" s="42">
        <v>0</v>
      </c>
      <c r="H26" s="42">
        <v>0.5</v>
      </c>
      <c r="I26" s="42">
        <v>0.5</v>
      </c>
      <c r="J26" s="42">
        <v>0.5</v>
      </c>
      <c r="K26" s="42">
        <v>0</v>
      </c>
      <c r="L26" s="42">
        <v>0</v>
      </c>
      <c r="M26" s="42">
        <v>0</v>
      </c>
      <c r="N26" s="42">
        <v>0</v>
      </c>
      <c r="O26" s="42">
        <v>0</v>
      </c>
      <c r="P26" s="42">
        <v>0</v>
      </c>
      <c r="Q26" s="42">
        <v>0</v>
      </c>
      <c r="R26" s="42">
        <v>0</v>
      </c>
      <c r="S26" s="42">
        <v>0</v>
      </c>
      <c r="T26" s="42">
        <v>0</v>
      </c>
      <c r="U26" s="42">
        <v>0</v>
      </c>
      <c r="V26" s="42">
        <v>0</v>
      </c>
      <c r="W26" s="42">
        <v>0</v>
      </c>
      <c r="X26" s="42">
        <v>0</v>
      </c>
      <c r="Y26" s="42">
        <v>0</v>
      </c>
      <c r="Z26" s="42">
        <v>0</v>
      </c>
    </row>
    <row r="27" spans="1:26" x14ac:dyDescent="0.25">
      <c r="A27" s="51" t="s">
        <v>854</v>
      </c>
      <c r="B27" s="60">
        <f>SUM(B2:B26)</f>
        <v>17.5</v>
      </c>
      <c r="C27" s="60">
        <f t="shared" ref="C27:Z27" si="0">SUM(C2:C26)</f>
        <v>7.5</v>
      </c>
      <c r="D27" s="60">
        <f t="shared" si="0"/>
        <v>13</v>
      </c>
      <c r="E27" s="60">
        <f t="shared" si="0"/>
        <v>7</v>
      </c>
      <c r="F27" s="60">
        <f t="shared" si="0"/>
        <v>6</v>
      </c>
      <c r="G27" s="60">
        <f t="shared" si="0"/>
        <v>3</v>
      </c>
      <c r="H27" s="60">
        <f t="shared" si="0"/>
        <v>18.5</v>
      </c>
      <c r="I27" s="60">
        <f t="shared" si="0"/>
        <v>18.5</v>
      </c>
      <c r="J27" s="60">
        <f t="shared" si="0"/>
        <v>16.5</v>
      </c>
      <c r="K27" s="60">
        <f t="shared" si="0"/>
        <v>1</v>
      </c>
      <c r="L27" s="60">
        <f t="shared" si="0"/>
        <v>8.5</v>
      </c>
      <c r="M27" s="60">
        <f t="shared" si="0"/>
        <v>3</v>
      </c>
      <c r="N27" s="60">
        <f t="shared" si="0"/>
        <v>4</v>
      </c>
      <c r="O27" s="60">
        <f t="shared" si="0"/>
        <v>4</v>
      </c>
      <c r="P27" s="60">
        <f t="shared" si="0"/>
        <v>2.5</v>
      </c>
      <c r="Q27" s="60">
        <f t="shared" si="0"/>
        <v>2.5</v>
      </c>
      <c r="R27" s="60">
        <f t="shared" si="0"/>
        <v>3</v>
      </c>
      <c r="S27" s="60">
        <f t="shared" si="0"/>
        <v>2</v>
      </c>
      <c r="T27" s="60">
        <f t="shared" si="0"/>
        <v>2</v>
      </c>
      <c r="U27" s="60">
        <f t="shared" si="0"/>
        <v>2</v>
      </c>
      <c r="V27" s="60">
        <f t="shared" si="0"/>
        <v>2</v>
      </c>
      <c r="W27" s="60">
        <f t="shared" si="0"/>
        <v>2</v>
      </c>
      <c r="X27" s="60">
        <f t="shared" si="0"/>
        <v>2</v>
      </c>
      <c r="Y27" s="60">
        <f t="shared" si="0"/>
        <v>1</v>
      </c>
      <c r="Z27" s="60">
        <f t="shared" si="0"/>
        <v>1</v>
      </c>
    </row>
  </sheetData>
  <pageMargins left="0.7" right="0.7" top="0.78740157499999996" bottom="0.78740157499999996" header="0.3" footer="0.3"/>
  <pageSetup paperSize="9"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271C-542B-42E2-BFB7-EAC6B377807A}">
  <sheetPr codeName="Tabelle33">
    <tabColor theme="5" tint="0.79998168889431442"/>
  </sheetPr>
  <dimension ref="A1:Z27"/>
  <sheetViews>
    <sheetView workbookViewId="0">
      <selection activeCell="R1" sqref="R1:R1048576"/>
    </sheetView>
  </sheetViews>
  <sheetFormatPr baseColWidth="10" defaultRowHeight="15.75" x14ac:dyDescent="0.25"/>
  <cols>
    <col min="1" max="1" width="17.625" customWidth="1"/>
    <col min="2" max="26" width="5.875" style="7" customWidth="1"/>
  </cols>
  <sheetData>
    <row r="1" spans="1:26" ht="166.5" x14ac:dyDescent="0.25">
      <c r="A1" s="50" t="s">
        <v>1</v>
      </c>
      <c r="B1" s="43" t="s">
        <v>867</v>
      </c>
      <c r="C1" s="43" t="s">
        <v>914</v>
      </c>
      <c r="D1" s="43" t="s">
        <v>967</v>
      </c>
      <c r="E1" s="43" t="s">
        <v>864</v>
      </c>
      <c r="F1" s="43" t="s">
        <v>1153</v>
      </c>
      <c r="G1" s="43" t="s">
        <v>1152</v>
      </c>
      <c r="H1" s="43" t="s">
        <v>865</v>
      </c>
      <c r="I1" s="43" t="s">
        <v>950</v>
      </c>
      <c r="J1" s="43" t="s">
        <v>952</v>
      </c>
      <c r="K1" s="43" t="s">
        <v>863</v>
      </c>
      <c r="L1" s="43" t="s">
        <v>866</v>
      </c>
      <c r="M1" s="43" t="s">
        <v>953</v>
      </c>
      <c r="N1" s="43" t="s">
        <v>921</v>
      </c>
      <c r="O1" s="43" t="s">
        <v>920</v>
      </c>
      <c r="P1" s="43" t="s">
        <v>956</v>
      </c>
      <c r="Q1" s="43" t="s">
        <v>957</v>
      </c>
      <c r="R1" s="43" t="s">
        <v>919</v>
      </c>
      <c r="S1" s="43" t="s">
        <v>958</v>
      </c>
      <c r="T1" s="43" t="s">
        <v>959</v>
      </c>
      <c r="U1" s="43" t="s">
        <v>960</v>
      </c>
      <c r="V1" s="43" t="s">
        <v>961</v>
      </c>
      <c r="W1" s="43" t="s">
        <v>962</v>
      </c>
      <c r="X1" s="43" t="s">
        <v>966</v>
      </c>
      <c r="Y1" s="43" t="s">
        <v>926</v>
      </c>
      <c r="Z1" s="43" t="s">
        <v>927</v>
      </c>
    </row>
    <row r="2" spans="1:26" x14ac:dyDescent="0.25">
      <c r="A2" s="6" t="s">
        <v>12</v>
      </c>
      <c r="B2" s="42" t="str">
        <f>VLOOKUP(Tabelle1420[[#This Row],[Primäraluminiumelektrolyse]],Dropdown!$A$2:$D$4,4,FALSE)</f>
        <v>X</v>
      </c>
      <c r="C2" s="42" t="str">
        <f>VLOOKUP(Tabelle1420[[#This Row],[Papierherstellung 
(Prozess gesamt)]],Dropdown!$A$2:$D$4,4,FALSE)</f>
        <v>-</v>
      </c>
      <c r="D2" s="42" t="str">
        <f>VLOOKUP(Tabelle1420[[#This Row],[Holzstoff- und Zellstoffherstellung 
(Holzschleifer / Refiner)]],Dropdown!$A$2:$D$4,4,FALSE)</f>
        <v>X</v>
      </c>
      <c r="E2" s="42" t="str">
        <f>VLOOKUP(Tabelle1420[[#This Row],[Papiermaschinen]],Dropdown!$A$2:$D$4,4,FALSE)</f>
        <v>X</v>
      </c>
      <c r="F2" s="42" t="str">
        <f>VLOOKUP(Tabelle1420[[#This Row],[Altpapierrecycling (Pulper)]],Dropdown!$A$2:$D$4,4,FALSE)</f>
        <v>-</v>
      </c>
      <c r="G2" s="42" t="str">
        <f>VLOOKUP(Tabelle1420[[#This Row],[Papierveredelung 
(Streichmaschinen und Kalander)]],Dropdown!$A$2:$D$4,4,FALSE)</f>
        <v>-</v>
      </c>
      <c r="H2" s="42" t="str">
        <f>VLOOKUP(Tabelle1420[[#This Row],[Chlor-Alkali-Elektrolyse]],Dropdown!$A$2:$D$4,4,FALSE)</f>
        <v>X</v>
      </c>
      <c r="I2" s="42" t="str">
        <f>VLOOKUP(Tabelle1420[[#This Row],[Elektrostahlherstellung 
(Lichtbogenofen)]],Dropdown!$A$2:$D$4,4,FALSE)</f>
        <v>X</v>
      </c>
      <c r="J2" s="42" t="str">
        <f>VLOOKUP(Tabelle1420[[#This Row],[Zementherstellung 
(Prozess gesamt)]],Dropdown!$A$2:$D$4,4,FALSE)</f>
        <v>X</v>
      </c>
      <c r="K2" s="42" t="str">
        <f>VLOOKUP(Tabelle1420[[#This Row],[Zementmühlen]],Dropdown!$A$2:$D$4,4,FALSE)</f>
        <v>-</v>
      </c>
      <c r="L2" s="42" t="str">
        <f>VLOOKUP(Tabelle1420[[#This Row],[Luftzerlegung]],Dropdown!$A$2:$D$4,4,FALSE)</f>
        <v>-</v>
      </c>
      <c r="M2" s="42" t="str">
        <f>VLOOKUP(Tabelle1420[[#This Row],[Kupfer- und Zinkherstellung 
(Elektrolyse)]],Dropdown!$A$2:$D$4,4,FALSE)</f>
        <v>-</v>
      </c>
      <c r="N2" s="42" t="str">
        <f>VLOOKUP(Tabelle1420[[#This Row],[Primärkupferherstellung 
(elektrolytische Kupferraffination)]],Dropdown!$A$2:$D$4,4,FALSE)</f>
        <v>-</v>
      </c>
      <c r="O2" s="42" t="str">
        <f>VLOOKUP(Tabelle1420[[#This Row],[Primärzinkherstellung 
(Nasschemische Elektrolyse)]],Dropdown!$A$2:$D$4,4,FALSE)</f>
        <v>-</v>
      </c>
      <c r="P2" s="42" t="str">
        <f>VLOOKUP(Tabelle1420[[#This Row],[Metallbearbeitung 
(Wärmebehandlung)]],Dropdown!$A$2:$D$4,4,FALSE)</f>
        <v>-</v>
      </c>
      <c r="Q2" s="42" t="str">
        <f>VLOOKUP(Tabelle1420[[#This Row],[Gießereien (Induktionsofen)]],Dropdown!$A$2:$D$4,4,FALSE)</f>
        <v>-</v>
      </c>
      <c r="R2" s="42" t="str">
        <f>VLOOKUP(Tabelle1420[[#This Row],[Calciumcarbid-Herstellung 
(Lichtbogenofen)]],Dropdown!$A$2:$D$4,4,FALSE)</f>
        <v>-</v>
      </c>
      <c r="S2" s="42" t="str">
        <f>VLOOKUP(Tabelle1420[[#This Row],[Ernährungsindustrie gesamt]],Dropdown!$A$2:$D$4,4,FALSE)</f>
        <v>-</v>
      </c>
      <c r="T2" s="42" t="str">
        <f>VLOOKUP(Tabelle1420[[#This Row],[Chemieindustrie gesamt]],Dropdown!$A$2:$D$4,4,FALSE)</f>
        <v>-</v>
      </c>
      <c r="U2" s="42" t="str">
        <f>VLOOKUP(Tabelle1420[[#This Row],[Kfz-Industrie gesamt]],Dropdown!$A$2:$D$4,4,FALSE)</f>
        <v>-</v>
      </c>
      <c r="V2" s="42" t="str">
        <f>VLOOKUP(Tabelle1420[[#This Row],[Maschinenbau gesamt]],Dropdown!$A$2:$D$4,4,FALSE)</f>
        <v>-</v>
      </c>
      <c r="W2" s="42" t="str">
        <f>VLOOKUP(Tabelle1420[[#This Row],[Glasindustrie gesamt]],Dropdown!$A$2:$D$4,4,FALSE)</f>
        <v>-</v>
      </c>
      <c r="X2" s="42" t="str">
        <f>VLOOKUP(Tabelle1420[[#This Row],[Behälterglasindustrie]],Dropdown!$A$2:$D$4,4,FALSE)</f>
        <v>-</v>
      </c>
      <c r="Y2" s="42" t="str">
        <f>VLOOKUP(Tabelle1420[[#This Row],[Silizium-Metall 
(Lichtbogenofen)]],Dropdown!$A$2:$D$4,4,FALSE)</f>
        <v>-</v>
      </c>
      <c r="Z2" s="42" t="str">
        <f>VLOOKUP(Tabelle1420[[#This Row],[Graphitelektroden 
(Graphitierungsofen)]],Dropdown!$A$2:$D$4,4,FALSE)</f>
        <v>-</v>
      </c>
    </row>
    <row r="3" spans="1:26" ht="25.5" x14ac:dyDescent="0.25">
      <c r="A3" s="6" t="s">
        <v>347</v>
      </c>
      <c r="B3" s="42" t="str">
        <f>VLOOKUP(Tabelle1420[[#This Row],[Primäraluminiumelektrolyse]],Dropdown!$A$2:$D$4,4,FALSE)</f>
        <v>X</v>
      </c>
      <c r="C3" s="42" t="str">
        <f>VLOOKUP(Tabelle1420[[#This Row],[Papierherstellung 
(Prozess gesamt)]],Dropdown!$A$2:$D$4,4,FALSE)</f>
        <v>X</v>
      </c>
      <c r="D3" s="42" t="str">
        <f>VLOOKUP(Tabelle1420[[#This Row],[Holzstoff- und Zellstoffherstellung 
(Holzschleifer / Refiner)]],Dropdown!$A$2:$D$4,4,FALSE)</f>
        <v>-</v>
      </c>
      <c r="E3" s="42" t="str">
        <f>VLOOKUP(Tabelle1420[[#This Row],[Papiermaschinen]],Dropdown!$A$2:$D$4,4,FALSE)</f>
        <v>-</v>
      </c>
      <c r="F3" s="42" t="str">
        <f>VLOOKUP(Tabelle1420[[#This Row],[Altpapierrecycling (Pulper)]],Dropdown!$A$2:$D$4,4,FALSE)</f>
        <v>-</v>
      </c>
      <c r="G3" s="42" t="str">
        <f>VLOOKUP(Tabelle1420[[#This Row],[Papierveredelung 
(Streichmaschinen und Kalander)]],Dropdown!$A$2:$D$4,4,FALSE)</f>
        <v>-</v>
      </c>
      <c r="H3" s="42" t="str">
        <f>VLOOKUP(Tabelle1420[[#This Row],[Chlor-Alkali-Elektrolyse]],Dropdown!$A$2:$D$4,4,FALSE)</f>
        <v>X</v>
      </c>
      <c r="I3" s="42" t="str">
        <f>VLOOKUP(Tabelle1420[[#This Row],[Elektrostahlherstellung 
(Lichtbogenofen)]],Dropdown!$A$2:$D$4,4,FALSE)</f>
        <v>X</v>
      </c>
      <c r="J3" s="42" t="str">
        <f>VLOOKUP(Tabelle1420[[#This Row],[Zementherstellung 
(Prozess gesamt)]],Dropdown!$A$2:$D$4,4,FALSE)</f>
        <v>X</v>
      </c>
      <c r="K3" s="42" t="str">
        <f>VLOOKUP(Tabelle1420[[#This Row],[Zementmühlen]],Dropdown!$A$2:$D$4,4,FALSE)</f>
        <v>-</v>
      </c>
      <c r="L3" s="42" t="str">
        <f>VLOOKUP(Tabelle1420[[#This Row],[Luftzerlegung]],Dropdown!$A$2:$D$4,4,FALSE)</f>
        <v>X</v>
      </c>
      <c r="M3" s="42" t="str">
        <f>VLOOKUP(Tabelle1420[[#This Row],[Kupfer- und Zinkherstellung 
(Elektrolyse)]],Dropdown!$A$2:$D$4,4,FALSE)</f>
        <v>X</v>
      </c>
      <c r="N3" s="42" t="str">
        <f>VLOOKUP(Tabelle1420[[#This Row],[Primärkupferherstellung 
(elektrolytische Kupferraffination)]],Dropdown!$A$2:$D$4,4,FALSE)</f>
        <v>-</v>
      </c>
      <c r="O3" s="42" t="str">
        <f>VLOOKUP(Tabelle1420[[#This Row],[Primärzinkherstellung 
(Nasschemische Elektrolyse)]],Dropdown!$A$2:$D$4,4,FALSE)</f>
        <v>-</v>
      </c>
      <c r="P3" s="42" t="str">
        <f>VLOOKUP(Tabelle1420[[#This Row],[Metallbearbeitung 
(Wärmebehandlung)]],Dropdown!$A$2:$D$4,4,FALSE)</f>
        <v>-</v>
      </c>
      <c r="Q3" s="42" t="str">
        <f>VLOOKUP(Tabelle1420[[#This Row],[Gießereien (Induktionsofen)]],Dropdown!$A$2:$D$4,4,FALSE)</f>
        <v>-</v>
      </c>
      <c r="R3" s="42" t="str">
        <f>VLOOKUP(Tabelle1420[[#This Row],[Calciumcarbid-Herstellung 
(Lichtbogenofen)]],Dropdown!$A$2:$D$4,4,FALSE)</f>
        <v>-</v>
      </c>
      <c r="S3" s="42" t="str">
        <f>VLOOKUP(Tabelle1420[[#This Row],[Ernährungsindustrie gesamt]],Dropdown!$A$2:$D$4,4,FALSE)</f>
        <v>-</v>
      </c>
      <c r="T3" s="42" t="str">
        <f>VLOOKUP(Tabelle1420[[#This Row],[Chemieindustrie gesamt]],Dropdown!$A$2:$D$4,4,FALSE)</f>
        <v>-</v>
      </c>
      <c r="U3" s="42" t="str">
        <f>VLOOKUP(Tabelle1420[[#This Row],[Kfz-Industrie gesamt]],Dropdown!$A$2:$D$4,4,FALSE)</f>
        <v>-</v>
      </c>
      <c r="V3" s="42" t="str">
        <f>VLOOKUP(Tabelle1420[[#This Row],[Maschinenbau gesamt]],Dropdown!$A$2:$D$4,4,FALSE)</f>
        <v>-</v>
      </c>
      <c r="W3" s="42" t="str">
        <f>VLOOKUP(Tabelle1420[[#This Row],[Glasindustrie gesamt]],Dropdown!$A$2:$D$4,4,FALSE)</f>
        <v>-</v>
      </c>
      <c r="X3" s="42" t="str">
        <f>VLOOKUP(Tabelle1420[[#This Row],[Behälterglasindustrie]],Dropdown!$A$2:$D$4,4,FALSE)</f>
        <v>-</v>
      </c>
      <c r="Y3" s="42" t="str">
        <f>VLOOKUP(Tabelle1420[[#This Row],[Silizium-Metall 
(Lichtbogenofen)]],Dropdown!$A$2:$D$4,4,FALSE)</f>
        <v>-</v>
      </c>
      <c r="Z3" s="42" t="str">
        <f>VLOOKUP(Tabelle1420[[#This Row],[Graphitelektroden 
(Graphitierungsofen)]],Dropdown!$A$2:$D$4,4,FALSE)</f>
        <v>-</v>
      </c>
    </row>
    <row r="4" spans="1:26" ht="25.5" x14ac:dyDescent="0.25">
      <c r="A4" s="6" t="s">
        <v>348</v>
      </c>
      <c r="B4" s="42" t="str">
        <f>VLOOKUP(Tabelle1420[[#This Row],[Primäraluminiumelektrolyse]],Dropdown!$A$2:$D$4,4,FALSE)</f>
        <v>X</v>
      </c>
      <c r="C4" s="42" t="str">
        <f>VLOOKUP(Tabelle1420[[#This Row],[Papierherstellung 
(Prozess gesamt)]],Dropdown!$A$2:$D$4,4,FALSE)</f>
        <v>X</v>
      </c>
      <c r="D4" s="42" t="str">
        <f>VLOOKUP(Tabelle1420[[#This Row],[Holzstoff- und Zellstoffherstellung 
(Holzschleifer / Refiner)]],Dropdown!$A$2:$D$4,4,FALSE)</f>
        <v>-</v>
      </c>
      <c r="E4" s="42" t="str">
        <f>VLOOKUP(Tabelle1420[[#This Row],[Papiermaschinen]],Dropdown!$A$2:$D$4,4,FALSE)</f>
        <v>-</v>
      </c>
      <c r="F4" s="42" t="str">
        <f>VLOOKUP(Tabelle1420[[#This Row],[Altpapierrecycling (Pulper)]],Dropdown!$A$2:$D$4,4,FALSE)</f>
        <v>-</v>
      </c>
      <c r="G4" s="42" t="str">
        <f>VLOOKUP(Tabelle1420[[#This Row],[Papierveredelung 
(Streichmaschinen und Kalander)]],Dropdown!$A$2:$D$4,4,FALSE)</f>
        <v>-</v>
      </c>
      <c r="H4" s="42" t="str">
        <f>VLOOKUP(Tabelle1420[[#This Row],[Chlor-Alkali-Elektrolyse]],Dropdown!$A$2:$D$4,4,FALSE)</f>
        <v>X</v>
      </c>
      <c r="I4" s="42" t="str">
        <f>VLOOKUP(Tabelle1420[[#This Row],[Elektrostahlherstellung 
(Lichtbogenofen)]],Dropdown!$A$2:$D$4,4,FALSE)</f>
        <v>X</v>
      </c>
      <c r="J4" s="42" t="str">
        <f>VLOOKUP(Tabelle1420[[#This Row],[Zementherstellung 
(Prozess gesamt)]],Dropdown!$A$2:$D$4,4,FALSE)</f>
        <v>X</v>
      </c>
      <c r="K4" s="42" t="str">
        <f>VLOOKUP(Tabelle1420[[#This Row],[Zementmühlen]],Dropdown!$A$2:$D$4,4,FALSE)</f>
        <v>-</v>
      </c>
      <c r="L4" s="42" t="str">
        <f>VLOOKUP(Tabelle1420[[#This Row],[Luftzerlegung]],Dropdown!$A$2:$D$4,4,FALSE)</f>
        <v>-</v>
      </c>
      <c r="M4" s="42" t="str">
        <f>VLOOKUP(Tabelle1420[[#This Row],[Kupfer- und Zinkherstellung 
(Elektrolyse)]],Dropdown!$A$2:$D$4,4,FALSE)</f>
        <v>-</v>
      </c>
      <c r="N4" s="42" t="str">
        <f>VLOOKUP(Tabelle1420[[#This Row],[Primärkupferherstellung 
(elektrolytische Kupferraffination)]],Dropdown!$A$2:$D$4,4,FALSE)</f>
        <v>-</v>
      </c>
      <c r="O4" s="42" t="str">
        <f>VLOOKUP(Tabelle1420[[#This Row],[Primärzinkherstellung 
(Nasschemische Elektrolyse)]],Dropdown!$A$2:$D$4,4,FALSE)</f>
        <v>-</v>
      </c>
      <c r="P4" s="42" t="str">
        <f>VLOOKUP(Tabelle1420[[#This Row],[Metallbearbeitung 
(Wärmebehandlung)]],Dropdown!$A$2:$D$4,4,FALSE)</f>
        <v>-</v>
      </c>
      <c r="Q4" s="42" t="str">
        <f>VLOOKUP(Tabelle1420[[#This Row],[Gießereien (Induktionsofen)]],Dropdown!$A$2:$D$4,4,FALSE)</f>
        <v>-</v>
      </c>
      <c r="R4" s="42" t="str">
        <f>VLOOKUP(Tabelle1420[[#This Row],[Calciumcarbid-Herstellung 
(Lichtbogenofen)]],Dropdown!$A$2:$D$4,4,FALSE)</f>
        <v>-</v>
      </c>
      <c r="S4" s="42" t="str">
        <f>VLOOKUP(Tabelle1420[[#This Row],[Ernährungsindustrie gesamt]],Dropdown!$A$2:$D$4,4,FALSE)</f>
        <v>-</v>
      </c>
      <c r="T4" s="42" t="str">
        <f>VLOOKUP(Tabelle1420[[#This Row],[Chemieindustrie gesamt]],Dropdown!$A$2:$D$4,4,FALSE)</f>
        <v>-</v>
      </c>
      <c r="U4" s="42" t="str">
        <f>VLOOKUP(Tabelle1420[[#This Row],[Kfz-Industrie gesamt]],Dropdown!$A$2:$D$4,4,FALSE)</f>
        <v>-</v>
      </c>
      <c r="V4" s="42" t="str">
        <f>VLOOKUP(Tabelle1420[[#This Row],[Maschinenbau gesamt]],Dropdown!$A$2:$D$4,4,FALSE)</f>
        <v>-</v>
      </c>
      <c r="W4" s="42" t="str">
        <f>VLOOKUP(Tabelle1420[[#This Row],[Glasindustrie gesamt]],Dropdown!$A$2:$D$4,4,FALSE)</f>
        <v>-</v>
      </c>
      <c r="X4" s="42" t="str">
        <f>VLOOKUP(Tabelle1420[[#This Row],[Behälterglasindustrie]],Dropdown!$A$2:$D$4,4,FALSE)</f>
        <v>-</v>
      </c>
      <c r="Y4" s="42" t="str">
        <f>VLOOKUP(Tabelle1420[[#This Row],[Silizium-Metall 
(Lichtbogenofen)]],Dropdown!$A$2:$D$4,4,FALSE)</f>
        <v>-</v>
      </c>
      <c r="Z4" s="42" t="str">
        <f>VLOOKUP(Tabelle1420[[#This Row],[Graphitelektroden 
(Graphitierungsofen)]],Dropdown!$A$2:$D$4,4,FALSE)</f>
        <v>-</v>
      </c>
    </row>
    <row r="5" spans="1:26" x14ac:dyDescent="0.25">
      <c r="A5" s="6" t="s">
        <v>183</v>
      </c>
      <c r="B5" s="42" t="str">
        <f>VLOOKUP(Tabelle1420[[#This Row],[Primäraluminiumelektrolyse]],Dropdown!$A$2:$D$4,4,FALSE)</f>
        <v>X</v>
      </c>
      <c r="C5" s="42" t="str">
        <f>VLOOKUP(Tabelle1420[[#This Row],[Papierherstellung 
(Prozess gesamt)]],Dropdown!$A$2:$D$4,4,FALSE)</f>
        <v>-</v>
      </c>
      <c r="D5" s="42" t="str">
        <f>VLOOKUP(Tabelle1420[[#This Row],[Holzstoff- und Zellstoffherstellung 
(Holzschleifer / Refiner)]],Dropdown!$A$2:$D$4,4,FALSE)</f>
        <v>X</v>
      </c>
      <c r="E5" s="42" t="str">
        <f>VLOOKUP(Tabelle1420[[#This Row],[Papiermaschinen]],Dropdown!$A$2:$D$4,4,FALSE)</f>
        <v>X</v>
      </c>
      <c r="F5" s="42" t="str">
        <f>VLOOKUP(Tabelle1420[[#This Row],[Altpapierrecycling (Pulper)]],Dropdown!$A$2:$D$4,4,FALSE)</f>
        <v>X</v>
      </c>
      <c r="G5" s="42" t="str">
        <f>VLOOKUP(Tabelle1420[[#This Row],[Papierveredelung 
(Streichmaschinen und Kalander)]],Dropdown!$A$2:$D$4,4,FALSE)</f>
        <v>X</v>
      </c>
      <c r="H5" s="42" t="str">
        <f>VLOOKUP(Tabelle1420[[#This Row],[Chlor-Alkali-Elektrolyse]],Dropdown!$A$2:$D$4,4,FALSE)</f>
        <v>X</v>
      </c>
      <c r="I5" s="42" t="str">
        <f>VLOOKUP(Tabelle1420[[#This Row],[Elektrostahlherstellung 
(Lichtbogenofen)]],Dropdown!$A$2:$D$4,4,FALSE)</f>
        <v>X</v>
      </c>
      <c r="J5" s="42" t="str">
        <f>VLOOKUP(Tabelle1420[[#This Row],[Zementherstellung 
(Prozess gesamt)]],Dropdown!$A$2:$D$4,4,FALSE)</f>
        <v>X</v>
      </c>
      <c r="K5" s="42" t="str">
        <f>VLOOKUP(Tabelle1420[[#This Row],[Zementmühlen]],Dropdown!$A$2:$D$4,4,FALSE)</f>
        <v>-</v>
      </c>
      <c r="L5" s="42" t="str">
        <f>VLOOKUP(Tabelle1420[[#This Row],[Luftzerlegung]],Dropdown!$A$2:$D$4,4,FALSE)</f>
        <v>X</v>
      </c>
      <c r="M5" s="42" t="str">
        <f>VLOOKUP(Tabelle1420[[#This Row],[Kupfer- und Zinkherstellung 
(Elektrolyse)]],Dropdown!$A$2:$D$4,4,FALSE)</f>
        <v>X</v>
      </c>
      <c r="N5" s="42" t="str">
        <f>VLOOKUP(Tabelle1420[[#This Row],[Primärkupferherstellung 
(elektrolytische Kupferraffination)]],Dropdown!$A$2:$D$4,4,FALSE)</f>
        <v>-</v>
      </c>
      <c r="O5" s="42" t="str">
        <f>VLOOKUP(Tabelle1420[[#This Row],[Primärzinkherstellung 
(Nasschemische Elektrolyse)]],Dropdown!$A$2:$D$4,4,FALSE)</f>
        <v>-</v>
      </c>
      <c r="P5" s="42" t="str">
        <f>VLOOKUP(Tabelle1420[[#This Row],[Metallbearbeitung 
(Wärmebehandlung)]],Dropdown!$A$2:$D$4,4,FALSE)</f>
        <v>X</v>
      </c>
      <c r="Q5" s="42" t="str">
        <f>VLOOKUP(Tabelle1420[[#This Row],[Gießereien (Induktionsofen)]],Dropdown!$A$2:$D$4,4,FALSE)</f>
        <v>X</v>
      </c>
      <c r="R5" s="42" t="str">
        <f>VLOOKUP(Tabelle1420[[#This Row],[Calciumcarbid-Herstellung 
(Lichtbogenofen)]],Dropdown!$A$2:$D$4,4,FALSE)</f>
        <v>-</v>
      </c>
      <c r="S5" s="42" t="str">
        <f>VLOOKUP(Tabelle1420[[#This Row],[Ernährungsindustrie gesamt]],Dropdown!$A$2:$D$4,4,FALSE)</f>
        <v>-</v>
      </c>
      <c r="T5" s="42" t="str">
        <f>VLOOKUP(Tabelle1420[[#This Row],[Chemieindustrie gesamt]],Dropdown!$A$2:$D$4,4,FALSE)</f>
        <v>-</v>
      </c>
      <c r="U5" s="42" t="str">
        <f>VLOOKUP(Tabelle1420[[#This Row],[Kfz-Industrie gesamt]],Dropdown!$A$2:$D$4,4,FALSE)</f>
        <v>-</v>
      </c>
      <c r="V5" s="42" t="str">
        <f>VLOOKUP(Tabelle1420[[#This Row],[Maschinenbau gesamt]],Dropdown!$A$2:$D$4,4,FALSE)</f>
        <v>-</v>
      </c>
      <c r="W5" s="42" t="str">
        <f>VLOOKUP(Tabelle1420[[#This Row],[Glasindustrie gesamt]],Dropdown!$A$2:$D$4,4,FALSE)</f>
        <v>-</v>
      </c>
      <c r="X5" s="42" t="str">
        <f>VLOOKUP(Tabelle1420[[#This Row],[Behälterglasindustrie]],Dropdown!$A$2:$D$4,4,FALSE)</f>
        <v>-</v>
      </c>
      <c r="Y5" s="42" t="str">
        <f>VLOOKUP(Tabelle1420[[#This Row],[Silizium-Metall 
(Lichtbogenofen)]],Dropdown!$A$2:$D$4,4,FALSE)</f>
        <v>-</v>
      </c>
      <c r="Z5" s="42" t="str">
        <f>VLOOKUP(Tabelle1420[[#This Row],[Graphitelektroden 
(Graphitierungsofen)]],Dropdown!$A$2:$D$4,4,FALSE)</f>
        <v>-</v>
      </c>
    </row>
    <row r="6" spans="1:26" ht="25.5" x14ac:dyDescent="0.25">
      <c r="A6" s="6" t="s">
        <v>258</v>
      </c>
      <c r="B6" s="42" t="str">
        <f>VLOOKUP(Tabelle1420[[#This Row],[Primäraluminiumelektrolyse]],Dropdown!$A$2:$D$4,4,FALSE)</f>
        <v>X</v>
      </c>
      <c r="C6" s="42" t="str">
        <f>VLOOKUP(Tabelle1420[[#This Row],[Papierherstellung 
(Prozess gesamt)]],Dropdown!$A$2:$D$4,4,FALSE)</f>
        <v>-</v>
      </c>
      <c r="D6" s="42" t="str">
        <f>VLOOKUP(Tabelle1420[[#This Row],[Holzstoff- und Zellstoffherstellung 
(Holzschleifer / Refiner)]],Dropdown!$A$2:$D$4,4,FALSE)</f>
        <v>X</v>
      </c>
      <c r="E6" s="42" t="str">
        <f>VLOOKUP(Tabelle1420[[#This Row],[Papiermaschinen]],Dropdown!$A$2:$D$4,4,FALSE)</f>
        <v>X</v>
      </c>
      <c r="F6" s="42" t="str">
        <f>VLOOKUP(Tabelle1420[[#This Row],[Altpapierrecycling (Pulper)]],Dropdown!$A$2:$D$4,4,FALSE)</f>
        <v>X</v>
      </c>
      <c r="G6" s="42" t="str">
        <f>VLOOKUP(Tabelle1420[[#This Row],[Papierveredelung 
(Streichmaschinen und Kalander)]],Dropdown!$A$2:$D$4,4,FALSE)</f>
        <v>-</v>
      </c>
      <c r="H6" s="42" t="str">
        <f>VLOOKUP(Tabelle1420[[#This Row],[Chlor-Alkali-Elektrolyse]],Dropdown!$A$2:$D$4,4,FALSE)</f>
        <v>X</v>
      </c>
      <c r="I6" s="42" t="str">
        <f>VLOOKUP(Tabelle1420[[#This Row],[Elektrostahlherstellung 
(Lichtbogenofen)]],Dropdown!$A$2:$D$4,4,FALSE)</f>
        <v>X</v>
      </c>
      <c r="J6" s="42" t="str">
        <f>VLOOKUP(Tabelle1420[[#This Row],[Zementherstellung 
(Prozess gesamt)]],Dropdown!$A$2:$D$4,4,FALSE)</f>
        <v>X</v>
      </c>
      <c r="K6" s="42" t="str">
        <f>VLOOKUP(Tabelle1420[[#This Row],[Zementmühlen]],Dropdown!$A$2:$D$4,4,FALSE)</f>
        <v>-</v>
      </c>
      <c r="L6" s="42" t="str">
        <f>VLOOKUP(Tabelle1420[[#This Row],[Luftzerlegung]],Dropdown!$A$2:$D$4,4,FALSE)</f>
        <v>X</v>
      </c>
      <c r="M6" s="42" t="str">
        <f>VLOOKUP(Tabelle1420[[#This Row],[Kupfer- und Zinkherstellung 
(Elektrolyse)]],Dropdown!$A$2:$D$4,4,FALSE)</f>
        <v>-</v>
      </c>
      <c r="N6" s="42" t="str">
        <f>VLOOKUP(Tabelle1420[[#This Row],[Primärkupferherstellung 
(elektrolytische Kupferraffination)]],Dropdown!$A$2:$D$4,4,FALSE)</f>
        <v>X</v>
      </c>
      <c r="O6" s="42" t="str">
        <f>VLOOKUP(Tabelle1420[[#This Row],[Primärzinkherstellung 
(Nasschemische Elektrolyse)]],Dropdown!$A$2:$D$4,4,FALSE)</f>
        <v>X</v>
      </c>
      <c r="P6" s="42" t="str">
        <f>VLOOKUP(Tabelle1420[[#This Row],[Metallbearbeitung 
(Wärmebehandlung)]],Dropdown!$A$2:$D$4,4,FALSE)</f>
        <v>-</v>
      </c>
      <c r="Q6" s="42" t="str">
        <f>VLOOKUP(Tabelle1420[[#This Row],[Gießereien (Induktionsofen)]],Dropdown!$A$2:$D$4,4,FALSE)</f>
        <v>-</v>
      </c>
      <c r="R6" s="42" t="str">
        <f>VLOOKUP(Tabelle1420[[#This Row],[Calciumcarbid-Herstellung 
(Lichtbogenofen)]],Dropdown!$A$2:$D$4,4,FALSE)</f>
        <v>X</v>
      </c>
      <c r="S6" s="42" t="str">
        <f>VLOOKUP(Tabelle1420[[#This Row],[Ernährungsindustrie gesamt]],Dropdown!$A$2:$D$4,4,FALSE)</f>
        <v>-</v>
      </c>
      <c r="T6" s="42" t="str">
        <f>VLOOKUP(Tabelle1420[[#This Row],[Chemieindustrie gesamt]],Dropdown!$A$2:$D$4,4,FALSE)</f>
        <v>-</v>
      </c>
      <c r="U6" s="42" t="str">
        <f>VLOOKUP(Tabelle1420[[#This Row],[Kfz-Industrie gesamt]],Dropdown!$A$2:$D$4,4,FALSE)</f>
        <v>-</v>
      </c>
      <c r="V6" s="42" t="str">
        <f>VLOOKUP(Tabelle1420[[#This Row],[Maschinenbau gesamt]],Dropdown!$A$2:$D$4,4,FALSE)</f>
        <v>-</v>
      </c>
      <c r="W6" s="42" t="str">
        <f>VLOOKUP(Tabelle1420[[#This Row],[Glasindustrie gesamt]],Dropdown!$A$2:$D$4,4,FALSE)</f>
        <v>-</v>
      </c>
      <c r="X6" s="42" t="str">
        <f>VLOOKUP(Tabelle1420[[#This Row],[Behälterglasindustrie]],Dropdown!$A$2:$D$4,4,FALSE)</f>
        <v>-</v>
      </c>
      <c r="Y6" s="42" t="str">
        <f>VLOOKUP(Tabelle1420[[#This Row],[Silizium-Metall 
(Lichtbogenofen)]],Dropdown!$A$2:$D$4,4,FALSE)</f>
        <v>-</v>
      </c>
      <c r="Z6" s="42" t="str">
        <f>VLOOKUP(Tabelle1420[[#This Row],[Graphitelektroden 
(Graphitierungsofen)]],Dropdown!$A$2:$D$4,4,FALSE)</f>
        <v>-</v>
      </c>
    </row>
    <row r="7" spans="1:26" x14ac:dyDescent="0.25">
      <c r="A7" s="18" t="s">
        <v>355</v>
      </c>
      <c r="B7" s="42" t="str">
        <f>VLOOKUP(Tabelle1420[[#This Row],[Primäraluminiumelektrolyse]],Dropdown!$A$2:$D$4,4,FALSE)</f>
        <v>-</v>
      </c>
      <c r="C7" s="42" t="str">
        <f>VLOOKUP(Tabelle1420[[#This Row],[Papierherstellung 
(Prozess gesamt)]],Dropdown!$A$2:$D$4,4,FALSE)</f>
        <v>X</v>
      </c>
      <c r="D7" s="42" t="str">
        <f>VLOOKUP(Tabelle1420[[#This Row],[Holzstoff- und Zellstoffherstellung 
(Holzschleifer / Refiner)]],Dropdown!$A$2:$D$4,4,FALSE)</f>
        <v>-</v>
      </c>
      <c r="E7" s="42" t="str">
        <f>VLOOKUP(Tabelle1420[[#This Row],[Papiermaschinen]],Dropdown!$A$2:$D$4,4,FALSE)</f>
        <v>-</v>
      </c>
      <c r="F7" s="42" t="str">
        <f>VLOOKUP(Tabelle1420[[#This Row],[Altpapierrecycling (Pulper)]],Dropdown!$A$2:$D$4,4,FALSE)</f>
        <v>-</v>
      </c>
      <c r="G7" s="42" t="str">
        <f>VLOOKUP(Tabelle1420[[#This Row],[Papierveredelung 
(Streichmaschinen und Kalander)]],Dropdown!$A$2:$D$4,4,FALSE)</f>
        <v>-</v>
      </c>
      <c r="H7" s="42" t="str">
        <f>VLOOKUP(Tabelle1420[[#This Row],[Chlor-Alkali-Elektrolyse]],Dropdown!$A$2:$D$4,4,FALSE)</f>
        <v>-</v>
      </c>
      <c r="I7" s="42" t="str">
        <f>VLOOKUP(Tabelle1420[[#This Row],[Elektrostahlherstellung 
(Lichtbogenofen)]],Dropdown!$A$2:$D$4,4,FALSE)</f>
        <v>-</v>
      </c>
      <c r="J7" s="42" t="str">
        <f>VLOOKUP(Tabelle1420[[#This Row],[Zementherstellung 
(Prozess gesamt)]],Dropdown!$A$2:$D$4,4,FALSE)</f>
        <v>-</v>
      </c>
      <c r="K7" s="42" t="str">
        <f>VLOOKUP(Tabelle1420[[#This Row],[Zementmühlen]],Dropdown!$A$2:$D$4,4,FALSE)</f>
        <v>-</v>
      </c>
      <c r="L7" s="42" t="str">
        <f>VLOOKUP(Tabelle1420[[#This Row],[Luftzerlegung]],Dropdown!$A$2:$D$4,4,FALSE)</f>
        <v>-</v>
      </c>
      <c r="M7" s="42" t="str">
        <f>VLOOKUP(Tabelle1420[[#This Row],[Kupfer- und Zinkherstellung 
(Elektrolyse)]],Dropdown!$A$2:$D$4,4,FALSE)</f>
        <v>-</v>
      </c>
      <c r="N7" s="42" t="str">
        <f>VLOOKUP(Tabelle1420[[#This Row],[Primärkupferherstellung 
(elektrolytische Kupferraffination)]],Dropdown!$A$2:$D$4,4,FALSE)</f>
        <v>-</v>
      </c>
      <c r="O7" s="42" t="str">
        <f>VLOOKUP(Tabelle1420[[#This Row],[Primärzinkherstellung 
(Nasschemische Elektrolyse)]],Dropdown!$A$2:$D$4,4,FALSE)</f>
        <v>-</v>
      </c>
      <c r="P7" s="42" t="str">
        <f>VLOOKUP(Tabelle1420[[#This Row],[Metallbearbeitung 
(Wärmebehandlung)]],Dropdown!$A$2:$D$4,4,FALSE)</f>
        <v>-</v>
      </c>
      <c r="Q7" s="42" t="str">
        <f>VLOOKUP(Tabelle1420[[#This Row],[Gießereien (Induktionsofen)]],Dropdown!$A$2:$D$4,4,FALSE)</f>
        <v>-</v>
      </c>
      <c r="R7" s="42" t="str">
        <f>VLOOKUP(Tabelle1420[[#This Row],[Calciumcarbid-Herstellung 
(Lichtbogenofen)]],Dropdown!$A$2:$D$4,4,FALSE)</f>
        <v>-</v>
      </c>
      <c r="S7" s="42" t="str">
        <f>VLOOKUP(Tabelle1420[[#This Row],[Ernährungsindustrie gesamt]],Dropdown!$A$2:$D$4,4,FALSE)</f>
        <v>X</v>
      </c>
      <c r="T7" s="42" t="str">
        <f>VLOOKUP(Tabelle1420[[#This Row],[Chemieindustrie gesamt]],Dropdown!$A$2:$D$4,4,FALSE)</f>
        <v>X</v>
      </c>
      <c r="U7" s="42" t="str">
        <f>VLOOKUP(Tabelle1420[[#This Row],[Kfz-Industrie gesamt]],Dropdown!$A$2:$D$4,4,FALSE)</f>
        <v>X</v>
      </c>
      <c r="V7" s="42" t="str">
        <f>VLOOKUP(Tabelle1420[[#This Row],[Maschinenbau gesamt]],Dropdown!$A$2:$D$4,4,FALSE)</f>
        <v>X</v>
      </c>
      <c r="W7" s="42" t="str">
        <f>VLOOKUP(Tabelle1420[[#This Row],[Glasindustrie gesamt]],Dropdown!$A$2:$D$4,4,FALSE)</f>
        <v>X</v>
      </c>
      <c r="X7" s="42" t="str">
        <f>VLOOKUP(Tabelle1420[[#This Row],[Behälterglasindustrie]],Dropdown!$A$2:$D$4,4,FALSE)</f>
        <v>-</v>
      </c>
      <c r="Y7" s="42" t="str">
        <f>VLOOKUP(Tabelle1420[[#This Row],[Silizium-Metall 
(Lichtbogenofen)]],Dropdown!$A$2:$D$4,4,FALSE)</f>
        <v>-</v>
      </c>
      <c r="Z7" s="42" t="str">
        <f>VLOOKUP(Tabelle1420[[#This Row],[Graphitelektroden 
(Graphitierungsofen)]],Dropdown!$A$2:$D$4,4,FALSE)</f>
        <v>-</v>
      </c>
    </row>
    <row r="8" spans="1:26" x14ac:dyDescent="0.25">
      <c r="A8" s="18" t="s">
        <v>431</v>
      </c>
      <c r="B8" s="42" t="str">
        <f>VLOOKUP(Tabelle1420[[#This Row],[Primäraluminiumelektrolyse]],Dropdown!$A$2:$D$4,4,FALSE)</f>
        <v>-</v>
      </c>
      <c r="C8" s="42" t="str">
        <f>VLOOKUP(Tabelle1420[[#This Row],[Papierherstellung 
(Prozess gesamt)]],Dropdown!$A$2:$D$4,4,FALSE)</f>
        <v>X</v>
      </c>
      <c r="D8" s="42" t="str">
        <f>VLOOKUP(Tabelle1420[[#This Row],[Holzstoff- und Zellstoffherstellung 
(Holzschleifer / Refiner)]],Dropdown!$A$2:$D$4,4,FALSE)</f>
        <v>-</v>
      </c>
      <c r="E8" s="42" t="str">
        <f>VLOOKUP(Tabelle1420[[#This Row],[Papiermaschinen]],Dropdown!$A$2:$D$4,4,FALSE)</f>
        <v>-</v>
      </c>
      <c r="F8" s="42" t="str">
        <f>VLOOKUP(Tabelle1420[[#This Row],[Altpapierrecycling (Pulper)]],Dropdown!$A$2:$D$4,4,FALSE)</f>
        <v>-</v>
      </c>
      <c r="G8" s="42" t="str">
        <f>VLOOKUP(Tabelle1420[[#This Row],[Papierveredelung 
(Streichmaschinen und Kalander)]],Dropdown!$A$2:$D$4,4,FALSE)</f>
        <v>-</v>
      </c>
      <c r="H8" s="42" t="str">
        <f>VLOOKUP(Tabelle1420[[#This Row],[Chlor-Alkali-Elektrolyse]],Dropdown!$A$2:$D$4,4,FALSE)</f>
        <v>X</v>
      </c>
      <c r="I8" s="42" t="str">
        <f>VLOOKUP(Tabelle1420[[#This Row],[Elektrostahlherstellung 
(Lichtbogenofen)]],Dropdown!$A$2:$D$4,4,FALSE)</f>
        <v>X</v>
      </c>
      <c r="J8" s="42" t="str">
        <f>VLOOKUP(Tabelle1420[[#This Row],[Zementherstellung 
(Prozess gesamt)]],Dropdown!$A$2:$D$4,4,FALSE)</f>
        <v>X</v>
      </c>
      <c r="K8" s="42" t="str">
        <f>VLOOKUP(Tabelle1420[[#This Row],[Zementmühlen]],Dropdown!$A$2:$D$4,4,FALSE)</f>
        <v>-</v>
      </c>
      <c r="L8" s="42" t="str">
        <f>VLOOKUP(Tabelle1420[[#This Row],[Luftzerlegung]],Dropdown!$A$2:$D$4,4,FALSE)</f>
        <v>-</v>
      </c>
      <c r="M8" s="42" t="str">
        <f>VLOOKUP(Tabelle1420[[#This Row],[Kupfer- und Zinkherstellung 
(Elektrolyse)]],Dropdown!$A$2:$D$4,4,FALSE)</f>
        <v>-</v>
      </c>
      <c r="N8" s="42" t="str">
        <f>VLOOKUP(Tabelle1420[[#This Row],[Primärkupferherstellung 
(elektrolytische Kupferraffination)]],Dropdown!$A$2:$D$4,4,FALSE)</f>
        <v>-</v>
      </c>
      <c r="O8" s="42" t="str">
        <f>VLOOKUP(Tabelle1420[[#This Row],[Primärzinkherstellung 
(Nasschemische Elektrolyse)]],Dropdown!$A$2:$D$4,4,FALSE)</f>
        <v>-</v>
      </c>
      <c r="P8" s="42" t="str">
        <f>VLOOKUP(Tabelle1420[[#This Row],[Metallbearbeitung 
(Wärmebehandlung)]],Dropdown!$A$2:$D$4,4,FALSE)</f>
        <v>-</v>
      </c>
      <c r="Q8" s="42" t="str">
        <f>VLOOKUP(Tabelle1420[[#This Row],[Gießereien (Induktionsofen)]],Dropdown!$A$2:$D$4,4,FALSE)</f>
        <v>-</v>
      </c>
      <c r="R8" s="42" t="str">
        <f>VLOOKUP(Tabelle1420[[#This Row],[Calciumcarbid-Herstellung 
(Lichtbogenofen)]],Dropdown!$A$2:$D$4,4,FALSE)</f>
        <v>-</v>
      </c>
      <c r="S8" s="42" t="str">
        <f>VLOOKUP(Tabelle1420[[#This Row],[Ernährungsindustrie gesamt]],Dropdown!$A$2:$D$4,4,FALSE)</f>
        <v>-</v>
      </c>
      <c r="T8" s="42" t="str">
        <f>VLOOKUP(Tabelle1420[[#This Row],[Chemieindustrie gesamt]],Dropdown!$A$2:$D$4,4,FALSE)</f>
        <v>-</v>
      </c>
      <c r="U8" s="42" t="str">
        <f>VLOOKUP(Tabelle1420[[#This Row],[Kfz-Industrie gesamt]],Dropdown!$A$2:$D$4,4,FALSE)</f>
        <v>-</v>
      </c>
      <c r="V8" s="42" t="str">
        <f>VLOOKUP(Tabelle1420[[#This Row],[Maschinenbau gesamt]],Dropdown!$A$2:$D$4,4,FALSE)</f>
        <v>-</v>
      </c>
      <c r="W8" s="42" t="str">
        <f>VLOOKUP(Tabelle1420[[#This Row],[Glasindustrie gesamt]],Dropdown!$A$2:$D$4,4,FALSE)</f>
        <v>-</v>
      </c>
      <c r="X8" s="42" t="str">
        <f>VLOOKUP(Tabelle1420[[#This Row],[Behälterglasindustrie]],Dropdown!$A$2:$D$4,4,FALSE)</f>
        <v>-</v>
      </c>
      <c r="Y8" s="42" t="str">
        <f>VLOOKUP(Tabelle1420[[#This Row],[Silizium-Metall 
(Lichtbogenofen)]],Dropdown!$A$2:$D$4,4,FALSE)</f>
        <v>-</v>
      </c>
      <c r="Z8" s="42" t="str">
        <f>VLOOKUP(Tabelle1420[[#This Row],[Graphitelektroden 
(Graphitierungsofen)]],Dropdown!$A$2:$D$4,4,FALSE)</f>
        <v>-</v>
      </c>
    </row>
    <row r="9" spans="1:26" x14ac:dyDescent="0.25">
      <c r="A9" s="6" t="s">
        <v>410</v>
      </c>
      <c r="B9" s="42" t="str">
        <f>VLOOKUP(Tabelle1420[[#This Row],[Primäraluminiumelektrolyse]],Dropdown!$A$2:$D$4,4,FALSE)</f>
        <v>X</v>
      </c>
      <c r="C9" s="42" t="str">
        <f>VLOOKUP(Tabelle1420[[#This Row],[Papierherstellung 
(Prozess gesamt)]],Dropdown!$A$2:$D$4,4,FALSE)</f>
        <v>-</v>
      </c>
      <c r="D9" s="42" t="str">
        <f>VLOOKUP(Tabelle1420[[#This Row],[Holzstoff- und Zellstoffherstellung 
(Holzschleifer / Refiner)]],Dropdown!$A$2:$D$4,4,FALSE)</f>
        <v>X</v>
      </c>
      <c r="E9" s="42" t="str">
        <f>VLOOKUP(Tabelle1420[[#This Row],[Papiermaschinen]],Dropdown!$A$2:$D$4,4,FALSE)</f>
        <v>-</v>
      </c>
      <c r="F9" s="42" t="str">
        <f>VLOOKUP(Tabelle1420[[#This Row],[Altpapierrecycling (Pulper)]],Dropdown!$A$2:$D$4,4,FALSE)</f>
        <v>-</v>
      </c>
      <c r="G9" s="42" t="str">
        <f>VLOOKUP(Tabelle1420[[#This Row],[Papierveredelung 
(Streichmaschinen und Kalander)]],Dropdown!$A$2:$D$4,4,FALSE)</f>
        <v>-</v>
      </c>
      <c r="H9" s="42" t="str">
        <f>VLOOKUP(Tabelle1420[[#This Row],[Chlor-Alkali-Elektrolyse]],Dropdown!$A$2:$D$4,4,FALSE)</f>
        <v>X</v>
      </c>
      <c r="I9" s="42" t="str">
        <f>VLOOKUP(Tabelle1420[[#This Row],[Elektrostahlherstellung 
(Lichtbogenofen)]],Dropdown!$A$2:$D$4,4,FALSE)</f>
        <v>X</v>
      </c>
      <c r="J9" s="42" t="str">
        <f>VLOOKUP(Tabelle1420[[#This Row],[Zementherstellung 
(Prozess gesamt)]],Dropdown!$A$2:$D$4,4,FALSE)</f>
        <v>X</v>
      </c>
      <c r="K9" s="42" t="str">
        <f>VLOOKUP(Tabelle1420[[#This Row],[Zementmühlen]],Dropdown!$A$2:$D$4,4,FALSE)</f>
        <v>-</v>
      </c>
      <c r="L9" s="42" t="str">
        <f>VLOOKUP(Tabelle1420[[#This Row],[Luftzerlegung]],Dropdown!$A$2:$D$4,4,FALSE)</f>
        <v>-</v>
      </c>
      <c r="M9" s="42" t="str">
        <f>VLOOKUP(Tabelle1420[[#This Row],[Kupfer- und Zinkherstellung 
(Elektrolyse)]],Dropdown!$A$2:$D$4,4,FALSE)</f>
        <v>-</v>
      </c>
      <c r="N9" s="42" t="str">
        <f>VLOOKUP(Tabelle1420[[#This Row],[Primärkupferherstellung 
(elektrolytische Kupferraffination)]],Dropdown!$A$2:$D$4,4,FALSE)</f>
        <v>-</v>
      </c>
      <c r="O9" s="42" t="str">
        <f>VLOOKUP(Tabelle1420[[#This Row],[Primärzinkherstellung 
(Nasschemische Elektrolyse)]],Dropdown!$A$2:$D$4,4,FALSE)</f>
        <v>-</v>
      </c>
      <c r="P9" s="42" t="str">
        <f>VLOOKUP(Tabelle1420[[#This Row],[Metallbearbeitung 
(Wärmebehandlung)]],Dropdown!$A$2:$D$4,4,FALSE)</f>
        <v>-</v>
      </c>
      <c r="Q9" s="42" t="str">
        <f>VLOOKUP(Tabelle1420[[#This Row],[Gießereien (Induktionsofen)]],Dropdown!$A$2:$D$4,4,FALSE)</f>
        <v>-</v>
      </c>
      <c r="R9" s="42" t="str">
        <f>VLOOKUP(Tabelle1420[[#This Row],[Calciumcarbid-Herstellung 
(Lichtbogenofen)]],Dropdown!$A$2:$D$4,4,FALSE)</f>
        <v>-</v>
      </c>
      <c r="S9" s="42" t="str">
        <f>VLOOKUP(Tabelle1420[[#This Row],[Ernährungsindustrie gesamt]],Dropdown!$A$2:$D$4,4,FALSE)</f>
        <v>-</v>
      </c>
      <c r="T9" s="42" t="str">
        <f>VLOOKUP(Tabelle1420[[#This Row],[Chemieindustrie gesamt]],Dropdown!$A$2:$D$4,4,FALSE)</f>
        <v>-</v>
      </c>
      <c r="U9" s="42" t="str">
        <f>VLOOKUP(Tabelle1420[[#This Row],[Kfz-Industrie gesamt]],Dropdown!$A$2:$D$4,4,FALSE)</f>
        <v>-</v>
      </c>
      <c r="V9" s="42" t="str">
        <f>VLOOKUP(Tabelle1420[[#This Row],[Maschinenbau gesamt]],Dropdown!$A$2:$D$4,4,FALSE)</f>
        <v>-</v>
      </c>
      <c r="W9" s="42" t="str">
        <f>VLOOKUP(Tabelle1420[[#This Row],[Glasindustrie gesamt]],Dropdown!$A$2:$D$4,4,FALSE)</f>
        <v>-</v>
      </c>
      <c r="X9" s="42" t="str">
        <f>VLOOKUP(Tabelle1420[[#This Row],[Behälterglasindustrie]],Dropdown!$A$2:$D$4,4,FALSE)</f>
        <v>-</v>
      </c>
      <c r="Y9" s="42" t="str">
        <f>VLOOKUP(Tabelle1420[[#This Row],[Silizium-Metall 
(Lichtbogenofen)]],Dropdown!$A$2:$D$4,4,FALSE)</f>
        <v>-</v>
      </c>
      <c r="Z9" s="42" t="str">
        <f>VLOOKUP(Tabelle1420[[#This Row],[Graphitelektroden 
(Graphitierungsofen)]],Dropdown!$A$2:$D$4,4,FALSE)</f>
        <v>-</v>
      </c>
    </row>
    <row r="10" spans="1:26" x14ac:dyDescent="0.25">
      <c r="A10" s="6" t="s">
        <v>393</v>
      </c>
      <c r="B10" s="42" t="str">
        <f>VLOOKUP(Tabelle1420[[#This Row],[Primäraluminiumelektrolyse]],Dropdown!$A$2:$D$4,4,FALSE)</f>
        <v>X</v>
      </c>
      <c r="C10" s="42" t="str">
        <f>VLOOKUP(Tabelle1420[[#This Row],[Papierherstellung 
(Prozess gesamt)]],Dropdown!$A$2:$D$4,4,FALSE)</f>
        <v>-</v>
      </c>
      <c r="D10" s="42" t="str">
        <f>VLOOKUP(Tabelle1420[[#This Row],[Holzstoff- und Zellstoffherstellung 
(Holzschleifer / Refiner)]],Dropdown!$A$2:$D$4,4,FALSE)</f>
        <v>X</v>
      </c>
      <c r="E10" s="42" t="str">
        <f>VLOOKUP(Tabelle1420[[#This Row],[Papiermaschinen]],Dropdown!$A$2:$D$4,4,FALSE)</f>
        <v>-</v>
      </c>
      <c r="F10" s="42" t="str">
        <f>VLOOKUP(Tabelle1420[[#This Row],[Altpapierrecycling (Pulper)]],Dropdown!$A$2:$D$4,4,FALSE)</f>
        <v>-</v>
      </c>
      <c r="G10" s="42" t="str">
        <f>VLOOKUP(Tabelle1420[[#This Row],[Papierveredelung 
(Streichmaschinen und Kalander)]],Dropdown!$A$2:$D$4,4,FALSE)</f>
        <v>-</v>
      </c>
      <c r="H10" s="42" t="str">
        <f>VLOOKUP(Tabelle1420[[#This Row],[Chlor-Alkali-Elektrolyse]],Dropdown!$A$2:$D$4,4,FALSE)</f>
        <v>X</v>
      </c>
      <c r="I10" s="42" t="str">
        <f>VLOOKUP(Tabelle1420[[#This Row],[Elektrostahlherstellung 
(Lichtbogenofen)]],Dropdown!$A$2:$D$4,4,FALSE)</f>
        <v>X</v>
      </c>
      <c r="J10" s="42" t="str">
        <f>VLOOKUP(Tabelle1420[[#This Row],[Zementherstellung 
(Prozess gesamt)]],Dropdown!$A$2:$D$4,4,FALSE)</f>
        <v>-</v>
      </c>
      <c r="K10" s="42" t="str">
        <f>VLOOKUP(Tabelle1420[[#This Row],[Zementmühlen]],Dropdown!$A$2:$D$4,4,FALSE)</f>
        <v>-</v>
      </c>
      <c r="L10" s="42" t="str">
        <f>VLOOKUP(Tabelle1420[[#This Row],[Luftzerlegung]],Dropdown!$A$2:$D$4,4,FALSE)</f>
        <v>-</v>
      </c>
      <c r="M10" s="42" t="str">
        <f>VLOOKUP(Tabelle1420[[#This Row],[Kupfer- und Zinkherstellung 
(Elektrolyse)]],Dropdown!$A$2:$D$4,4,FALSE)</f>
        <v>X</v>
      </c>
      <c r="N10" s="42" t="str">
        <f>VLOOKUP(Tabelle1420[[#This Row],[Primärkupferherstellung 
(elektrolytische Kupferraffination)]],Dropdown!$A$2:$D$4,4,FALSE)</f>
        <v>-</v>
      </c>
      <c r="O10" s="42" t="str">
        <f>VLOOKUP(Tabelle1420[[#This Row],[Primärzinkherstellung 
(Nasschemische Elektrolyse)]],Dropdown!$A$2:$D$4,4,FALSE)</f>
        <v>-</v>
      </c>
      <c r="P10" s="42" t="str">
        <f>VLOOKUP(Tabelle1420[[#This Row],[Metallbearbeitung 
(Wärmebehandlung)]],Dropdown!$A$2:$D$4,4,FALSE)</f>
        <v>-</v>
      </c>
      <c r="Q10" s="42" t="str">
        <f>VLOOKUP(Tabelle1420[[#This Row],[Gießereien (Induktionsofen)]],Dropdown!$A$2:$D$4,4,FALSE)</f>
        <v>-</v>
      </c>
      <c r="R10" s="42" t="str">
        <f>VLOOKUP(Tabelle1420[[#This Row],[Calciumcarbid-Herstellung 
(Lichtbogenofen)]],Dropdown!$A$2:$D$4,4,FALSE)</f>
        <v>-</v>
      </c>
      <c r="S10" s="42" t="str">
        <f>VLOOKUP(Tabelle1420[[#This Row],[Ernährungsindustrie gesamt]],Dropdown!$A$2:$D$4,4,FALSE)</f>
        <v>-</v>
      </c>
      <c r="T10" s="42" t="str">
        <f>VLOOKUP(Tabelle1420[[#This Row],[Chemieindustrie gesamt]],Dropdown!$A$2:$D$4,4,FALSE)</f>
        <v>-</v>
      </c>
      <c r="U10" s="42" t="str">
        <f>VLOOKUP(Tabelle1420[[#This Row],[Kfz-Industrie gesamt]],Dropdown!$A$2:$D$4,4,FALSE)</f>
        <v>-</v>
      </c>
      <c r="V10" s="42" t="str">
        <f>VLOOKUP(Tabelle1420[[#This Row],[Maschinenbau gesamt]],Dropdown!$A$2:$D$4,4,FALSE)</f>
        <v>-</v>
      </c>
      <c r="W10" s="42" t="str">
        <f>VLOOKUP(Tabelle1420[[#This Row],[Glasindustrie gesamt]],Dropdown!$A$2:$D$4,4,FALSE)</f>
        <v>-</v>
      </c>
      <c r="X10" s="42" t="str">
        <f>VLOOKUP(Tabelle1420[[#This Row],[Behälterglasindustrie]],Dropdown!$A$2:$D$4,4,FALSE)</f>
        <v>-</v>
      </c>
      <c r="Y10" s="42" t="str">
        <f>VLOOKUP(Tabelle1420[[#This Row],[Silizium-Metall 
(Lichtbogenofen)]],Dropdown!$A$2:$D$4,4,FALSE)</f>
        <v>-</v>
      </c>
      <c r="Z10" s="42" t="str">
        <f>VLOOKUP(Tabelle1420[[#This Row],[Graphitelektroden 
(Graphitierungsofen)]],Dropdown!$A$2:$D$4,4,FALSE)</f>
        <v>-</v>
      </c>
    </row>
    <row r="11" spans="1:26" ht="38.25" x14ac:dyDescent="0.25">
      <c r="A11" s="21" t="s">
        <v>380</v>
      </c>
      <c r="B11" s="42" t="str">
        <f>VLOOKUP(Tabelle1420[[#This Row],[Primäraluminiumelektrolyse]],Dropdown!$A$2:$D$4,4,FALSE)</f>
        <v>-</v>
      </c>
      <c r="C11" s="42" t="str">
        <f>VLOOKUP(Tabelle1420[[#This Row],[Papierherstellung 
(Prozess gesamt)]],Dropdown!$A$2:$D$4,4,FALSE)</f>
        <v>-</v>
      </c>
      <c r="D11" s="42" t="str">
        <f>VLOOKUP(Tabelle1420[[#This Row],[Holzstoff- und Zellstoffherstellung 
(Holzschleifer / Refiner)]],Dropdown!$A$2:$D$4,4,FALSE)</f>
        <v>-</v>
      </c>
      <c r="E11" s="42" t="str">
        <f>VLOOKUP(Tabelle1420[[#This Row],[Papiermaschinen]],Dropdown!$A$2:$D$4,4,FALSE)</f>
        <v>-</v>
      </c>
      <c r="F11" s="42" t="str">
        <f>VLOOKUP(Tabelle1420[[#This Row],[Altpapierrecycling (Pulper)]],Dropdown!$A$2:$D$4,4,FALSE)</f>
        <v>-</v>
      </c>
      <c r="G11" s="42" t="str">
        <f>VLOOKUP(Tabelle1420[[#This Row],[Papierveredelung 
(Streichmaschinen und Kalander)]],Dropdown!$A$2:$D$4,4,FALSE)</f>
        <v>-</v>
      </c>
      <c r="H11" s="42" t="str">
        <f>VLOOKUP(Tabelle1420[[#This Row],[Chlor-Alkali-Elektrolyse]],Dropdown!$A$2:$D$4,4,FALSE)</f>
        <v>-</v>
      </c>
      <c r="I11" s="42" t="str">
        <f>VLOOKUP(Tabelle1420[[#This Row],[Elektrostahlherstellung 
(Lichtbogenofen)]],Dropdown!$A$2:$D$4,4,FALSE)</f>
        <v>-</v>
      </c>
      <c r="J11" s="42" t="str">
        <f>VLOOKUP(Tabelle1420[[#This Row],[Zementherstellung 
(Prozess gesamt)]],Dropdown!$A$2:$D$4,4,FALSE)</f>
        <v>-</v>
      </c>
      <c r="K11" s="42" t="str">
        <f>VLOOKUP(Tabelle1420[[#This Row],[Zementmühlen]],Dropdown!$A$2:$D$4,4,FALSE)</f>
        <v>-</v>
      </c>
      <c r="L11" s="42" t="str">
        <f>VLOOKUP(Tabelle1420[[#This Row],[Luftzerlegung]],Dropdown!$A$2:$D$4,4,FALSE)</f>
        <v>-</v>
      </c>
      <c r="M11" s="42" t="str">
        <f>VLOOKUP(Tabelle1420[[#This Row],[Kupfer- und Zinkherstellung 
(Elektrolyse)]],Dropdown!$A$2:$D$4,4,FALSE)</f>
        <v>-</v>
      </c>
      <c r="N11" s="42" t="str">
        <f>VLOOKUP(Tabelle1420[[#This Row],[Primärkupferherstellung 
(elektrolytische Kupferraffination)]],Dropdown!$A$2:$D$4,4,FALSE)</f>
        <v>-</v>
      </c>
      <c r="O11" s="42" t="str">
        <f>VLOOKUP(Tabelle1420[[#This Row],[Primärzinkherstellung 
(Nasschemische Elektrolyse)]],Dropdown!$A$2:$D$4,4,FALSE)</f>
        <v>-</v>
      </c>
      <c r="P11" s="42" t="str">
        <f>VLOOKUP(Tabelle1420[[#This Row],[Metallbearbeitung 
(Wärmebehandlung)]],Dropdown!$A$2:$D$4,4,FALSE)</f>
        <v>-</v>
      </c>
      <c r="Q11" s="42" t="str">
        <f>VLOOKUP(Tabelle1420[[#This Row],[Gießereien (Induktionsofen)]],Dropdown!$A$2:$D$4,4,FALSE)</f>
        <v>-</v>
      </c>
      <c r="R11" s="42" t="str">
        <f>VLOOKUP(Tabelle1420[[#This Row],[Calciumcarbid-Herstellung 
(Lichtbogenofen)]],Dropdown!$A$2:$D$4,4,FALSE)</f>
        <v>-</v>
      </c>
      <c r="S11" s="42" t="str">
        <f>VLOOKUP(Tabelle1420[[#This Row],[Ernährungsindustrie gesamt]],Dropdown!$A$2:$D$4,4,FALSE)</f>
        <v>-</v>
      </c>
      <c r="T11" s="42" t="str">
        <f>VLOOKUP(Tabelle1420[[#This Row],[Chemieindustrie gesamt]],Dropdown!$A$2:$D$4,4,FALSE)</f>
        <v>-</v>
      </c>
      <c r="U11" s="42" t="str">
        <f>VLOOKUP(Tabelle1420[[#This Row],[Kfz-Industrie gesamt]],Dropdown!$A$2:$D$4,4,FALSE)</f>
        <v>-</v>
      </c>
      <c r="V11" s="42" t="str">
        <f>VLOOKUP(Tabelle1420[[#This Row],[Maschinenbau gesamt]],Dropdown!$A$2:$D$4,4,FALSE)</f>
        <v>-</v>
      </c>
      <c r="W11" s="42" t="str">
        <f>VLOOKUP(Tabelle1420[[#This Row],[Glasindustrie gesamt]],Dropdown!$A$2:$D$4,4,FALSE)</f>
        <v>-</v>
      </c>
      <c r="X11" s="42" t="str">
        <f>VLOOKUP(Tabelle1420[[#This Row],[Behälterglasindustrie]],Dropdown!$A$2:$D$4,4,FALSE)</f>
        <v>-</v>
      </c>
      <c r="Y11" s="42" t="str">
        <f>VLOOKUP(Tabelle1420[[#This Row],[Silizium-Metall 
(Lichtbogenofen)]],Dropdown!$A$2:$D$4,4,FALSE)</f>
        <v>-</v>
      </c>
      <c r="Z11" s="42" t="str">
        <f>VLOOKUP(Tabelle1420[[#This Row],[Graphitelektroden 
(Graphitierungsofen)]],Dropdown!$A$2:$D$4,4,FALSE)</f>
        <v>-</v>
      </c>
    </row>
    <row r="12" spans="1:26" ht="25.5" x14ac:dyDescent="0.25">
      <c r="A12" s="6" t="s">
        <v>95</v>
      </c>
      <c r="B12" s="42" t="str">
        <f>VLOOKUP(Tabelle1420[[#This Row],[Primäraluminiumelektrolyse]],Dropdown!$A$2:$D$4,4,FALSE)</f>
        <v>X</v>
      </c>
      <c r="C12" s="42" t="str">
        <f>VLOOKUP(Tabelle1420[[#This Row],[Papierherstellung 
(Prozess gesamt)]],Dropdown!$A$2:$D$4,4,FALSE)</f>
        <v>-</v>
      </c>
      <c r="D12" s="42" t="str">
        <f>VLOOKUP(Tabelle1420[[#This Row],[Holzstoff- und Zellstoffherstellung 
(Holzschleifer / Refiner)]],Dropdown!$A$2:$D$4,4,FALSE)</f>
        <v>X</v>
      </c>
      <c r="E12" s="42" t="str">
        <f>VLOOKUP(Tabelle1420[[#This Row],[Papiermaschinen]],Dropdown!$A$2:$D$4,4,FALSE)</f>
        <v>X</v>
      </c>
      <c r="F12" s="42" t="str">
        <f>VLOOKUP(Tabelle1420[[#This Row],[Altpapierrecycling (Pulper)]],Dropdown!$A$2:$D$4,4,FALSE)</f>
        <v>X</v>
      </c>
      <c r="G12" s="42" t="str">
        <f>VLOOKUP(Tabelle1420[[#This Row],[Papierveredelung 
(Streichmaschinen und Kalander)]],Dropdown!$A$2:$D$4,4,FALSE)</f>
        <v>X</v>
      </c>
      <c r="H12" s="42" t="str">
        <f>VLOOKUP(Tabelle1420[[#This Row],[Chlor-Alkali-Elektrolyse]],Dropdown!$A$2:$D$4,4,FALSE)</f>
        <v>X</v>
      </c>
      <c r="I12" s="42" t="str">
        <f>VLOOKUP(Tabelle1420[[#This Row],[Elektrostahlherstellung 
(Lichtbogenofen)]],Dropdown!$A$2:$D$4,4,FALSE)</f>
        <v>X</v>
      </c>
      <c r="J12" s="42" t="str">
        <f>VLOOKUP(Tabelle1420[[#This Row],[Zementherstellung 
(Prozess gesamt)]],Dropdown!$A$2:$D$4,4,FALSE)</f>
        <v>X</v>
      </c>
      <c r="K12" s="42" t="str">
        <f>VLOOKUP(Tabelle1420[[#This Row],[Zementmühlen]],Dropdown!$A$2:$D$4,4,FALSE)</f>
        <v>-</v>
      </c>
      <c r="L12" s="42" t="str">
        <f>VLOOKUP(Tabelle1420[[#This Row],[Luftzerlegung]],Dropdown!$A$2:$D$4,4,FALSE)</f>
        <v>X</v>
      </c>
      <c r="M12" s="42" t="str">
        <f>VLOOKUP(Tabelle1420[[#This Row],[Kupfer- und Zinkherstellung 
(Elektrolyse)]],Dropdown!$A$2:$D$4,4,FALSE)</f>
        <v>-</v>
      </c>
      <c r="N12" s="42" t="str">
        <f>VLOOKUP(Tabelle1420[[#This Row],[Primärkupferherstellung 
(elektrolytische Kupferraffination)]],Dropdown!$A$2:$D$4,4,FALSE)</f>
        <v>X</v>
      </c>
      <c r="O12" s="42" t="str">
        <f>VLOOKUP(Tabelle1420[[#This Row],[Primärzinkherstellung 
(Nasschemische Elektrolyse)]],Dropdown!$A$2:$D$4,4,FALSE)</f>
        <v>X</v>
      </c>
      <c r="P12" s="42" t="str">
        <f>VLOOKUP(Tabelle1420[[#This Row],[Metallbearbeitung 
(Wärmebehandlung)]],Dropdown!$A$2:$D$4,4,FALSE)</f>
        <v>-</v>
      </c>
      <c r="Q12" s="42" t="str">
        <f>VLOOKUP(Tabelle1420[[#This Row],[Gießereien (Induktionsofen)]],Dropdown!$A$2:$D$4,4,FALSE)</f>
        <v>-</v>
      </c>
      <c r="R12" s="42" t="str">
        <f>VLOOKUP(Tabelle1420[[#This Row],[Calciumcarbid-Herstellung 
(Lichtbogenofen)]],Dropdown!$A$2:$D$4,4,FALSE)</f>
        <v>-</v>
      </c>
      <c r="S12" s="42" t="str">
        <f>VLOOKUP(Tabelle1420[[#This Row],[Ernährungsindustrie gesamt]],Dropdown!$A$2:$D$4,4,FALSE)</f>
        <v>-</v>
      </c>
      <c r="T12" s="42" t="str">
        <f>VLOOKUP(Tabelle1420[[#This Row],[Chemieindustrie gesamt]],Dropdown!$A$2:$D$4,4,FALSE)</f>
        <v>-</v>
      </c>
      <c r="U12" s="42" t="str">
        <f>VLOOKUP(Tabelle1420[[#This Row],[Kfz-Industrie gesamt]],Dropdown!$A$2:$D$4,4,FALSE)</f>
        <v>-</v>
      </c>
      <c r="V12" s="42" t="str">
        <f>VLOOKUP(Tabelle1420[[#This Row],[Maschinenbau gesamt]],Dropdown!$A$2:$D$4,4,FALSE)</f>
        <v>-</v>
      </c>
      <c r="W12" s="42" t="str">
        <f>VLOOKUP(Tabelle1420[[#This Row],[Glasindustrie gesamt]],Dropdown!$A$2:$D$4,4,FALSE)</f>
        <v>-</v>
      </c>
      <c r="X12" s="42" t="str">
        <f>VLOOKUP(Tabelle1420[[#This Row],[Behälterglasindustrie]],Dropdown!$A$2:$D$4,4,FALSE)</f>
        <v>-</v>
      </c>
      <c r="Y12" s="42" t="str">
        <f>VLOOKUP(Tabelle1420[[#This Row],[Silizium-Metall 
(Lichtbogenofen)]],Dropdown!$A$2:$D$4,4,FALSE)</f>
        <v>-</v>
      </c>
      <c r="Z12" s="42" t="str">
        <f>VLOOKUP(Tabelle1420[[#This Row],[Graphitelektroden 
(Graphitierungsofen)]],Dropdown!$A$2:$D$4,4,FALSE)</f>
        <v>-</v>
      </c>
    </row>
    <row r="13" spans="1:26" ht="38.25" x14ac:dyDescent="0.25">
      <c r="A13" s="6" t="s">
        <v>1709</v>
      </c>
      <c r="B13" s="42" t="str">
        <f>VLOOKUP(Tabelle1420[[#This Row],[Primäraluminiumelektrolyse]],Dropdown!$A$2:$D$4,4,FALSE)</f>
        <v>X</v>
      </c>
      <c r="C13" s="42" t="str">
        <f>VLOOKUP(Tabelle1420[[#This Row],[Papierherstellung 
(Prozess gesamt)]],Dropdown!$A$2:$D$4,4,FALSE)</f>
        <v>-</v>
      </c>
      <c r="D13" s="42" t="str">
        <f>VLOOKUP(Tabelle1420[[#This Row],[Holzstoff- und Zellstoffherstellung 
(Holzschleifer / Refiner)]],Dropdown!$A$2:$D$4,4,FALSE)</f>
        <v>X</v>
      </c>
      <c r="E13" s="42" t="str">
        <f>VLOOKUP(Tabelle1420[[#This Row],[Papiermaschinen]],Dropdown!$A$2:$D$4,4,FALSE)</f>
        <v>-</v>
      </c>
      <c r="F13" s="42" t="str">
        <f>VLOOKUP(Tabelle1420[[#This Row],[Altpapierrecycling (Pulper)]],Dropdown!$A$2:$D$4,4,FALSE)</f>
        <v>X</v>
      </c>
      <c r="G13" s="42" t="str">
        <f>VLOOKUP(Tabelle1420[[#This Row],[Papierveredelung 
(Streichmaschinen und Kalander)]],Dropdown!$A$2:$D$4,4,FALSE)</f>
        <v>-</v>
      </c>
      <c r="H13" s="42" t="str">
        <f>VLOOKUP(Tabelle1420[[#This Row],[Chlor-Alkali-Elektrolyse]],Dropdown!$A$2:$D$4,4,FALSE)</f>
        <v>X</v>
      </c>
      <c r="I13" s="42" t="str">
        <f>VLOOKUP(Tabelle1420[[#This Row],[Elektrostahlherstellung 
(Lichtbogenofen)]],Dropdown!$A$2:$D$4,4,FALSE)</f>
        <v>X</v>
      </c>
      <c r="J13" s="42" t="str">
        <f>VLOOKUP(Tabelle1420[[#This Row],[Zementherstellung 
(Prozess gesamt)]],Dropdown!$A$2:$D$4,4,FALSE)</f>
        <v>X</v>
      </c>
      <c r="K13" s="42" t="str">
        <f>VLOOKUP(Tabelle1420[[#This Row],[Zementmühlen]],Dropdown!$A$2:$D$4,4,FALSE)</f>
        <v>-</v>
      </c>
      <c r="L13" s="42" t="str">
        <f>VLOOKUP(Tabelle1420[[#This Row],[Luftzerlegung]],Dropdown!$A$2:$D$4,4,FALSE)</f>
        <v>(X)</v>
      </c>
      <c r="M13" s="42" t="str">
        <f>VLOOKUP(Tabelle1420[[#This Row],[Kupfer- und Zinkherstellung 
(Elektrolyse)]],Dropdown!$A$2:$D$4,4,FALSE)</f>
        <v>-</v>
      </c>
      <c r="N13" s="42" t="str">
        <f>VLOOKUP(Tabelle1420[[#This Row],[Primärkupferherstellung 
(elektrolytische Kupferraffination)]],Dropdown!$A$2:$D$4,4,FALSE)</f>
        <v>-</v>
      </c>
      <c r="O13" s="42" t="str">
        <f>VLOOKUP(Tabelle1420[[#This Row],[Primärzinkherstellung 
(Nasschemische Elektrolyse)]],Dropdown!$A$2:$D$4,4,FALSE)</f>
        <v>-</v>
      </c>
      <c r="P13" s="42" t="str">
        <f>VLOOKUP(Tabelle1420[[#This Row],[Metallbearbeitung 
(Wärmebehandlung)]],Dropdown!$A$2:$D$4,4,FALSE)</f>
        <v>(X)</v>
      </c>
      <c r="Q13" s="42" t="str">
        <f>VLOOKUP(Tabelle1420[[#This Row],[Gießereien (Induktionsofen)]],Dropdown!$A$2:$D$4,4,FALSE)</f>
        <v>(X)</v>
      </c>
      <c r="R13" s="42" t="str">
        <f>VLOOKUP(Tabelle1420[[#This Row],[Calciumcarbid-Herstellung 
(Lichtbogenofen)]],Dropdown!$A$2:$D$4,4,FALSE)</f>
        <v>-</v>
      </c>
      <c r="S13" s="42" t="str">
        <f>VLOOKUP(Tabelle1420[[#This Row],[Ernährungsindustrie gesamt]],Dropdown!$A$2:$D$4,4,FALSE)</f>
        <v>-</v>
      </c>
      <c r="T13" s="42" t="str">
        <f>VLOOKUP(Tabelle1420[[#This Row],[Chemieindustrie gesamt]],Dropdown!$A$2:$D$4,4,FALSE)</f>
        <v>-</v>
      </c>
      <c r="U13" s="42" t="str">
        <f>VLOOKUP(Tabelle1420[[#This Row],[Kfz-Industrie gesamt]],Dropdown!$A$2:$D$4,4,FALSE)</f>
        <v>-</v>
      </c>
      <c r="V13" s="42" t="str">
        <f>VLOOKUP(Tabelle1420[[#This Row],[Maschinenbau gesamt]],Dropdown!$A$2:$D$4,4,FALSE)</f>
        <v>-</v>
      </c>
      <c r="W13" s="42" t="str">
        <f>VLOOKUP(Tabelle1420[[#This Row],[Glasindustrie gesamt]],Dropdown!$A$2:$D$4,4,FALSE)</f>
        <v>-</v>
      </c>
      <c r="X13" s="42" t="str">
        <f>VLOOKUP(Tabelle1420[[#This Row],[Behälterglasindustrie]],Dropdown!$A$2:$D$4,4,FALSE)</f>
        <v>-</v>
      </c>
      <c r="Y13" s="42" t="str">
        <f>VLOOKUP(Tabelle1420[[#This Row],[Silizium-Metall 
(Lichtbogenofen)]],Dropdown!$A$2:$D$4,4,FALSE)</f>
        <v>-</v>
      </c>
      <c r="Z13" s="42" t="str">
        <f>VLOOKUP(Tabelle1420[[#This Row],[Graphitelektroden 
(Graphitierungsofen)]],Dropdown!$A$2:$D$4,4,FALSE)</f>
        <v>-</v>
      </c>
    </row>
    <row r="14" spans="1:26" x14ac:dyDescent="0.25">
      <c r="A14" s="6" t="s">
        <v>179</v>
      </c>
      <c r="B14" s="42" t="str">
        <f>VLOOKUP(Tabelle1420[[#This Row],[Primäraluminiumelektrolyse]],Dropdown!$A$2:$D$4,4,FALSE)</f>
        <v>-</v>
      </c>
      <c r="C14" s="42" t="str">
        <f>VLOOKUP(Tabelle1420[[#This Row],[Papierherstellung 
(Prozess gesamt)]],Dropdown!$A$2:$D$4,4,FALSE)</f>
        <v>-</v>
      </c>
      <c r="D14" s="42" t="str">
        <f>VLOOKUP(Tabelle1420[[#This Row],[Holzstoff- und Zellstoffherstellung 
(Holzschleifer / Refiner)]],Dropdown!$A$2:$D$4,4,FALSE)</f>
        <v>-</v>
      </c>
      <c r="E14" s="42" t="str">
        <f>VLOOKUP(Tabelle1420[[#This Row],[Papiermaschinen]],Dropdown!$A$2:$D$4,4,FALSE)</f>
        <v>-</v>
      </c>
      <c r="F14" s="42" t="str">
        <f>VLOOKUP(Tabelle1420[[#This Row],[Altpapierrecycling (Pulper)]],Dropdown!$A$2:$D$4,4,FALSE)</f>
        <v>-</v>
      </c>
      <c r="G14" s="42" t="str">
        <f>VLOOKUP(Tabelle1420[[#This Row],[Papierveredelung 
(Streichmaschinen und Kalander)]],Dropdown!$A$2:$D$4,4,FALSE)</f>
        <v>-</v>
      </c>
      <c r="H14" s="42" t="str">
        <f>VLOOKUP(Tabelle1420[[#This Row],[Chlor-Alkali-Elektrolyse]],Dropdown!$A$2:$D$4,4,FALSE)</f>
        <v>-</v>
      </c>
      <c r="I14" s="42" t="str">
        <f>VLOOKUP(Tabelle1420[[#This Row],[Elektrostahlherstellung 
(Lichtbogenofen)]],Dropdown!$A$2:$D$4,4,FALSE)</f>
        <v>-</v>
      </c>
      <c r="J14" s="42" t="str">
        <f>VLOOKUP(Tabelle1420[[#This Row],[Zementherstellung 
(Prozess gesamt)]],Dropdown!$A$2:$D$4,4,FALSE)</f>
        <v>-</v>
      </c>
      <c r="K14" s="42" t="str">
        <f>VLOOKUP(Tabelle1420[[#This Row],[Zementmühlen]],Dropdown!$A$2:$D$4,4,FALSE)</f>
        <v>-</v>
      </c>
      <c r="L14" s="42" t="str">
        <f>VLOOKUP(Tabelle1420[[#This Row],[Luftzerlegung]],Dropdown!$A$2:$D$4,4,FALSE)</f>
        <v>-</v>
      </c>
      <c r="M14" s="42" t="str">
        <f>VLOOKUP(Tabelle1420[[#This Row],[Kupfer- und Zinkherstellung 
(Elektrolyse)]],Dropdown!$A$2:$D$4,4,FALSE)</f>
        <v>-</v>
      </c>
      <c r="N14" s="42" t="str">
        <f>VLOOKUP(Tabelle1420[[#This Row],[Primärkupferherstellung 
(elektrolytische Kupferraffination)]],Dropdown!$A$2:$D$4,4,FALSE)</f>
        <v>-</v>
      </c>
      <c r="O14" s="42" t="str">
        <f>VLOOKUP(Tabelle1420[[#This Row],[Primärzinkherstellung 
(Nasschemische Elektrolyse)]],Dropdown!$A$2:$D$4,4,FALSE)</f>
        <v>-</v>
      </c>
      <c r="P14" s="42" t="str">
        <f>VLOOKUP(Tabelle1420[[#This Row],[Metallbearbeitung 
(Wärmebehandlung)]],Dropdown!$A$2:$D$4,4,FALSE)</f>
        <v>-</v>
      </c>
      <c r="Q14" s="42" t="str">
        <f>VLOOKUP(Tabelle1420[[#This Row],[Gießereien (Induktionsofen)]],Dropdown!$A$2:$D$4,4,FALSE)</f>
        <v>-</v>
      </c>
      <c r="R14" s="42" t="str">
        <f>VLOOKUP(Tabelle1420[[#This Row],[Calciumcarbid-Herstellung 
(Lichtbogenofen)]],Dropdown!$A$2:$D$4,4,FALSE)</f>
        <v>-</v>
      </c>
      <c r="S14" s="42" t="str">
        <f>VLOOKUP(Tabelle1420[[#This Row],[Ernährungsindustrie gesamt]],Dropdown!$A$2:$D$4,4,FALSE)</f>
        <v>-</v>
      </c>
      <c r="T14" s="42" t="str">
        <f>VLOOKUP(Tabelle1420[[#This Row],[Chemieindustrie gesamt]],Dropdown!$A$2:$D$4,4,FALSE)</f>
        <v>-</v>
      </c>
      <c r="U14" s="42" t="str">
        <f>VLOOKUP(Tabelle1420[[#This Row],[Kfz-Industrie gesamt]],Dropdown!$A$2:$D$4,4,FALSE)</f>
        <v>-</v>
      </c>
      <c r="V14" s="42" t="str">
        <f>VLOOKUP(Tabelle1420[[#This Row],[Maschinenbau gesamt]],Dropdown!$A$2:$D$4,4,FALSE)</f>
        <v>-</v>
      </c>
      <c r="W14" s="42" t="str">
        <f>VLOOKUP(Tabelle1420[[#This Row],[Glasindustrie gesamt]],Dropdown!$A$2:$D$4,4,FALSE)</f>
        <v>-</v>
      </c>
      <c r="X14" s="42" t="str">
        <f>VLOOKUP(Tabelle1420[[#This Row],[Behälterglasindustrie]],Dropdown!$A$2:$D$4,4,FALSE)</f>
        <v>-</v>
      </c>
      <c r="Y14" s="42" t="str">
        <f>VLOOKUP(Tabelle1420[[#This Row],[Silizium-Metall 
(Lichtbogenofen)]],Dropdown!$A$2:$D$4,4,FALSE)</f>
        <v>-</v>
      </c>
      <c r="Z14" s="42" t="str">
        <f>VLOOKUP(Tabelle1420[[#This Row],[Graphitelektroden 
(Graphitierungsofen)]],Dropdown!$A$2:$D$4,4,FALSE)</f>
        <v>-</v>
      </c>
    </row>
    <row r="15" spans="1:26" x14ac:dyDescent="0.25">
      <c r="A15" s="6" t="s">
        <v>341</v>
      </c>
      <c r="B15" s="42" t="str">
        <f>VLOOKUP(Tabelle1420[[#This Row],[Primäraluminiumelektrolyse]],Dropdown!$A$2:$D$4,4,FALSE)</f>
        <v>X</v>
      </c>
      <c r="C15" s="42" t="str">
        <f>VLOOKUP(Tabelle1420[[#This Row],[Papierherstellung 
(Prozess gesamt)]],Dropdown!$A$2:$D$4,4,FALSE)</f>
        <v>-</v>
      </c>
      <c r="D15" s="42" t="str">
        <f>VLOOKUP(Tabelle1420[[#This Row],[Holzstoff- und Zellstoffherstellung 
(Holzschleifer / Refiner)]],Dropdown!$A$2:$D$4,4,FALSE)</f>
        <v>X</v>
      </c>
      <c r="E15" s="42" t="str">
        <f>VLOOKUP(Tabelle1420[[#This Row],[Papiermaschinen]],Dropdown!$A$2:$D$4,4,FALSE)</f>
        <v>-</v>
      </c>
      <c r="F15" s="42" t="str">
        <f>VLOOKUP(Tabelle1420[[#This Row],[Altpapierrecycling (Pulper)]],Dropdown!$A$2:$D$4,4,FALSE)</f>
        <v>-</v>
      </c>
      <c r="G15" s="42" t="str">
        <f>VLOOKUP(Tabelle1420[[#This Row],[Papierveredelung 
(Streichmaschinen und Kalander)]],Dropdown!$A$2:$D$4,4,FALSE)</f>
        <v>-</v>
      </c>
      <c r="H15" s="42" t="str">
        <f>VLOOKUP(Tabelle1420[[#This Row],[Chlor-Alkali-Elektrolyse]],Dropdown!$A$2:$D$4,4,FALSE)</f>
        <v>X</v>
      </c>
      <c r="I15" s="42" t="str">
        <f>VLOOKUP(Tabelle1420[[#This Row],[Elektrostahlherstellung 
(Lichtbogenofen)]],Dropdown!$A$2:$D$4,4,FALSE)</f>
        <v>X</v>
      </c>
      <c r="J15" s="42" t="str">
        <f>VLOOKUP(Tabelle1420[[#This Row],[Zementherstellung 
(Prozess gesamt)]],Dropdown!$A$2:$D$4,4,FALSE)</f>
        <v>-</v>
      </c>
      <c r="K15" s="42" t="str">
        <f>VLOOKUP(Tabelle1420[[#This Row],[Zementmühlen]],Dropdown!$A$2:$D$4,4,FALSE)</f>
        <v>X</v>
      </c>
      <c r="L15" s="42" t="str">
        <f>VLOOKUP(Tabelle1420[[#This Row],[Luftzerlegung]],Dropdown!$A$2:$D$4,4,FALSE)</f>
        <v>-</v>
      </c>
      <c r="M15" s="42" t="str">
        <f>VLOOKUP(Tabelle1420[[#This Row],[Kupfer- und Zinkherstellung 
(Elektrolyse)]],Dropdown!$A$2:$D$4,4,FALSE)</f>
        <v>-</v>
      </c>
      <c r="N15" s="42" t="str">
        <f>VLOOKUP(Tabelle1420[[#This Row],[Primärkupferherstellung 
(elektrolytische Kupferraffination)]],Dropdown!$A$2:$D$4,4,FALSE)</f>
        <v>-</v>
      </c>
      <c r="O15" s="42" t="str">
        <f>VLOOKUP(Tabelle1420[[#This Row],[Primärzinkherstellung 
(Nasschemische Elektrolyse)]],Dropdown!$A$2:$D$4,4,FALSE)</f>
        <v>-</v>
      </c>
      <c r="P15" s="42" t="str">
        <f>VLOOKUP(Tabelle1420[[#This Row],[Metallbearbeitung 
(Wärmebehandlung)]],Dropdown!$A$2:$D$4,4,FALSE)</f>
        <v>-</v>
      </c>
      <c r="Q15" s="42" t="str">
        <f>VLOOKUP(Tabelle1420[[#This Row],[Gießereien (Induktionsofen)]],Dropdown!$A$2:$D$4,4,FALSE)</f>
        <v>-</v>
      </c>
      <c r="R15" s="42" t="str">
        <f>VLOOKUP(Tabelle1420[[#This Row],[Calciumcarbid-Herstellung 
(Lichtbogenofen)]],Dropdown!$A$2:$D$4,4,FALSE)</f>
        <v>-</v>
      </c>
      <c r="S15" s="42" t="str">
        <f>VLOOKUP(Tabelle1420[[#This Row],[Ernährungsindustrie gesamt]],Dropdown!$A$2:$D$4,4,FALSE)</f>
        <v>-</v>
      </c>
      <c r="T15" s="42" t="str">
        <f>VLOOKUP(Tabelle1420[[#This Row],[Chemieindustrie gesamt]],Dropdown!$A$2:$D$4,4,FALSE)</f>
        <v>-</v>
      </c>
      <c r="U15" s="42" t="str">
        <f>VLOOKUP(Tabelle1420[[#This Row],[Kfz-Industrie gesamt]],Dropdown!$A$2:$D$4,4,FALSE)</f>
        <v>-</v>
      </c>
      <c r="V15" s="42" t="str">
        <f>VLOOKUP(Tabelle1420[[#This Row],[Maschinenbau gesamt]],Dropdown!$A$2:$D$4,4,FALSE)</f>
        <v>-</v>
      </c>
      <c r="W15" s="42" t="str">
        <f>VLOOKUP(Tabelle1420[[#This Row],[Glasindustrie gesamt]],Dropdown!$A$2:$D$4,4,FALSE)</f>
        <v>-</v>
      </c>
      <c r="X15" s="42" t="str">
        <f>VLOOKUP(Tabelle1420[[#This Row],[Behälterglasindustrie]],Dropdown!$A$2:$D$4,4,FALSE)</f>
        <v>-</v>
      </c>
      <c r="Y15" s="42" t="str">
        <f>VLOOKUP(Tabelle1420[[#This Row],[Silizium-Metall 
(Lichtbogenofen)]],Dropdown!$A$2:$D$4,4,FALSE)</f>
        <v>-</v>
      </c>
      <c r="Z15" s="42" t="str">
        <f>VLOOKUP(Tabelle1420[[#This Row],[Graphitelektroden 
(Graphitierungsofen)]],Dropdown!$A$2:$D$4,4,FALSE)</f>
        <v>-</v>
      </c>
    </row>
    <row r="16" spans="1:26" x14ac:dyDescent="0.25">
      <c r="A16" s="6" t="s">
        <v>22</v>
      </c>
      <c r="B16" s="42" t="str">
        <f>VLOOKUP(Tabelle1420[[#This Row],[Primäraluminiumelektrolyse]],Dropdown!$A$2:$D$4,4,FALSE)</f>
        <v>X</v>
      </c>
      <c r="C16" s="42" t="str">
        <f>VLOOKUP(Tabelle1420[[#This Row],[Papierherstellung 
(Prozess gesamt)]],Dropdown!$A$2:$D$4,4,FALSE)</f>
        <v>-</v>
      </c>
      <c r="D16" s="42" t="str">
        <f>VLOOKUP(Tabelle1420[[#This Row],[Holzstoff- und Zellstoffherstellung 
(Holzschleifer / Refiner)]],Dropdown!$A$2:$D$4,4,FALSE)</f>
        <v>-</v>
      </c>
      <c r="E16" s="42" t="str">
        <f>VLOOKUP(Tabelle1420[[#This Row],[Papiermaschinen]],Dropdown!$A$2:$D$4,4,FALSE)</f>
        <v>X</v>
      </c>
      <c r="F16" s="42" t="str">
        <f>VLOOKUP(Tabelle1420[[#This Row],[Altpapierrecycling (Pulper)]],Dropdown!$A$2:$D$4,4,FALSE)</f>
        <v>-</v>
      </c>
      <c r="G16" s="42" t="str">
        <f>VLOOKUP(Tabelle1420[[#This Row],[Papierveredelung 
(Streichmaschinen und Kalander)]],Dropdown!$A$2:$D$4,4,FALSE)</f>
        <v>-</v>
      </c>
      <c r="H16" s="42" t="str">
        <f>VLOOKUP(Tabelle1420[[#This Row],[Chlor-Alkali-Elektrolyse]],Dropdown!$A$2:$D$4,4,FALSE)</f>
        <v>X</v>
      </c>
      <c r="I16" s="42" t="str">
        <f>VLOOKUP(Tabelle1420[[#This Row],[Elektrostahlherstellung 
(Lichtbogenofen)]],Dropdown!$A$2:$D$4,4,FALSE)</f>
        <v>X</v>
      </c>
      <c r="J16" s="42" t="str">
        <f>VLOOKUP(Tabelle1420[[#This Row],[Zementherstellung 
(Prozess gesamt)]],Dropdown!$A$2:$D$4,4,FALSE)</f>
        <v>X</v>
      </c>
      <c r="K16" s="42" t="str">
        <f>VLOOKUP(Tabelle1420[[#This Row],[Zementmühlen]],Dropdown!$A$2:$D$4,4,FALSE)</f>
        <v>-</v>
      </c>
      <c r="L16" s="42" t="str">
        <f>VLOOKUP(Tabelle1420[[#This Row],[Luftzerlegung]],Dropdown!$A$2:$D$4,4,FALSE)</f>
        <v>X</v>
      </c>
      <c r="M16" s="42" t="str">
        <f>VLOOKUP(Tabelle1420[[#This Row],[Kupfer- und Zinkherstellung 
(Elektrolyse)]],Dropdown!$A$2:$D$4,4,FALSE)</f>
        <v>-</v>
      </c>
      <c r="N16" s="42" t="str">
        <f>VLOOKUP(Tabelle1420[[#This Row],[Primärkupferherstellung 
(elektrolytische Kupferraffination)]],Dropdown!$A$2:$D$4,4,FALSE)</f>
        <v>-</v>
      </c>
      <c r="O16" s="42" t="str">
        <f>VLOOKUP(Tabelle1420[[#This Row],[Primärzinkherstellung 
(Nasschemische Elektrolyse)]],Dropdown!$A$2:$D$4,4,FALSE)</f>
        <v>-</v>
      </c>
      <c r="P16" s="42" t="str">
        <f>VLOOKUP(Tabelle1420[[#This Row],[Metallbearbeitung 
(Wärmebehandlung)]],Dropdown!$A$2:$D$4,4,FALSE)</f>
        <v>-</v>
      </c>
      <c r="Q16" s="42" t="str">
        <f>VLOOKUP(Tabelle1420[[#This Row],[Gießereien (Induktionsofen)]],Dropdown!$A$2:$D$4,4,FALSE)</f>
        <v>-</v>
      </c>
      <c r="R16" s="42" t="str">
        <f>VLOOKUP(Tabelle1420[[#This Row],[Calciumcarbid-Herstellung 
(Lichtbogenofen)]],Dropdown!$A$2:$D$4,4,FALSE)</f>
        <v>-</v>
      </c>
      <c r="S16" s="42" t="str">
        <f>VLOOKUP(Tabelle1420[[#This Row],[Ernährungsindustrie gesamt]],Dropdown!$A$2:$D$4,4,FALSE)</f>
        <v>-</v>
      </c>
      <c r="T16" s="42" t="str">
        <f>VLOOKUP(Tabelle1420[[#This Row],[Chemieindustrie gesamt]],Dropdown!$A$2:$D$4,4,FALSE)</f>
        <v>-</v>
      </c>
      <c r="U16" s="42" t="str">
        <f>VLOOKUP(Tabelle1420[[#This Row],[Kfz-Industrie gesamt]],Dropdown!$A$2:$D$4,4,FALSE)</f>
        <v>-</v>
      </c>
      <c r="V16" s="42" t="str">
        <f>VLOOKUP(Tabelle1420[[#This Row],[Maschinenbau gesamt]],Dropdown!$A$2:$D$4,4,FALSE)</f>
        <v>-</v>
      </c>
      <c r="W16" s="42" t="str">
        <f>VLOOKUP(Tabelle1420[[#This Row],[Glasindustrie gesamt]],Dropdown!$A$2:$D$4,4,FALSE)</f>
        <v>-</v>
      </c>
      <c r="X16" s="42" t="str">
        <f>VLOOKUP(Tabelle1420[[#This Row],[Behälterglasindustrie]],Dropdown!$A$2:$D$4,4,FALSE)</f>
        <v>X</v>
      </c>
      <c r="Y16" s="42" t="str">
        <f>VLOOKUP(Tabelle1420[[#This Row],[Silizium-Metall 
(Lichtbogenofen)]],Dropdown!$A$2:$D$4,4,FALSE)</f>
        <v>-</v>
      </c>
      <c r="Z16" s="42" t="str">
        <f>VLOOKUP(Tabelle1420[[#This Row],[Graphitelektroden 
(Graphitierungsofen)]],Dropdown!$A$2:$D$4,4,FALSE)</f>
        <v>-</v>
      </c>
    </row>
    <row r="17" spans="1:26" ht="25.5" x14ac:dyDescent="0.25">
      <c r="A17" s="6" t="s">
        <v>188</v>
      </c>
      <c r="B17" s="42" t="str">
        <f>VLOOKUP(Tabelle1420[[#This Row],[Primäraluminiumelektrolyse]],Dropdown!$A$2:$D$4,4,FALSE)</f>
        <v>-</v>
      </c>
      <c r="C17" s="42" t="str">
        <f>VLOOKUP(Tabelle1420[[#This Row],[Papierherstellung 
(Prozess gesamt)]],Dropdown!$A$2:$D$4,4,FALSE)</f>
        <v>-</v>
      </c>
      <c r="D17" s="42" t="str">
        <f>VLOOKUP(Tabelle1420[[#This Row],[Holzstoff- und Zellstoffherstellung 
(Holzschleifer / Refiner)]],Dropdown!$A$2:$D$4,4,FALSE)</f>
        <v>-</v>
      </c>
      <c r="E17" s="42" t="str">
        <f>VLOOKUP(Tabelle1420[[#This Row],[Papiermaschinen]],Dropdown!$A$2:$D$4,4,FALSE)</f>
        <v>-</v>
      </c>
      <c r="F17" s="42" t="str">
        <f>VLOOKUP(Tabelle1420[[#This Row],[Altpapierrecycling (Pulper)]],Dropdown!$A$2:$D$4,4,FALSE)</f>
        <v>-</v>
      </c>
      <c r="G17" s="42" t="str">
        <f>VLOOKUP(Tabelle1420[[#This Row],[Papierveredelung 
(Streichmaschinen und Kalander)]],Dropdown!$A$2:$D$4,4,FALSE)</f>
        <v>-</v>
      </c>
      <c r="H17" s="42" t="str">
        <f>VLOOKUP(Tabelle1420[[#This Row],[Chlor-Alkali-Elektrolyse]],Dropdown!$A$2:$D$4,4,FALSE)</f>
        <v>-</v>
      </c>
      <c r="I17" s="42" t="str">
        <f>VLOOKUP(Tabelle1420[[#This Row],[Elektrostahlherstellung 
(Lichtbogenofen)]],Dropdown!$A$2:$D$4,4,FALSE)</f>
        <v>-</v>
      </c>
      <c r="J17" s="42" t="str">
        <f>VLOOKUP(Tabelle1420[[#This Row],[Zementherstellung 
(Prozess gesamt)]],Dropdown!$A$2:$D$4,4,FALSE)</f>
        <v>-</v>
      </c>
      <c r="K17" s="42" t="str">
        <f>VLOOKUP(Tabelle1420[[#This Row],[Zementmühlen]],Dropdown!$A$2:$D$4,4,FALSE)</f>
        <v>-</v>
      </c>
      <c r="L17" s="42" t="str">
        <f>VLOOKUP(Tabelle1420[[#This Row],[Luftzerlegung]],Dropdown!$A$2:$D$4,4,FALSE)</f>
        <v>-</v>
      </c>
      <c r="M17" s="42" t="str">
        <f>VLOOKUP(Tabelle1420[[#This Row],[Kupfer- und Zinkherstellung 
(Elektrolyse)]],Dropdown!$A$2:$D$4,4,FALSE)</f>
        <v>-</v>
      </c>
      <c r="N17" s="42" t="str">
        <f>VLOOKUP(Tabelle1420[[#This Row],[Primärkupferherstellung 
(elektrolytische Kupferraffination)]],Dropdown!$A$2:$D$4,4,FALSE)</f>
        <v>-</v>
      </c>
      <c r="O17" s="42" t="str">
        <f>VLOOKUP(Tabelle1420[[#This Row],[Primärzinkherstellung 
(Nasschemische Elektrolyse)]],Dropdown!$A$2:$D$4,4,FALSE)</f>
        <v>-</v>
      </c>
      <c r="P17" s="42" t="str">
        <f>VLOOKUP(Tabelle1420[[#This Row],[Metallbearbeitung 
(Wärmebehandlung)]],Dropdown!$A$2:$D$4,4,FALSE)</f>
        <v>-</v>
      </c>
      <c r="Q17" s="42" t="str">
        <f>VLOOKUP(Tabelle1420[[#This Row],[Gießereien (Induktionsofen)]],Dropdown!$A$2:$D$4,4,FALSE)</f>
        <v>-</v>
      </c>
      <c r="R17" s="42" t="str">
        <f>VLOOKUP(Tabelle1420[[#This Row],[Calciumcarbid-Herstellung 
(Lichtbogenofen)]],Dropdown!$A$2:$D$4,4,FALSE)</f>
        <v>-</v>
      </c>
      <c r="S17" s="42" t="str">
        <f>VLOOKUP(Tabelle1420[[#This Row],[Ernährungsindustrie gesamt]],Dropdown!$A$2:$D$4,4,FALSE)</f>
        <v>-</v>
      </c>
      <c r="T17" s="42" t="str">
        <f>VLOOKUP(Tabelle1420[[#This Row],[Chemieindustrie gesamt]],Dropdown!$A$2:$D$4,4,FALSE)</f>
        <v>-</v>
      </c>
      <c r="U17" s="42" t="str">
        <f>VLOOKUP(Tabelle1420[[#This Row],[Kfz-Industrie gesamt]],Dropdown!$A$2:$D$4,4,FALSE)</f>
        <v>-</v>
      </c>
      <c r="V17" s="42" t="str">
        <f>VLOOKUP(Tabelle1420[[#This Row],[Maschinenbau gesamt]],Dropdown!$A$2:$D$4,4,FALSE)</f>
        <v>-</v>
      </c>
      <c r="W17" s="42" t="str">
        <f>VLOOKUP(Tabelle1420[[#This Row],[Glasindustrie gesamt]],Dropdown!$A$2:$D$4,4,FALSE)</f>
        <v>-</v>
      </c>
      <c r="X17" s="42" t="str">
        <f>VLOOKUP(Tabelle1420[[#This Row],[Behälterglasindustrie]],Dropdown!$A$2:$D$4,4,FALSE)</f>
        <v>-</v>
      </c>
      <c r="Y17" s="42" t="str">
        <f>VLOOKUP(Tabelle1420[[#This Row],[Silizium-Metall 
(Lichtbogenofen)]],Dropdown!$A$2:$D$4,4,FALSE)</f>
        <v>-</v>
      </c>
      <c r="Z17" s="42" t="str">
        <f>VLOOKUP(Tabelle1420[[#This Row],[Graphitelektroden 
(Graphitierungsofen)]],Dropdown!$A$2:$D$4,4,FALSE)</f>
        <v>-</v>
      </c>
    </row>
    <row r="18" spans="1:26" ht="25.5" x14ac:dyDescent="0.25">
      <c r="A18" s="6" t="s">
        <v>133</v>
      </c>
      <c r="B18" s="42" t="str">
        <f>VLOOKUP(Tabelle1420[[#This Row],[Primäraluminiumelektrolyse]],Dropdown!$A$2:$D$4,4,FALSE)</f>
        <v>X</v>
      </c>
      <c r="C18" s="42" t="str">
        <f>VLOOKUP(Tabelle1420[[#This Row],[Papierherstellung 
(Prozess gesamt)]],Dropdown!$A$2:$D$4,4,FALSE)</f>
        <v>-</v>
      </c>
      <c r="D18" s="42" t="str">
        <f>VLOOKUP(Tabelle1420[[#This Row],[Holzstoff- und Zellstoffherstellung 
(Holzschleifer / Refiner)]],Dropdown!$A$2:$D$4,4,FALSE)</f>
        <v>X</v>
      </c>
      <c r="E18" s="42" t="str">
        <f>VLOOKUP(Tabelle1420[[#This Row],[Papiermaschinen]],Dropdown!$A$2:$D$4,4,FALSE)</f>
        <v>-</v>
      </c>
      <c r="F18" s="42" t="str">
        <f>VLOOKUP(Tabelle1420[[#This Row],[Altpapierrecycling (Pulper)]],Dropdown!$A$2:$D$4,4,FALSE)</f>
        <v>-</v>
      </c>
      <c r="G18" s="42" t="str">
        <f>VLOOKUP(Tabelle1420[[#This Row],[Papierveredelung 
(Streichmaschinen und Kalander)]],Dropdown!$A$2:$D$4,4,FALSE)</f>
        <v>X</v>
      </c>
      <c r="H18" s="42" t="str">
        <f>VLOOKUP(Tabelle1420[[#This Row],[Chlor-Alkali-Elektrolyse]],Dropdown!$A$2:$D$4,4,FALSE)</f>
        <v>X</v>
      </c>
      <c r="I18" s="42" t="str">
        <f>VLOOKUP(Tabelle1420[[#This Row],[Elektrostahlherstellung 
(Lichtbogenofen)]],Dropdown!$A$2:$D$4,4,FALSE)</f>
        <v>X</v>
      </c>
      <c r="J18" s="42" t="str">
        <f>VLOOKUP(Tabelle1420[[#This Row],[Zementherstellung 
(Prozess gesamt)]],Dropdown!$A$2:$D$4,4,FALSE)</f>
        <v>X</v>
      </c>
      <c r="K18" s="42" t="str">
        <f>VLOOKUP(Tabelle1420[[#This Row],[Zementmühlen]],Dropdown!$A$2:$D$4,4,FALSE)</f>
        <v>-</v>
      </c>
      <c r="L18" s="42" t="str">
        <f>VLOOKUP(Tabelle1420[[#This Row],[Luftzerlegung]],Dropdown!$A$2:$D$4,4,FALSE)</f>
        <v>-</v>
      </c>
      <c r="M18" s="42" t="str">
        <f>VLOOKUP(Tabelle1420[[#This Row],[Kupfer- und Zinkherstellung 
(Elektrolyse)]],Dropdown!$A$2:$D$4,4,FALSE)</f>
        <v>-</v>
      </c>
      <c r="N18" s="42" t="str">
        <f>VLOOKUP(Tabelle1420[[#This Row],[Primärkupferherstellung 
(elektrolytische Kupferraffination)]],Dropdown!$A$2:$D$4,4,FALSE)</f>
        <v>-</v>
      </c>
      <c r="O18" s="42" t="str">
        <f>VLOOKUP(Tabelle1420[[#This Row],[Primärzinkherstellung 
(Nasschemische Elektrolyse)]],Dropdown!$A$2:$D$4,4,FALSE)</f>
        <v>-</v>
      </c>
      <c r="P18" s="42" t="str">
        <f>VLOOKUP(Tabelle1420[[#This Row],[Metallbearbeitung 
(Wärmebehandlung)]],Dropdown!$A$2:$D$4,4,FALSE)</f>
        <v>-</v>
      </c>
      <c r="Q18" s="42" t="str">
        <f>VLOOKUP(Tabelle1420[[#This Row],[Gießereien (Induktionsofen)]],Dropdown!$A$2:$D$4,4,FALSE)</f>
        <v>-</v>
      </c>
      <c r="R18" s="42" t="str">
        <f>VLOOKUP(Tabelle1420[[#This Row],[Calciumcarbid-Herstellung 
(Lichtbogenofen)]],Dropdown!$A$2:$D$4,4,FALSE)</f>
        <v>-</v>
      </c>
      <c r="S18" s="42" t="str">
        <f>VLOOKUP(Tabelle1420[[#This Row],[Ernährungsindustrie gesamt]],Dropdown!$A$2:$D$4,4,FALSE)</f>
        <v>-</v>
      </c>
      <c r="T18" s="42" t="str">
        <f>VLOOKUP(Tabelle1420[[#This Row],[Chemieindustrie gesamt]],Dropdown!$A$2:$D$4,4,FALSE)</f>
        <v>-</v>
      </c>
      <c r="U18" s="42" t="str">
        <f>VLOOKUP(Tabelle1420[[#This Row],[Kfz-Industrie gesamt]],Dropdown!$A$2:$D$4,4,FALSE)</f>
        <v>-</v>
      </c>
      <c r="V18" s="42" t="str">
        <f>VLOOKUP(Tabelle1420[[#This Row],[Maschinenbau gesamt]],Dropdown!$A$2:$D$4,4,FALSE)</f>
        <v>-</v>
      </c>
      <c r="W18" s="42" t="str">
        <f>VLOOKUP(Tabelle1420[[#This Row],[Glasindustrie gesamt]],Dropdown!$A$2:$D$4,4,FALSE)</f>
        <v>-</v>
      </c>
      <c r="X18" s="42" t="str">
        <f>VLOOKUP(Tabelle1420[[#This Row],[Behälterglasindustrie]],Dropdown!$A$2:$D$4,4,FALSE)</f>
        <v>-</v>
      </c>
      <c r="Y18" s="42" t="str">
        <f>VLOOKUP(Tabelle1420[[#This Row],[Silizium-Metall 
(Lichtbogenofen)]],Dropdown!$A$2:$D$4,4,FALSE)</f>
        <v>-</v>
      </c>
      <c r="Z18" s="42" t="str">
        <f>VLOOKUP(Tabelle1420[[#This Row],[Graphitelektroden 
(Graphitierungsofen)]],Dropdown!$A$2:$D$4,4,FALSE)</f>
        <v>-</v>
      </c>
    </row>
    <row r="19" spans="1:26" ht="25.5" x14ac:dyDescent="0.25">
      <c r="A19" s="6" t="s">
        <v>10</v>
      </c>
      <c r="B19" s="42" t="str">
        <f>VLOOKUP(Tabelle1420[[#This Row],[Primäraluminiumelektrolyse]],Dropdown!$A$2:$D$4,4,FALSE)</f>
        <v>X</v>
      </c>
      <c r="C19" s="42" t="str">
        <f>VLOOKUP(Tabelle1420[[#This Row],[Papierherstellung 
(Prozess gesamt)]],Dropdown!$A$2:$D$4,4,FALSE)</f>
        <v>-</v>
      </c>
      <c r="D19" s="42" t="str">
        <f>VLOOKUP(Tabelle1420[[#This Row],[Holzstoff- und Zellstoffherstellung 
(Holzschleifer / Refiner)]],Dropdown!$A$2:$D$4,4,FALSE)</f>
        <v>X</v>
      </c>
      <c r="E19" s="42" t="str">
        <f>VLOOKUP(Tabelle1420[[#This Row],[Papiermaschinen]],Dropdown!$A$2:$D$4,4,FALSE)</f>
        <v>-</v>
      </c>
      <c r="F19" s="42" t="str">
        <f>VLOOKUP(Tabelle1420[[#This Row],[Altpapierrecycling (Pulper)]],Dropdown!$A$2:$D$4,4,FALSE)</f>
        <v>-</v>
      </c>
      <c r="G19" s="42" t="str">
        <f>VLOOKUP(Tabelle1420[[#This Row],[Papierveredelung 
(Streichmaschinen und Kalander)]],Dropdown!$A$2:$D$4,4,FALSE)</f>
        <v>-</v>
      </c>
      <c r="H19" s="42" t="str">
        <f>VLOOKUP(Tabelle1420[[#This Row],[Chlor-Alkali-Elektrolyse]],Dropdown!$A$2:$D$4,4,FALSE)</f>
        <v>X</v>
      </c>
      <c r="I19" s="42" t="str">
        <f>VLOOKUP(Tabelle1420[[#This Row],[Elektrostahlherstellung 
(Lichtbogenofen)]],Dropdown!$A$2:$D$4,4,FALSE)</f>
        <v>X</v>
      </c>
      <c r="J19" s="42" t="str">
        <f>VLOOKUP(Tabelle1420[[#This Row],[Zementherstellung 
(Prozess gesamt)]],Dropdown!$A$2:$D$4,4,FALSE)</f>
        <v>X</v>
      </c>
      <c r="K19" s="42" t="str">
        <f>VLOOKUP(Tabelle1420[[#This Row],[Zementmühlen]],Dropdown!$A$2:$D$4,4,FALSE)</f>
        <v>-</v>
      </c>
      <c r="L19" s="42" t="str">
        <f>VLOOKUP(Tabelle1420[[#This Row],[Luftzerlegung]],Dropdown!$A$2:$D$4,4,FALSE)</f>
        <v>-</v>
      </c>
      <c r="M19" s="42" t="str">
        <f>VLOOKUP(Tabelle1420[[#This Row],[Kupfer- und Zinkherstellung 
(Elektrolyse)]],Dropdown!$A$2:$D$4,4,FALSE)</f>
        <v>-</v>
      </c>
      <c r="N19" s="42" t="str">
        <f>VLOOKUP(Tabelle1420[[#This Row],[Primärkupferherstellung 
(elektrolytische Kupferraffination)]],Dropdown!$A$2:$D$4,4,FALSE)</f>
        <v>-</v>
      </c>
      <c r="O19" s="42" t="str">
        <f>VLOOKUP(Tabelle1420[[#This Row],[Primärzinkherstellung 
(Nasschemische Elektrolyse)]],Dropdown!$A$2:$D$4,4,FALSE)</f>
        <v>-</v>
      </c>
      <c r="P19" s="42" t="str">
        <f>VLOOKUP(Tabelle1420[[#This Row],[Metallbearbeitung 
(Wärmebehandlung)]],Dropdown!$A$2:$D$4,4,FALSE)</f>
        <v>-</v>
      </c>
      <c r="Q19" s="42" t="str">
        <f>VLOOKUP(Tabelle1420[[#This Row],[Gießereien (Induktionsofen)]],Dropdown!$A$2:$D$4,4,FALSE)</f>
        <v>-</v>
      </c>
      <c r="R19" s="42" t="str">
        <f>VLOOKUP(Tabelle1420[[#This Row],[Calciumcarbid-Herstellung 
(Lichtbogenofen)]],Dropdown!$A$2:$D$4,4,FALSE)</f>
        <v>-</v>
      </c>
      <c r="S19" s="42" t="str">
        <f>VLOOKUP(Tabelle1420[[#This Row],[Ernährungsindustrie gesamt]],Dropdown!$A$2:$D$4,4,FALSE)</f>
        <v>-</v>
      </c>
      <c r="T19" s="42" t="str">
        <f>VLOOKUP(Tabelle1420[[#This Row],[Chemieindustrie gesamt]],Dropdown!$A$2:$D$4,4,FALSE)</f>
        <v>-</v>
      </c>
      <c r="U19" s="42" t="str">
        <f>VLOOKUP(Tabelle1420[[#This Row],[Kfz-Industrie gesamt]],Dropdown!$A$2:$D$4,4,FALSE)</f>
        <v>-</v>
      </c>
      <c r="V19" s="42" t="str">
        <f>VLOOKUP(Tabelle1420[[#This Row],[Maschinenbau gesamt]],Dropdown!$A$2:$D$4,4,FALSE)</f>
        <v>-</v>
      </c>
      <c r="W19" s="42" t="str">
        <f>VLOOKUP(Tabelle1420[[#This Row],[Glasindustrie gesamt]],Dropdown!$A$2:$D$4,4,FALSE)</f>
        <v>-</v>
      </c>
      <c r="X19" s="42" t="str">
        <f>VLOOKUP(Tabelle1420[[#This Row],[Behälterglasindustrie]],Dropdown!$A$2:$D$4,4,FALSE)</f>
        <v>-</v>
      </c>
      <c r="Y19" s="42" t="str">
        <f>VLOOKUP(Tabelle1420[[#This Row],[Silizium-Metall 
(Lichtbogenofen)]],Dropdown!$A$2:$D$4,4,FALSE)</f>
        <v>-</v>
      </c>
      <c r="Z19" s="42" t="str">
        <f>VLOOKUP(Tabelle1420[[#This Row],[Graphitelektroden 
(Graphitierungsofen)]],Dropdown!$A$2:$D$4,4,FALSE)</f>
        <v>-</v>
      </c>
    </row>
    <row r="20" spans="1:26" ht="38.25" x14ac:dyDescent="0.25">
      <c r="A20" s="6" t="s">
        <v>832</v>
      </c>
      <c r="B20" s="42" t="str">
        <f>VLOOKUP(Tabelle1420[[#This Row],[Primäraluminiumelektrolyse]],Dropdown!$A$2:$D$4,4,FALSE)</f>
        <v>X</v>
      </c>
      <c r="C20" s="42" t="str">
        <f>VLOOKUP(Tabelle1420[[#This Row],[Papierherstellung 
(Prozess gesamt)]],Dropdown!$A$2:$D$4,4,FALSE)</f>
        <v>X</v>
      </c>
      <c r="D20" s="42" t="str">
        <f>VLOOKUP(Tabelle1420[[#This Row],[Holzstoff- und Zellstoffherstellung 
(Holzschleifer / Refiner)]],Dropdown!$A$2:$D$4,4,FALSE)</f>
        <v>X</v>
      </c>
      <c r="E20" s="42" t="str">
        <f>VLOOKUP(Tabelle1420[[#This Row],[Papiermaschinen]],Dropdown!$A$2:$D$4,4,FALSE)</f>
        <v>-</v>
      </c>
      <c r="F20" s="42" t="str">
        <f>VLOOKUP(Tabelle1420[[#This Row],[Altpapierrecycling (Pulper)]],Dropdown!$A$2:$D$4,4,FALSE)</f>
        <v>-</v>
      </c>
      <c r="G20" s="42" t="str">
        <f>VLOOKUP(Tabelle1420[[#This Row],[Papierveredelung 
(Streichmaschinen und Kalander)]],Dropdown!$A$2:$D$4,4,FALSE)</f>
        <v>-</v>
      </c>
      <c r="H20" s="42" t="str">
        <f>VLOOKUP(Tabelle1420[[#This Row],[Chlor-Alkali-Elektrolyse]],Dropdown!$A$2:$D$4,4,FALSE)</f>
        <v>X</v>
      </c>
      <c r="I20" s="42" t="str">
        <f>VLOOKUP(Tabelle1420[[#This Row],[Elektrostahlherstellung 
(Lichtbogenofen)]],Dropdown!$A$2:$D$4,4,FALSE)</f>
        <v>X</v>
      </c>
      <c r="J20" s="42" t="str">
        <f>VLOOKUP(Tabelle1420[[#This Row],[Zementherstellung 
(Prozess gesamt)]],Dropdown!$A$2:$D$4,4,FALSE)</f>
        <v>X</v>
      </c>
      <c r="K20" s="42" t="str">
        <f>VLOOKUP(Tabelle1420[[#This Row],[Zementmühlen]],Dropdown!$A$2:$D$4,4,FALSE)</f>
        <v>-</v>
      </c>
      <c r="L20" s="42" t="str">
        <f>VLOOKUP(Tabelle1420[[#This Row],[Luftzerlegung]],Dropdown!$A$2:$D$4,4,FALSE)</f>
        <v>-</v>
      </c>
      <c r="M20" s="42" t="str">
        <f>VLOOKUP(Tabelle1420[[#This Row],[Kupfer- und Zinkherstellung 
(Elektrolyse)]],Dropdown!$A$2:$D$4,4,FALSE)</f>
        <v>-</v>
      </c>
      <c r="N20" s="42" t="str">
        <f>VLOOKUP(Tabelle1420[[#This Row],[Primärkupferherstellung 
(elektrolytische Kupferraffination)]],Dropdown!$A$2:$D$4,4,FALSE)</f>
        <v>-</v>
      </c>
      <c r="O20" s="42" t="str">
        <f>VLOOKUP(Tabelle1420[[#This Row],[Primärzinkherstellung 
(Nasschemische Elektrolyse)]],Dropdown!$A$2:$D$4,4,FALSE)</f>
        <v>-</v>
      </c>
      <c r="P20" s="42" t="str">
        <f>VLOOKUP(Tabelle1420[[#This Row],[Metallbearbeitung 
(Wärmebehandlung)]],Dropdown!$A$2:$D$4,4,FALSE)</f>
        <v>-</v>
      </c>
      <c r="Q20" s="42" t="str">
        <f>VLOOKUP(Tabelle1420[[#This Row],[Gießereien (Induktionsofen)]],Dropdown!$A$2:$D$4,4,FALSE)</f>
        <v>-</v>
      </c>
      <c r="R20" s="42" t="str">
        <f>VLOOKUP(Tabelle1420[[#This Row],[Calciumcarbid-Herstellung 
(Lichtbogenofen)]],Dropdown!$A$2:$D$4,4,FALSE)</f>
        <v>-</v>
      </c>
      <c r="S20" s="42" t="str">
        <f>VLOOKUP(Tabelle1420[[#This Row],[Ernährungsindustrie gesamt]],Dropdown!$A$2:$D$4,4,FALSE)</f>
        <v>-</v>
      </c>
      <c r="T20" s="42" t="str">
        <f>VLOOKUP(Tabelle1420[[#This Row],[Chemieindustrie gesamt]],Dropdown!$A$2:$D$4,4,FALSE)</f>
        <v>-</v>
      </c>
      <c r="U20" s="42" t="str">
        <f>VLOOKUP(Tabelle1420[[#This Row],[Kfz-Industrie gesamt]],Dropdown!$A$2:$D$4,4,FALSE)</f>
        <v>-</v>
      </c>
      <c r="V20" s="42" t="str">
        <f>VLOOKUP(Tabelle1420[[#This Row],[Maschinenbau gesamt]],Dropdown!$A$2:$D$4,4,FALSE)</f>
        <v>-</v>
      </c>
      <c r="W20" s="42" t="str">
        <f>VLOOKUP(Tabelle1420[[#This Row],[Glasindustrie gesamt]],Dropdown!$A$2:$D$4,4,FALSE)</f>
        <v>-</v>
      </c>
      <c r="X20" s="42" t="str">
        <f>VLOOKUP(Tabelle1420[[#This Row],[Behälterglasindustrie]],Dropdown!$A$2:$D$4,4,FALSE)</f>
        <v>-</v>
      </c>
      <c r="Y20" s="42" t="str">
        <f>VLOOKUP(Tabelle1420[[#This Row],[Silizium-Metall 
(Lichtbogenofen)]],Dropdown!$A$2:$D$4,4,FALSE)</f>
        <v>-</v>
      </c>
      <c r="Z20" s="42" t="str">
        <f>VLOOKUP(Tabelle1420[[#This Row],[Graphitelektroden 
(Graphitierungsofen)]],Dropdown!$A$2:$D$4,4,FALSE)</f>
        <v>-</v>
      </c>
    </row>
    <row r="21" spans="1:26" x14ac:dyDescent="0.25">
      <c r="A21" s="6" t="s">
        <v>16</v>
      </c>
      <c r="B21" s="42" t="str">
        <f>VLOOKUP(Tabelle1420[[#This Row],[Primäraluminiumelektrolyse]],Dropdown!$A$2:$D$4,4,FALSE)</f>
        <v>X</v>
      </c>
      <c r="C21" s="42" t="str">
        <f>VLOOKUP(Tabelle1420[[#This Row],[Papierherstellung 
(Prozess gesamt)]],Dropdown!$A$2:$D$4,4,FALSE)</f>
        <v>X</v>
      </c>
      <c r="D21" s="42" t="str">
        <f>VLOOKUP(Tabelle1420[[#This Row],[Holzstoff- und Zellstoffherstellung 
(Holzschleifer / Refiner)]],Dropdown!$A$2:$D$4,4,FALSE)</f>
        <v>-</v>
      </c>
      <c r="E21" s="42" t="str">
        <f>VLOOKUP(Tabelle1420[[#This Row],[Papiermaschinen]],Dropdown!$A$2:$D$4,4,FALSE)</f>
        <v>-</v>
      </c>
      <c r="F21" s="42" t="str">
        <f>VLOOKUP(Tabelle1420[[#This Row],[Altpapierrecycling (Pulper)]],Dropdown!$A$2:$D$4,4,FALSE)</f>
        <v>-</v>
      </c>
      <c r="G21" s="42" t="str">
        <f>VLOOKUP(Tabelle1420[[#This Row],[Papierveredelung 
(Streichmaschinen und Kalander)]],Dropdown!$A$2:$D$4,4,FALSE)</f>
        <v>-</v>
      </c>
      <c r="H21" s="42" t="str">
        <f>VLOOKUP(Tabelle1420[[#This Row],[Chlor-Alkali-Elektrolyse]],Dropdown!$A$2:$D$4,4,FALSE)</f>
        <v>X</v>
      </c>
      <c r="I21" s="42" t="str">
        <f>VLOOKUP(Tabelle1420[[#This Row],[Elektrostahlherstellung 
(Lichtbogenofen)]],Dropdown!$A$2:$D$4,4,FALSE)</f>
        <v>X</v>
      </c>
      <c r="J21" s="42" t="str">
        <f>VLOOKUP(Tabelle1420[[#This Row],[Zementherstellung 
(Prozess gesamt)]],Dropdown!$A$2:$D$4,4,FALSE)</f>
        <v>X</v>
      </c>
      <c r="K21" s="42" t="str">
        <f>VLOOKUP(Tabelle1420[[#This Row],[Zementmühlen]],Dropdown!$A$2:$D$4,4,FALSE)</f>
        <v>-</v>
      </c>
      <c r="L21" s="42" t="str">
        <f>VLOOKUP(Tabelle1420[[#This Row],[Luftzerlegung]],Dropdown!$A$2:$D$4,4,FALSE)</f>
        <v>X</v>
      </c>
      <c r="M21" s="42" t="str">
        <f>VLOOKUP(Tabelle1420[[#This Row],[Kupfer- und Zinkherstellung 
(Elektrolyse)]],Dropdown!$A$2:$D$4,4,FALSE)</f>
        <v>-</v>
      </c>
      <c r="N21" s="42" t="str">
        <f>VLOOKUP(Tabelle1420[[#This Row],[Primärkupferherstellung 
(elektrolytische Kupferraffination)]],Dropdown!$A$2:$D$4,4,FALSE)</f>
        <v>-</v>
      </c>
      <c r="O21" s="42" t="str">
        <f>VLOOKUP(Tabelle1420[[#This Row],[Primärzinkherstellung 
(Nasschemische Elektrolyse)]],Dropdown!$A$2:$D$4,4,FALSE)</f>
        <v>-</v>
      </c>
      <c r="P21" s="42" t="str">
        <f>VLOOKUP(Tabelle1420[[#This Row],[Metallbearbeitung 
(Wärmebehandlung)]],Dropdown!$A$2:$D$4,4,FALSE)</f>
        <v>-</v>
      </c>
      <c r="Q21" s="42" t="str">
        <f>VLOOKUP(Tabelle1420[[#This Row],[Gießereien (Induktionsofen)]],Dropdown!$A$2:$D$4,4,FALSE)</f>
        <v>-</v>
      </c>
      <c r="R21" s="42" t="str">
        <f>VLOOKUP(Tabelle1420[[#This Row],[Calciumcarbid-Herstellung 
(Lichtbogenofen)]],Dropdown!$A$2:$D$4,4,FALSE)</f>
        <v>-</v>
      </c>
      <c r="S21" s="42" t="str">
        <f>VLOOKUP(Tabelle1420[[#This Row],[Ernährungsindustrie gesamt]],Dropdown!$A$2:$D$4,4,FALSE)</f>
        <v>-</v>
      </c>
      <c r="T21" s="42" t="str">
        <f>VLOOKUP(Tabelle1420[[#This Row],[Chemieindustrie gesamt]],Dropdown!$A$2:$D$4,4,FALSE)</f>
        <v>-</v>
      </c>
      <c r="U21" s="42" t="str">
        <f>VLOOKUP(Tabelle1420[[#This Row],[Kfz-Industrie gesamt]],Dropdown!$A$2:$D$4,4,FALSE)</f>
        <v>-</v>
      </c>
      <c r="V21" s="42" t="str">
        <f>VLOOKUP(Tabelle1420[[#This Row],[Maschinenbau gesamt]],Dropdown!$A$2:$D$4,4,FALSE)</f>
        <v>-</v>
      </c>
      <c r="W21" s="42" t="str">
        <f>VLOOKUP(Tabelle1420[[#This Row],[Glasindustrie gesamt]],Dropdown!$A$2:$D$4,4,FALSE)</f>
        <v>-</v>
      </c>
      <c r="X21" s="42" t="str">
        <f>VLOOKUP(Tabelle1420[[#This Row],[Behälterglasindustrie]],Dropdown!$A$2:$D$4,4,FALSE)</f>
        <v>-</v>
      </c>
      <c r="Y21" s="42" t="str">
        <f>VLOOKUP(Tabelle1420[[#This Row],[Silizium-Metall 
(Lichtbogenofen)]],Dropdown!$A$2:$D$4,4,FALSE)</f>
        <v>-</v>
      </c>
      <c r="Z21" s="42" t="str">
        <f>VLOOKUP(Tabelle1420[[#This Row],[Graphitelektroden 
(Graphitierungsofen)]],Dropdown!$A$2:$D$4,4,FALSE)</f>
        <v>-</v>
      </c>
    </row>
    <row r="22" spans="1:26" ht="25.5" x14ac:dyDescent="0.25">
      <c r="A22" s="6" t="s">
        <v>7</v>
      </c>
      <c r="B22" s="42" t="str">
        <f>VLOOKUP(Tabelle1420[[#This Row],[Primäraluminiumelektrolyse]],Dropdown!$A$2:$D$4,4,FALSE)</f>
        <v>-</v>
      </c>
      <c r="C22" s="42" t="str">
        <f>VLOOKUP(Tabelle1420[[#This Row],[Papierherstellung 
(Prozess gesamt)]],Dropdown!$A$2:$D$4,4,FALSE)</f>
        <v>X</v>
      </c>
      <c r="D22" s="42" t="str">
        <f>VLOOKUP(Tabelle1420[[#This Row],[Holzstoff- und Zellstoffherstellung 
(Holzschleifer / Refiner)]],Dropdown!$A$2:$D$4,4,FALSE)</f>
        <v>-</v>
      </c>
      <c r="E22" s="42" t="str">
        <f>VLOOKUP(Tabelle1420[[#This Row],[Papiermaschinen]],Dropdown!$A$2:$D$4,4,FALSE)</f>
        <v>-</v>
      </c>
      <c r="F22" s="42" t="str">
        <f>VLOOKUP(Tabelle1420[[#This Row],[Altpapierrecycling (Pulper)]],Dropdown!$A$2:$D$4,4,FALSE)</f>
        <v>-</v>
      </c>
      <c r="G22" s="42" t="str">
        <f>VLOOKUP(Tabelle1420[[#This Row],[Papierveredelung 
(Streichmaschinen und Kalander)]],Dropdown!$A$2:$D$4,4,FALSE)</f>
        <v>-</v>
      </c>
      <c r="H22" s="42" t="str">
        <f>VLOOKUP(Tabelle1420[[#This Row],[Chlor-Alkali-Elektrolyse]],Dropdown!$A$2:$D$4,4,FALSE)</f>
        <v>-</v>
      </c>
      <c r="I22" s="42" t="str">
        <f>VLOOKUP(Tabelle1420[[#This Row],[Elektrostahlherstellung 
(Lichtbogenofen)]],Dropdown!$A$2:$D$4,4,FALSE)</f>
        <v>-</v>
      </c>
      <c r="J22" s="42" t="str">
        <f>VLOOKUP(Tabelle1420[[#This Row],[Zementherstellung 
(Prozess gesamt)]],Dropdown!$A$2:$D$4,4,FALSE)</f>
        <v>-</v>
      </c>
      <c r="K22" s="42" t="str">
        <f>VLOOKUP(Tabelle1420[[#This Row],[Zementmühlen]],Dropdown!$A$2:$D$4,4,FALSE)</f>
        <v>-</v>
      </c>
      <c r="L22" s="42" t="str">
        <f>VLOOKUP(Tabelle1420[[#This Row],[Luftzerlegung]],Dropdown!$A$2:$D$4,4,FALSE)</f>
        <v>-</v>
      </c>
      <c r="M22" s="42" t="str">
        <f>VLOOKUP(Tabelle1420[[#This Row],[Kupfer- und Zinkherstellung 
(Elektrolyse)]],Dropdown!$A$2:$D$4,4,FALSE)</f>
        <v>-</v>
      </c>
      <c r="N22" s="42" t="str">
        <f>VLOOKUP(Tabelle1420[[#This Row],[Primärkupferherstellung 
(elektrolytische Kupferraffination)]],Dropdown!$A$2:$D$4,4,FALSE)</f>
        <v>-</v>
      </c>
      <c r="O22" s="42" t="str">
        <f>VLOOKUP(Tabelle1420[[#This Row],[Primärzinkherstellung 
(Nasschemische Elektrolyse)]],Dropdown!$A$2:$D$4,4,FALSE)</f>
        <v>-</v>
      </c>
      <c r="P22" s="42" t="str">
        <f>VLOOKUP(Tabelle1420[[#This Row],[Metallbearbeitung 
(Wärmebehandlung)]],Dropdown!$A$2:$D$4,4,FALSE)</f>
        <v>X</v>
      </c>
      <c r="Q22" s="42" t="str">
        <f>VLOOKUP(Tabelle1420[[#This Row],[Gießereien (Induktionsofen)]],Dropdown!$A$2:$D$4,4,FALSE)</f>
        <v>-</v>
      </c>
      <c r="R22" s="42" t="str">
        <f>VLOOKUP(Tabelle1420[[#This Row],[Calciumcarbid-Herstellung 
(Lichtbogenofen)]],Dropdown!$A$2:$D$4,4,FALSE)</f>
        <v>-</v>
      </c>
      <c r="S22" s="42" t="str">
        <f>VLOOKUP(Tabelle1420[[#This Row],[Ernährungsindustrie gesamt]],Dropdown!$A$2:$D$4,4,FALSE)</f>
        <v>X</v>
      </c>
      <c r="T22" s="42" t="str">
        <f>VLOOKUP(Tabelle1420[[#This Row],[Chemieindustrie gesamt]],Dropdown!$A$2:$D$4,4,FALSE)</f>
        <v>X</v>
      </c>
      <c r="U22" s="42" t="str">
        <f>VLOOKUP(Tabelle1420[[#This Row],[Kfz-Industrie gesamt]],Dropdown!$A$2:$D$4,4,FALSE)</f>
        <v>X</v>
      </c>
      <c r="V22" s="42" t="str">
        <f>VLOOKUP(Tabelle1420[[#This Row],[Maschinenbau gesamt]],Dropdown!$A$2:$D$4,4,FALSE)</f>
        <v>X</v>
      </c>
      <c r="W22" s="42" t="str">
        <f>VLOOKUP(Tabelle1420[[#This Row],[Glasindustrie gesamt]],Dropdown!$A$2:$D$4,4,FALSE)</f>
        <v>X</v>
      </c>
      <c r="X22" s="42" t="str">
        <f>VLOOKUP(Tabelle1420[[#This Row],[Behälterglasindustrie]],Dropdown!$A$2:$D$4,4,FALSE)</f>
        <v>-</v>
      </c>
      <c r="Y22" s="42" t="str">
        <f>VLOOKUP(Tabelle1420[[#This Row],[Silizium-Metall 
(Lichtbogenofen)]],Dropdown!$A$2:$D$4,4,FALSE)</f>
        <v>-</v>
      </c>
      <c r="Z22" s="42" t="str">
        <f>VLOOKUP(Tabelle1420[[#This Row],[Graphitelektroden 
(Graphitierungsofen)]],Dropdown!$A$2:$D$4,4,FALSE)</f>
        <v>-</v>
      </c>
    </row>
    <row r="23" spans="1:26" x14ac:dyDescent="0.25">
      <c r="A23" s="6" t="s">
        <v>18</v>
      </c>
      <c r="B23" s="42" t="str">
        <f>VLOOKUP(Tabelle1420[[#This Row],[Primäraluminiumelektrolyse]],Dropdown!$A$2:$D$4,4,FALSE)</f>
        <v>X</v>
      </c>
      <c r="C23" s="42" t="str">
        <f>VLOOKUP(Tabelle1420[[#This Row],[Papierherstellung 
(Prozess gesamt)]],Dropdown!$A$2:$D$4,4,FALSE)</f>
        <v>-</v>
      </c>
      <c r="D23" s="42" t="str">
        <f>VLOOKUP(Tabelle1420[[#This Row],[Holzstoff- und Zellstoffherstellung 
(Holzschleifer / Refiner)]],Dropdown!$A$2:$D$4,4,FALSE)</f>
        <v>X</v>
      </c>
      <c r="E23" s="42" t="str">
        <f>VLOOKUP(Tabelle1420[[#This Row],[Papiermaschinen]],Dropdown!$A$2:$D$4,4,FALSE)</f>
        <v>X</v>
      </c>
      <c r="F23" s="42" t="str">
        <f>VLOOKUP(Tabelle1420[[#This Row],[Altpapierrecycling (Pulper)]],Dropdown!$A$2:$D$4,4,FALSE)</f>
        <v>X</v>
      </c>
      <c r="G23" s="42" t="str">
        <f>VLOOKUP(Tabelle1420[[#This Row],[Papierveredelung 
(Streichmaschinen und Kalander)]],Dropdown!$A$2:$D$4,4,FALSE)</f>
        <v>-</v>
      </c>
      <c r="H23" s="42" t="str">
        <f>VLOOKUP(Tabelle1420[[#This Row],[Chlor-Alkali-Elektrolyse]],Dropdown!$A$2:$D$4,4,FALSE)</f>
        <v>X</v>
      </c>
      <c r="I23" s="42" t="str">
        <f>VLOOKUP(Tabelle1420[[#This Row],[Elektrostahlherstellung 
(Lichtbogenofen)]],Dropdown!$A$2:$D$4,4,FALSE)</f>
        <v>X</v>
      </c>
      <c r="J23" s="42" t="str">
        <f>VLOOKUP(Tabelle1420[[#This Row],[Zementherstellung 
(Prozess gesamt)]],Dropdown!$A$2:$D$4,4,FALSE)</f>
        <v>X</v>
      </c>
      <c r="K23" s="42" t="str">
        <f>VLOOKUP(Tabelle1420[[#This Row],[Zementmühlen]],Dropdown!$A$2:$D$4,4,FALSE)</f>
        <v>-</v>
      </c>
      <c r="L23" s="42" t="str">
        <f>VLOOKUP(Tabelle1420[[#This Row],[Luftzerlegung]],Dropdown!$A$2:$D$4,4,FALSE)</f>
        <v>X</v>
      </c>
      <c r="M23" s="42" t="str">
        <f>VLOOKUP(Tabelle1420[[#This Row],[Kupfer- und Zinkherstellung 
(Elektrolyse)]],Dropdown!$A$2:$D$4,4,FALSE)</f>
        <v>-</v>
      </c>
      <c r="N23" s="42" t="str">
        <f>VLOOKUP(Tabelle1420[[#This Row],[Primärkupferherstellung 
(elektrolytische Kupferraffination)]],Dropdown!$A$2:$D$4,4,FALSE)</f>
        <v>X</v>
      </c>
      <c r="O23" s="42" t="str">
        <f>VLOOKUP(Tabelle1420[[#This Row],[Primärzinkherstellung 
(Nasschemische Elektrolyse)]],Dropdown!$A$2:$D$4,4,FALSE)</f>
        <v>X</v>
      </c>
      <c r="P23" s="42" t="str">
        <f>VLOOKUP(Tabelle1420[[#This Row],[Metallbearbeitung 
(Wärmebehandlung)]],Dropdown!$A$2:$D$4,4,FALSE)</f>
        <v>-</v>
      </c>
      <c r="Q23" s="42" t="str">
        <f>VLOOKUP(Tabelle1420[[#This Row],[Gießereien (Induktionsofen)]],Dropdown!$A$2:$D$4,4,FALSE)</f>
        <v>-</v>
      </c>
      <c r="R23" s="42" t="str">
        <f>VLOOKUP(Tabelle1420[[#This Row],[Calciumcarbid-Herstellung 
(Lichtbogenofen)]],Dropdown!$A$2:$D$4,4,FALSE)</f>
        <v>X</v>
      </c>
      <c r="S23" s="42" t="str">
        <f>VLOOKUP(Tabelle1420[[#This Row],[Ernährungsindustrie gesamt]],Dropdown!$A$2:$D$4,4,FALSE)</f>
        <v>-</v>
      </c>
      <c r="T23" s="42" t="str">
        <f>VLOOKUP(Tabelle1420[[#This Row],[Chemieindustrie gesamt]],Dropdown!$A$2:$D$4,4,FALSE)</f>
        <v>-</v>
      </c>
      <c r="U23" s="42" t="str">
        <f>VLOOKUP(Tabelle1420[[#This Row],[Kfz-Industrie gesamt]],Dropdown!$A$2:$D$4,4,FALSE)</f>
        <v>-</v>
      </c>
      <c r="V23" s="42" t="str">
        <f>VLOOKUP(Tabelle1420[[#This Row],[Maschinenbau gesamt]],Dropdown!$A$2:$D$4,4,FALSE)</f>
        <v>-</v>
      </c>
      <c r="W23" s="42" t="str">
        <f>VLOOKUP(Tabelle1420[[#This Row],[Glasindustrie gesamt]],Dropdown!$A$2:$D$4,4,FALSE)</f>
        <v>-</v>
      </c>
      <c r="X23" s="42" t="str">
        <f>VLOOKUP(Tabelle1420[[#This Row],[Behälterglasindustrie]],Dropdown!$A$2:$D$4,4,FALSE)</f>
        <v>-</v>
      </c>
      <c r="Y23" s="42" t="str">
        <f>VLOOKUP(Tabelle1420[[#This Row],[Silizium-Metall 
(Lichtbogenofen)]],Dropdown!$A$2:$D$4,4,FALSE)</f>
        <v>-</v>
      </c>
      <c r="Z23" s="42" t="str">
        <f>VLOOKUP(Tabelle1420[[#This Row],[Graphitelektroden 
(Graphitierungsofen)]],Dropdown!$A$2:$D$4,4,FALSE)</f>
        <v>-</v>
      </c>
    </row>
    <row r="24" spans="1:26" x14ac:dyDescent="0.25">
      <c r="A24" s="6" t="s">
        <v>338</v>
      </c>
      <c r="B24" s="42" t="str">
        <f>VLOOKUP(Tabelle1420[[#This Row],[Primäraluminiumelektrolyse]],Dropdown!$A$2:$D$4,4,FALSE)</f>
        <v>-</v>
      </c>
      <c r="C24" s="42" t="str">
        <f>VLOOKUP(Tabelle1420[[#This Row],[Papierherstellung 
(Prozess gesamt)]],Dropdown!$A$2:$D$4,4,FALSE)</f>
        <v>-</v>
      </c>
      <c r="D24" s="42" t="str">
        <f>VLOOKUP(Tabelle1420[[#This Row],[Holzstoff- und Zellstoffherstellung 
(Holzschleifer / Refiner)]],Dropdown!$A$2:$D$4,4,FALSE)</f>
        <v>-</v>
      </c>
      <c r="E24" s="42" t="str">
        <f>VLOOKUP(Tabelle1420[[#This Row],[Papiermaschinen]],Dropdown!$A$2:$D$4,4,FALSE)</f>
        <v>-</v>
      </c>
      <c r="F24" s="42" t="str">
        <f>VLOOKUP(Tabelle1420[[#This Row],[Altpapierrecycling (Pulper)]],Dropdown!$A$2:$D$4,4,FALSE)</f>
        <v>-</v>
      </c>
      <c r="G24" s="42" t="str">
        <f>VLOOKUP(Tabelle1420[[#This Row],[Papierveredelung 
(Streichmaschinen und Kalander)]],Dropdown!$A$2:$D$4,4,FALSE)</f>
        <v>-</v>
      </c>
      <c r="H24" s="42" t="str">
        <f>VLOOKUP(Tabelle1420[[#This Row],[Chlor-Alkali-Elektrolyse]],Dropdown!$A$2:$D$4,4,FALSE)</f>
        <v>-</v>
      </c>
      <c r="I24" s="42" t="str">
        <f>VLOOKUP(Tabelle1420[[#This Row],[Elektrostahlherstellung 
(Lichtbogenofen)]],Dropdown!$A$2:$D$4,4,FALSE)</f>
        <v>-</v>
      </c>
      <c r="J24" s="42" t="str">
        <f>VLOOKUP(Tabelle1420[[#This Row],[Zementherstellung 
(Prozess gesamt)]],Dropdown!$A$2:$D$4,4,FALSE)</f>
        <v>-</v>
      </c>
      <c r="K24" s="42" t="str">
        <f>VLOOKUP(Tabelle1420[[#This Row],[Zementmühlen]],Dropdown!$A$2:$D$4,4,FALSE)</f>
        <v>-</v>
      </c>
      <c r="L24" s="42" t="str">
        <f>VLOOKUP(Tabelle1420[[#This Row],[Luftzerlegung]],Dropdown!$A$2:$D$4,4,FALSE)</f>
        <v>-</v>
      </c>
      <c r="M24" s="42" t="str">
        <f>VLOOKUP(Tabelle1420[[#This Row],[Kupfer- und Zinkherstellung 
(Elektrolyse)]],Dropdown!$A$2:$D$4,4,FALSE)</f>
        <v>-</v>
      </c>
      <c r="N24" s="42" t="str">
        <f>VLOOKUP(Tabelle1420[[#This Row],[Primärkupferherstellung 
(elektrolytische Kupferraffination)]],Dropdown!$A$2:$D$4,4,FALSE)</f>
        <v>-</v>
      </c>
      <c r="O24" s="42" t="str">
        <f>VLOOKUP(Tabelle1420[[#This Row],[Primärzinkherstellung 
(Nasschemische Elektrolyse)]],Dropdown!$A$2:$D$4,4,FALSE)</f>
        <v>-</v>
      </c>
      <c r="P24" s="42" t="str">
        <f>VLOOKUP(Tabelle1420[[#This Row],[Metallbearbeitung 
(Wärmebehandlung)]],Dropdown!$A$2:$D$4,4,FALSE)</f>
        <v>-</v>
      </c>
      <c r="Q24" s="42" t="str">
        <f>VLOOKUP(Tabelle1420[[#This Row],[Gießereien (Induktionsofen)]],Dropdown!$A$2:$D$4,4,FALSE)</f>
        <v>-</v>
      </c>
      <c r="R24" s="42" t="str">
        <f>VLOOKUP(Tabelle1420[[#This Row],[Calciumcarbid-Herstellung 
(Lichtbogenofen)]],Dropdown!$A$2:$D$4,4,FALSE)</f>
        <v>-</v>
      </c>
      <c r="S24" s="42" t="str">
        <f>VLOOKUP(Tabelle1420[[#This Row],[Ernährungsindustrie gesamt]],Dropdown!$A$2:$D$4,4,FALSE)</f>
        <v>-</v>
      </c>
      <c r="T24" s="42" t="str">
        <f>VLOOKUP(Tabelle1420[[#This Row],[Chemieindustrie gesamt]],Dropdown!$A$2:$D$4,4,FALSE)</f>
        <v>-</v>
      </c>
      <c r="U24" s="42" t="str">
        <f>VLOOKUP(Tabelle1420[[#This Row],[Kfz-Industrie gesamt]],Dropdown!$A$2:$D$4,4,FALSE)</f>
        <v>-</v>
      </c>
      <c r="V24" s="42" t="str">
        <f>VLOOKUP(Tabelle1420[[#This Row],[Maschinenbau gesamt]],Dropdown!$A$2:$D$4,4,FALSE)</f>
        <v>-</v>
      </c>
      <c r="W24" s="42" t="str">
        <f>VLOOKUP(Tabelle1420[[#This Row],[Glasindustrie gesamt]],Dropdown!$A$2:$D$4,4,FALSE)</f>
        <v>-</v>
      </c>
      <c r="X24" s="42" t="str">
        <f>VLOOKUP(Tabelle1420[[#This Row],[Behälterglasindustrie]],Dropdown!$A$2:$D$4,4,FALSE)</f>
        <v>-</v>
      </c>
      <c r="Y24" s="42" t="str">
        <f>VLOOKUP(Tabelle1420[[#This Row],[Silizium-Metall 
(Lichtbogenofen)]],Dropdown!$A$2:$D$4,4,FALSE)</f>
        <v>-</v>
      </c>
      <c r="Z24" s="42" t="str">
        <f>VLOOKUP(Tabelle1420[[#This Row],[Graphitelektroden 
(Graphitierungsofen)]],Dropdown!$A$2:$D$4,4,FALSE)</f>
        <v>-</v>
      </c>
    </row>
    <row r="25" spans="1:26" ht="25.5" x14ac:dyDescent="0.25">
      <c r="A25" s="6" t="s">
        <v>351</v>
      </c>
      <c r="B25" s="42" t="str">
        <f>VLOOKUP(Tabelle1420[[#This Row],[Primäraluminiumelektrolyse]],Dropdown!$A$2:$D$4,4,FALSE)</f>
        <v>X</v>
      </c>
      <c r="C25" s="42" t="str">
        <f>VLOOKUP(Tabelle1420[[#This Row],[Papierherstellung 
(Prozess gesamt)]],Dropdown!$A$2:$D$4,4,FALSE)</f>
        <v>-</v>
      </c>
      <c r="D25" s="42" t="str">
        <f>VLOOKUP(Tabelle1420[[#This Row],[Holzstoff- und Zellstoffherstellung 
(Holzschleifer / Refiner)]],Dropdown!$A$2:$D$4,4,FALSE)</f>
        <v>X</v>
      </c>
      <c r="E25" s="42" t="str">
        <f>VLOOKUP(Tabelle1420[[#This Row],[Papiermaschinen]],Dropdown!$A$2:$D$4,4,FALSE)</f>
        <v>X</v>
      </c>
      <c r="F25" s="42" t="str">
        <f>VLOOKUP(Tabelle1420[[#This Row],[Altpapierrecycling (Pulper)]],Dropdown!$A$2:$D$4,4,FALSE)</f>
        <v>X</v>
      </c>
      <c r="G25" s="42" t="str">
        <f>VLOOKUP(Tabelle1420[[#This Row],[Papierveredelung 
(Streichmaschinen und Kalander)]],Dropdown!$A$2:$D$4,4,FALSE)</f>
        <v>-</v>
      </c>
      <c r="H25" s="42" t="str">
        <f>VLOOKUP(Tabelle1420[[#This Row],[Chlor-Alkali-Elektrolyse]],Dropdown!$A$2:$D$4,4,FALSE)</f>
        <v>X</v>
      </c>
      <c r="I25" s="42" t="str">
        <f>VLOOKUP(Tabelle1420[[#This Row],[Elektrostahlherstellung 
(Lichtbogenofen)]],Dropdown!$A$2:$D$4,4,FALSE)</f>
        <v>X</v>
      </c>
      <c r="J25" s="42" t="str">
        <f>VLOOKUP(Tabelle1420[[#This Row],[Zementherstellung 
(Prozess gesamt)]],Dropdown!$A$2:$D$4,4,FALSE)</f>
        <v>X</v>
      </c>
      <c r="K25" s="42" t="str">
        <f>VLOOKUP(Tabelle1420[[#This Row],[Zementmühlen]],Dropdown!$A$2:$D$4,4,FALSE)</f>
        <v>-</v>
      </c>
      <c r="L25" s="42" t="str">
        <f>VLOOKUP(Tabelle1420[[#This Row],[Luftzerlegung]],Dropdown!$A$2:$D$4,4,FALSE)</f>
        <v>X</v>
      </c>
      <c r="M25" s="42" t="str">
        <f>VLOOKUP(Tabelle1420[[#This Row],[Kupfer- und Zinkherstellung 
(Elektrolyse)]],Dropdown!$A$2:$D$4,4,FALSE)</f>
        <v>-</v>
      </c>
      <c r="N25" s="42" t="str">
        <f>VLOOKUP(Tabelle1420[[#This Row],[Primärkupferherstellung 
(elektrolytische Kupferraffination)]],Dropdown!$A$2:$D$4,4,FALSE)</f>
        <v>X</v>
      </c>
      <c r="O25" s="42" t="str">
        <f>VLOOKUP(Tabelle1420[[#This Row],[Primärzinkherstellung 
(Nasschemische Elektrolyse)]],Dropdown!$A$2:$D$4,4,FALSE)</f>
        <v>X</v>
      </c>
      <c r="P25" s="42" t="str">
        <f>VLOOKUP(Tabelle1420[[#This Row],[Metallbearbeitung 
(Wärmebehandlung)]],Dropdown!$A$2:$D$4,4,FALSE)</f>
        <v>-</v>
      </c>
      <c r="Q25" s="42" t="str">
        <f>VLOOKUP(Tabelle1420[[#This Row],[Gießereien (Induktionsofen)]],Dropdown!$A$2:$D$4,4,FALSE)</f>
        <v>X</v>
      </c>
      <c r="R25" s="42" t="str">
        <f>VLOOKUP(Tabelle1420[[#This Row],[Calciumcarbid-Herstellung 
(Lichtbogenofen)]],Dropdown!$A$2:$D$4,4,FALSE)</f>
        <v>X</v>
      </c>
      <c r="S25" s="42" t="str">
        <f>VLOOKUP(Tabelle1420[[#This Row],[Ernährungsindustrie gesamt]],Dropdown!$A$2:$D$4,4,FALSE)</f>
        <v>-</v>
      </c>
      <c r="T25" s="42" t="str">
        <f>VLOOKUP(Tabelle1420[[#This Row],[Chemieindustrie gesamt]],Dropdown!$A$2:$D$4,4,FALSE)</f>
        <v>-</v>
      </c>
      <c r="U25" s="42" t="str">
        <f>VLOOKUP(Tabelle1420[[#This Row],[Kfz-Industrie gesamt]],Dropdown!$A$2:$D$4,4,FALSE)</f>
        <v>-</v>
      </c>
      <c r="V25" s="42" t="str">
        <f>VLOOKUP(Tabelle1420[[#This Row],[Maschinenbau gesamt]],Dropdown!$A$2:$D$4,4,FALSE)</f>
        <v>-</v>
      </c>
      <c r="W25" s="42" t="str">
        <f>VLOOKUP(Tabelle1420[[#This Row],[Glasindustrie gesamt]],Dropdown!$A$2:$D$4,4,FALSE)</f>
        <v>-</v>
      </c>
      <c r="X25" s="42" t="str">
        <f>VLOOKUP(Tabelle1420[[#This Row],[Behälterglasindustrie]],Dropdown!$A$2:$D$4,4,FALSE)</f>
        <v>X</v>
      </c>
      <c r="Y25" s="42" t="str">
        <f>VLOOKUP(Tabelle1420[[#This Row],[Silizium-Metall 
(Lichtbogenofen)]],Dropdown!$A$2:$D$4,4,FALSE)</f>
        <v>X</v>
      </c>
      <c r="Z25" s="42" t="str">
        <f>VLOOKUP(Tabelle1420[[#This Row],[Graphitelektroden 
(Graphitierungsofen)]],Dropdown!$A$2:$D$4,4,FALSE)</f>
        <v>X</v>
      </c>
    </row>
    <row r="26" spans="1:26" ht="38.25" x14ac:dyDescent="0.25">
      <c r="A26" s="51" t="s">
        <v>24</v>
      </c>
      <c r="B26" s="42" t="str">
        <f>VLOOKUP(Tabelle1420[[#This Row],[Primäraluminiumelektrolyse]],Dropdown!$A$2:$D$4,4,FALSE)</f>
        <v>(X)</v>
      </c>
      <c r="C26" s="42" t="str">
        <f>VLOOKUP(Tabelle1420[[#This Row],[Papierherstellung 
(Prozess gesamt)]],Dropdown!$A$2:$D$4,4,FALSE)</f>
        <v>(X)</v>
      </c>
      <c r="D26" s="42" t="str">
        <f>VLOOKUP(Tabelle1420[[#This Row],[Holzstoff- und Zellstoffherstellung 
(Holzschleifer / Refiner)]],Dropdown!$A$2:$D$4,4,FALSE)</f>
        <v>-</v>
      </c>
      <c r="E26" s="42" t="str">
        <f>VLOOKUP(Tabelle1420[[#This Row],[Papiermaschinen]],Dropdown!$A$2:$D$4,4,FALSE)</f>
        <v>-</v>
      </c>
      <c r="F26" s="42" t="str">
        <f>VLOOKUP(Tabelle1420[[#This Row],[Altpapierrecycling (Pulper)]],Dropdown!$A$2:$D$4,4,FALSE)</f>
        <v>-</v>
      </c>
      <c r="G26" s="42" t="str">
        <f>VLOOKUP(Tabelle1420[[#This Row],[Papierveredelung 
(Streichmaschinen und Kalander)]],Dropdown!$A$2:$D$4,4,FALSE)</f>
        <v>-</v>
      </c>
      <c r="H26" s="42" t="str">
        <f>VLOOKUP(Tabelle1420[[#This Row],[Chlor-Alkali-Elektrolyse]],Dropdown!$A$2:$D$4,4,FALSE)</f>
        <v>(X)</v>
      </c>
      <c r="I26" s="42" t="str">
        <f>VLOOKUP(Tabelle1420[[#This Row],[Elektrostahlherstellung 
(Lichtbogenofen)]],Dropdown!$A$2:$D$4,4,FALSE)</f>
        <v>(X)</v>
      </c>
      <c r="J26" s="42" t="str">
        <f>VLOOKUP(Tabelle1420[[#This Row],[Zementherstellung 
(Prozess gesamt)]],Dropdown!$A$2:$D$4,4,FALSE)</f>
        <v>(X)</v>
      </c>
      <c r="K26" s="42" t="str">
        <f>VLOOKUP(Tabelle1420[[#This Row],[Zementmühlen]],Dropdown!$A$2:$D$4,4,FALSE)</f>
        <v>-</v>
      </c>
      <c r="L26" s="42" t="str">
        <f>VLOOKUP(Tabelle1420[[#This Row],[Luftzerlegung]],Dropdown!$A$2:$D$4,4,FALSE)</f>
        <v>-</v>
      </c>
      <c r="M26" s="42" t="str">
        <f>VLOOKUP(Tabelle1420[[#This Row],[Kupfer- und Zinkherstellung 
(Elektrolyse)]],Dropdown!$A$2:$D$4,4,FALSE)</f>
        <v>-</v>
      </c>
      <c r="N26" s="42" t="str">
        <f>VLOOKUP(Tabelle1420[[#This Row],[Primärkupferherstellung 
(elektrolytische Kupferraffination)]],Dropdown!$A$2:$D$4,4,FALSE)</f>
        <v>-</v>
      </c>
      <c r="O26" s="42" t="str">
        <f>VLOOKUP(Tabelle1420[[#This Row],[Primärzinkherstellung 
(Nasschemische Elektrolyse)]],Dropdown!$A$2:$D$4,4,FALSE)</f>
        <v>-</v>
      </c>
      <c r="P26" s="42" t="str">
        <f>VLOOKUP(Tabelle1420[[#This Row],[Metallbearbeitung 
(Wärmebehandlung)]],Dropdown!$A$2:$D$4,4,FALSE)</f>
        <v>-</v>
      </c>
      <c r="Q26" s="42" t="str">
        <f>VLOOKUP(Tabelle1420[[#This Row],[Gießereien (Induktionsofen)]],Dropdown!$A$2:$D$4,4,FALSE)</f>
        <v>-</v>
      </c>
      <c r="R26" s="42" t="str">
        <f>VLOOKUP(Tabelle1420[[#This Row],[Calciumcarbid-Herstellung 
(Lichtbogenofen)]],Dropdown!$A$2:$D$4,4,FALSE)</f>
        <v>-</v>
      </c>
      <c r="S26" s="42" t="str">
        <f>VLOOKUP(Tabelle1420[[#This Row],[Ernährungsindustrie gesamt]],Dropdown!$A$2:$D$4,4,FALSE)</f>
        <v>-</v>
      </c>
      <c r="T26" s="42" t="str">
        <f>VLOOKUP(Tabelle1420[[#This Row],[Chemieindustrie gesamt]],Dropdown!$A$2:$D$4,4,FALSE)</f>
        <v>-</v>
      </c>
      <c r="U26" s="42" t="str">
        <f>VLOOKUP(Tabelle1420[[#This Row],[Kfz-Industrie gesamt]],Dropdown!$A$2:$D$4,4,FALSE)</f>
        <v>-</v>
      </c>
      <c r="V26" s="42" t="str">
        <f>VLOOKUP(Tabelle1420[[#This Row],[Maschinenbau gesamt]],Dropdown!$A$2:$D$4,4,FALSE)</f>
        <v>-</v>
      </c>
      <c r="W26" s="42" t="str">
        <f>VLOOKUP(Tabelle1420[[#This Row],[Glasindustrie gesamt]],Dropdown!$A$2:$D$4,4,FALSE)</f>
        <v>-</v>
      </c>
      <c r="X26" s="42" t="str">
        <f>VLOOKUP(Tabelle1420[[#This Row],[Behälterglasindustrie]],Dropdown!$A$2:$D$4,4,FALSE)</f>
        <v>-</v>
      </c>
      <c r="Y26" s="42" t="str">
        <f>VLOOKUP(Tabelle1420[[#This Row],[Silizium-Metall 
(Lichtbogenofen)]],Dropdown!$A$2:$D$4,4,FALSE)</f>
        <v>-</v>
      </c>
      <c r="Z26" s="42" t="str">
        <f>VLOOKUP(Tabelle1420[[#This Row],[Graphitelektroden 
(Graphitierungsofen)]],Dropdown!$A$2:$D$4,4,FALSE)</f>
        <v>-</v>
      </c>
    </row>
    <row r="27" spans="1:26" x14ac:dyDescent="0.25">
      <c r="A27" s="51" t="s">
        <v>854</v>
      </c>
      <c r="B27" s="60">
        <f>Tabelle1420[[#This Row],[Primäraluminiumelektrolyse]]</f>
        <v>17.5</v>
      </c>
      <c r="C27" s="60">
        <f>Tabelle1420[[#This Row],[Papierherstellung 
(Prozess gesamt)]]</f>
        <v>7.5</v>
      </c>
      <c r="D27" s="60">
        <f>Tabelle1420[[#This Row],[Holzstoff- und Zellstoffherstellung 
(Holzschleifer / Refiner)]]</f>
        <v>13</v>
      </c>
      <c r="E27" s="60">
        <f>Tabelle1420[[#This Row],[Papiermaschinen]]</f>
        <v>7</v>
      </c>
      <c r="F27" s="60">
        <f>Tabelle1420[[#This Row],[Altpapierrecycling (Pulper)]]</f>
        <v>6</v>
      </c>
      <c r="G27" s="60">
        <f>Tabelle1420[[#This Row],[Papierveredelung 
(Streichmaschinen und Kalander)]]</f>
        <v>3</v>
      </c>
      <c r="H27" s="60">
        <f>Tabelle1420[[#This Row],[Chlor-Alkali-Elektrolyse]]</f>
        <v>18.5</v>
      </c>
      <c r="I27" s="60">
        <f>Tabelle1420[[#This Row],[Elektrostahlherstellung 
(Lichtbogenofen)]]</f>
        <v>18.5</v>
      </c>
      <c r="J27" s="60">
        <f>Tabelle1420[[#This Row],[Zementherstellung 
(Prozess gesamt)]]</f>
        <v>16.5</v>
      </c>
      <c r="K27" s="60">
        <f>Tabelle1420[[#This Row],[Zementmühlen]]</f>
        <v>1</v>
      </c>
      <c r="L27" s="60">
        <f>Tabelle1420[[#This Row],[Luftzerlegung]]</f>
        <v>8.5</v>
      </c>
      <c r="M27" s="60">
        <f>Tabelle1420[[#This Row],[Kupfer- und Zinkherstellung 
(Elektrolyse)]]</f>
        <v>3</v>
      </c>
      <c r="N27" s="60">
        <f>Tabelle1420[[#This Row],[Primärkupferherstellung 
(elektrolytische Kupferraffination)]]</f>
        <v>4</v>
      </c>
      <c r="O27" s="60">
        <f>Tabelle1420[[#This Row],[Primärzinkherstellung 
(Nasschemische Elektrolyse)]]</f>
        <v>4</v>
      </c>
      <c r="P27" s="60">
        <f>Tabelle1420[[#This Row],[Metallbearbeitung 
(Wärmebehandlung)]]</f>
        <v>2.5</v>
      </c>
      <c r="Q27" s="60">
        <f>Tabelle1420[[#This Row],[Gießereien (Induktionsofen)]]</f>
        <v>2.5</v>
      </c>
      <c r="R27" s="60">
        <f>Tabelle1420[[#This Row],[Calciumcarbid-Herstellung 
(Lichtbogenofen)]]</f>
        <v>3</v>
      </c>
      <c r="S27" s="60">
        <f>Tabelle1420[[#This Row],[Ernährungsindustrie gesamt]]</f>
        <v>2</v>
      </c>
      <c r="T27" s="60">
        <f>Tabelle1420[[#This Row],[Chemieindustrie gesamt]]</f>
        <v>2</v>
      </c>
      <c r="U27" s="60">
        <f>Tabelle1420[[#This Row],[Kfz-Industrie gesamt]]</f>
        <v>2</v>
      </c>
      <c r="V27" s="60">
        <f>Tabelle1420[[#This Row],[Maschinenbau gesamt]]</f>
        <v>2</v>
      </c>
      <c r="W27" s="60">
        <f>Tabelle1420[[#This Row],[Glasindustrie gesamt]]</f>
        <v>2</v>
      </c>
      <c r="X27" s="60">
        <f>Tabelle1420[[#This Row],[Behälterglasindustrie]]</f>
        <v>2</v>
      </c>
      <c r="Y27" s="60">
        <f>Tabelle1420[[#This Row],[Silizium-Metall 
(Lichtbogenofen)]]</f>
        <v>1</v>
      </c>
      <c r="Z27" s="60">
        <f>Tabelle1420[[#This Row],[Papierherstellung 
(Prozess gesamt)]]</f>
        <v>7.5</v>
      </c>
    </row>
  </sheetData>
  <pageMargins left="0.7" right="0.7" top="0.78740157499999996" bottom="0.78740157499999996"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793E4-2EB6-45FB-AD3A-6D296DFF10FC}">
  <sheetPr codeName="Tabelle34">
    <tabColor theme="5" tint="0.79998168889431442"/>
  </sheetPr>
  <dimension ref="A1:Z27"/>
  <sheetViews>
    <sheetView topLeftCell="A7" workbookViewId="0">
      <selection activeCell="AA2" sqref="AA2"/>
    </sheetView>
  </sheetViews>
  <sheetFormatPr baseColWidth="10" defaultRowHeight="15.75" x14ac:dyDescent="0.25"/>
  <cols>
    <col min="1" max="1" width="17.625" customWidth="1"/>
    <col min="2" max="26" width="5.875" style="7" customWidth="1"/>
  </cols>
  <sheetData>
    <row r="1" spans="1:26" ht="166.5" x14ac:dyDescent="0.25">
      <c r="A1" s="50" t="s">
        <v>1</v>
      </c>
      <c r="B1" s="43" t="s">
        <v>867</v>
      </c>
      <c r="C1" s="43" t="s">
        <v>914</v>
      </c>
      <c r="D1" s="43" t="s">
        <v>967</v>
      </c>
      <c r="E1" s="43" t="s">
        <v>864</v>
      </c>
      <c r="F1" s="43" t="s">
        <v>1153</v>
      </c>
      <c r="G1" s="43" t="s">
        <v>1152</v>
      </c>
      <c r="H1" s="43" t="s">
        <v>865</v>
      </c>
      <c r="I1" s="43" t="s">
        <v>950</v>
      </c>
      <c r="J1" s="43" t="s">
        <v>952</v>
      </c>
      <c r="K1" s="43" t="s">
        <v>863</v>
      </c>
      <c r="L1" s="43" t="s">
        <v>866</v>
      </c>
      <c r="M1" s="43" t="s">
        <v>953</v>
      </c>
      <c r="N1" s="43" t="s">
        <v>921</v>
      </c>
      <c r="O1" s="43" t="s">
        <v>920</v>
      </c>
      <c r="P1" s="43" t="s">
        <v>956</v>
      </c>
      <c r="Q1" s="43" t="s">
        <v>957</v>
      </c>
      <c r="R1" s="43" t="s">
        <v>919</v>
      </c>
      <c r="S1" s="43" t="s">
        <v>958</v>
      </c>
      <c r="T1" s="43" t="s">
        <v>959</v>
      </c>
      <c r="U1" s="43" t="s">
        <v>960</v>
      </c>
      <c r="V1" s="43" t="s">
        <v>961</v>
      </c>
      <c r="W1" s="43" t="s">
        <v>962</v>
      </c>
      <c r="X1" s="43" t="s">
        <v>966</v>
      </c>
      <c r="Y1" s="43" t="s">
        <v>926</v>
      </c>
      <c r="Z1" s="43" t="s">
        <v>927</v>
      </c>
    </row>
    <row r="2" spans="1:26" x14ac:dyDescent="0.25">
      <c r="A2" s="6">
        <v>1</v>
      </c>
      <c r="B2" s="42" t="str">
        <f>VLOOKUP(Tabelle1420[[#This Row],[Primäraluminiumelektrolyse]],Dropdown!$A$2:$D$4,4,FALSE)</f>
        <v>X</v>
      </c>
      <c r="C2" s="42" t="str">
        <f>VLOOKUP(Tabelle1420[[#This Row],[Papierherstellung 
(Prozess gesamt)]],Dropdown!$A$2:$D$4,4,FALSE)</f>
        <v>-</v>
      </c>
      <c r="D2" s="42" t="str">
        <f>VLOOKUP(Tabelle1420[[#This Row],[Holzstoff- und Zellstoffherstellung 
(Holzschleifer / Refiner)]],Dropdown!$A$2:$D$4,4,FALSE)</f>
        <v>X</v>
      </c>
      <c r="E2" s="42" t="str">
        <f>VLOOKUP(Tabelle1420[[#This Row],[Papiermaschinen]],Dropdown!$A$2:$D$4,4,FALSE)</f>
        <v>X</v>
      </c>
      <c r="F2" s="42" t="str">
        <f>VLOOKUP(Tabelle1420[[#This Row],[Altpapierrecycling (Pulper)]],Dropdown!$A$2:$D$4,4,FALSE)</f>
        <v>-</v>
      </c>
      <c r="G2" s="42" t="str">
        <f>VLOOKUP(Tabelle1420[[#This Row],[Papierveredelung 
(Streichmaschinen und Kalander)]],Dropdown!$A$2:$D$4,4,FALSE)</f>
        <v>-</v>
      </c>
      <c r="H2" s="42" t="str">
        <f>VLOOKUP(Tabelle1420[[#This Row],[Chlor-Alkali-Elektrolyse]],Dropdown!$A$2:$D$4,4,FALSE)</f>
        <v>X</v>
      </c>
      <c r="I2" s="42" t="str">
        <f>VLOOKUP(Tabelle1420[[#This Row],[Elektrostahlherstellung 
(Lichtbogenofen)]],Dropdown!$A$2:$D$4,4,FALSE)</f>
        <v>X</v>
      </c>
      <c r="J2" s="42" t="str">
        <f>VLOOKUP(Tabelle1420[[#This Row],[Zementherstellung 
(Prozess gesamt)]],Dropdown!$A$2:$D$4,4,FALSE)</f>
        <v>X</v>
      </c>
      <c r="K2" s="42" t="str">
        <f>VLOOKUP(Tabelle1420[[#This Row],[Zementmühlen]],Dropdown!$A$2:$D$4,4,FALSE)</f>
        <v>-</v>
      </c>
      <c r="L2" s="42" t="str">
        <f>VLOOKUP(Tabelle1420[[#This Row],[Luftzerlegung]],Dropdown!$A$2:$D$4,4,FALSE)</f>
        <v>-</v>
      </c>
      <c r="M2" s="42" t="str">
        <f>VLOOKUP(Tabelle1420[[#This Row],[Kupfer- und Zinkherstellung 
(Elektrolyse)]],Dropdown!$A$2:$D$4,4,FALSE)</f>
        <v>-</v>
      </c>
      <c r="N2" s="42" t="str">
        <f>VLOOKUP(Tabelle1420[[#This Row],[Primärkupferherstellung 
(elektrolytische Kupferraffination)]],Dropdown!$A$2:$D$4,4,FALSE)</f>
        <v>-</v>
      </c>
      <c r="O2" s="42" t="str">
        <f>VLOOKUP(Tabelle1420[[#This Row],[Primärzinkherstellung 
(Nasschemische Elektrolyse)]],Dropdown!$A$2:$D$4,4,FALSE)</f>
        <v>-</v>
      </c>
      <c r="P2" s="42" t="str">
        <f>VLOOKUP(Tabelle1420[[#This Row],[Metallbearbeitung 
(Wärmebehandlung)]],Dropdown!$A$2:$D$4,4,FALSE)</f>
        <v>-</v>
      </c>
      <c r="Q2" s="42" t="str">
        <f>VLOOKUP(Tabelle1420[[#This Row],[Gießereien (Induktionsofen)]],Dropdown!$A$2:$D$4,4,FALSE)</f>
        <v>-</v>
      </c>
      <c r="R2" s="42" t="str">
        <f>VLOOKUP(Tabelle1420[[#This Row],[Calciumcarbid-Herstellung 
(Lichtbogenofen)]],Dropdown!$A$2:$D$4,4,FALSE)</f>
        <v>-</v>
      </c>
      <c r="S2" s="42" t="str">
        <f>VLOOKUP(Tabelle1420[[#This Row],[Ernährungsindustrie gesamt]],Dropdown!$A$2:$D$4,4,FALSE)</f>
        <v>-</v>
      </c>
      <c r="T2" s="42" t="str">
        <f>VLOOKUP(Tabelle1420[[#This Row],[Chemieindustrie gesamt]],Dropdown!$A$2:$D$4,4,FALSE)</f>
        <v>-</v>
      </c>
      <c r="U2" s="42" t="str">
        <f>VLOOKUP(Tabelle1420[[#This Row],[Kfz-Industrie gesamt]],Dropdown!$A$2:$D$4,4,FALSE)</f>
        <v>-</v>
      </c>
      <c r="V2" s="42" t="str">
        <f>VLOOKUP(Tabelle1420[[#This Row],[Maschinenbau gesamt]],Dropdown!$A$2:$D$4,4,FALSE)</f>
        <v>-</v>
      </c>
      <c r="W2" s="42" t="str">
        <f>VLOOKUP(Tabelle1420[[#This Row],[Glasindustrie gesamt]],Dropdown!$A$2:$D$4,4,FALSE)</f>
        <v>-</v>
      </c>
      <c r="X2" s="42" t="str">
        <f>VLOOKUP(Tabelle1420[[#This Row],[Behälterglasindustrie]],Dropdown!$A$2:$D$4,4,FALSE)</f>
        <v>-</v>
      </c>
      <c r="Y2" s="42" t="str">
        <f>VLOOKUP(Tabelle1420[[#This Row],[Silizium-Metall 
(Lichtbogenofen)]],Dropdown!$A$2:$D$4,4,FALSE)</f>
        <v>-</v>
      </c>
      <c r="Z2" s="42" t="str">
        <f>VLOOKUP(Tabelle1420[[#This Row],[Graphitelektroden 
(Graphitierungsofen)]],Dropdown!$A$2:$D$4,4,FALSE)</f>
        <v>-</v>
      </c>
    </row>
    <row r="3" spans="1:26" x14ac:dyDescent="0.25">
      <c r="A3" s="6">
        <v>2</v>
      </c>
      <c r="B3" s="42" t="str">
        <f>VLOOKUP(Tabelle1420[[#This Row],[Primäraluminiumelektrolyse]],Dropdown!$A$2:$D$4,4,FALSE)</f>
        <v>X</v>
      </c>
      <c r="C3" s="42" t="str">
        <f>VLOOKUP(Tabelle1420[[#This Row],[Papierherstellung 
(Prozess gesamt)]],Dropdown!$A$2:$D$4,4,FALSE)</f>
        <v>X</v>
      </c>
      <c r="D3" s="42" t="str">
        <f>VLOOKUP(Tabelle1420[[#This Row],[Holzstoff- und Zellstoffherstellung 
(Holzschleifer / Refiner)]],Dropdown!$A$2:$D$4,4,FALSE)</f>
        <v>-</v>
      </c>
      <c r="E3" s="42" t="str">
        <f>VLOOKUP(Tabelle1420[[#This Row],[Papiermaschinen]],Dropdown!$A$2:$D$4,4,FALSE)</f>
        <v>-</v>
      </c>
      <c r="F3" s="42" t="str">
        <f>VLOOKUP(Tabelle1420[[#This Row],[Altpapierrecycling (Pulper)]],Dropdown!$A$2:$D$4,4,FALSE)</f>
        <v>-</v>
      </c>
      <c r="G3" s="42" t="str">
        <f>VLOOKUP(Tabelle1420[[#This Row],[Papierveredelung 
(Streichmaschinen und Kalander)]],Dropdown!$A$2:$D$4,4,FALSE)</f>
        <v>-</v>
      </c>
      <c r="H3" s="42" t="str">
        <f>VLOOKUP(Tabelle1420[[#This Row],[Chlor-Alkali-Elektrolyse]],Dropdown!$A$2:$D$4,4,FALSE)</f>
        <v>X</v>
      </c>
      <c r="I3" s="42" t="str">
        <f>VLOOKUP(Tabelle1420[[#This Row],[Elektrostahlherstellung 
(Lichtbogenofen)]],Dropdown!$A$2:$D$4,4,FALSE)</f>
        <v>X</v>
      </c>
      <c r="J3" s="42" t="str">
        <f>VLOOKUP(Tabelle1420[[#This Row],[Zementherstellung 
(Prozess gesamt)]],Dropdown!$A$2:$D$4,4,FALSE)</f>
        <v>X</v>
      </c>
      <c r="K3" s="42" t="str">
        <f>VLOOKUP(Tabelle1420[[#This Row],[Zementmühlen]],Dropdown!$A$2:$D$4,4,FALSE)</f>
        <v>-</v>
      </c>
      <c r="L3" s="42" t="str">
        <f>VLOOKUP(Tabelle1420[[#This Row],[Luftzerlegung]],Dropdown!$A$2:$D$4,4,FALSE)</f>
        <v>X</v>
      </c>
      <c r="M3" s="42" t="str">
        <f>VLOOKUP(Tabelle1420[[#This Row],[Kupfer- und Zinkherstellung 
(Elektrolyse)]],Dropdown!$A$2:$D$4,4,FALSE)</f>
        <v>X</v>
      </c>
      <c r="N3" s="42" t="str">
        <f>VLOOKUP(Tabelle1420[[#This Row],[Primärkupferherstellung 
(elektrolytische Kupferraffination)]],Dropdown!$A$2:$D$4,4,FALSE)</f>
        <v>-</v>
      </c>
      <c r="O3" s="42" t="str">
        <f>VLOOKUP(Tabelle1420[[#This Row],[Primärzinkherstellung 
(Nasschemische Elektrolyse)]],Dropdown!$A$2:$D$4,4,FALSE)</f>
        <v>-</v>
      </c>
      <c r="P3" s="42" t="str">
        <f>VLOOKUP(Tabelle1420[[#This Row],[Metallbearbeitung 
(Wärmebehandlung)]],Dropdown!$A$2:$D$4,4,FALSE)</f>
        <v>-</v>
      </c>
      <c r="Q3" s="42" t="str">
        <f>VLOOKUP(Tabelle1420[[#This Row],[Gießereien (Induktionsofen)]],Dropdown!$A$2:$D$4,4,FALSE)</f>
        <v>-</v>
      </c>
      <c r="R3" s="42" t="str">
        <f>VLOOKUP(Tabelle1420[[#This Row],[Calciumcarbid-Herstellung 
(Lichtbogenofen)]],Dropdown!$A$2:$D$4,4,FALSE)</f>
        <v>-</v>
      </c>
      <c r="S3" s="42" t="str">
        <f>VLOOKUP(Tabelle1420[[#This Row],[Ernährungsindustrie gesamt]],Dropdown!$A$2:$D$4,4,FALSE)</f>
        <v>-</v>
      </c>
      <c r="T3" s="42" t="str">
        <f>VLOOKUP(Tabelle1420[[#This Row],[Chemieindustrie gesamt]],Dropdown!$A$2:$D$4,4,FALSE)</f>
        <v>-</v>
      </c>
      <c r="U3" s="42" t="str">
        <f>VLOOKUP(Tabelle1420[[#This Row],[Kfz-Industrie gesamt]],Dropdown!$A$2:$D$4,4,FALSE)</f>
        <v>-</v>
      </c>
      <c r="V3" s="42" t="str">
        <f>VLOOKUP(Tabelle1420[[#This Row],[Maschinenbau gesamt]],Dropdown!$A$2:$D$4,4,FALSE)</f>
        <v>-</v>
      </c>
      <c r="W3" s="42" t="str">
        <f>VLOOKUP(Tabelle1420[[#This Row],[Glasindustrie gesamt]],Dropdown!$A$2:$D$4,4,FALSE)</f>
        <v>-</v>
      </c>
      <c r="X3" s="42" t="str">
        <f>VLOOKUP(Tabelle1420[[#This Row],[Behälterglasindustrie]],Dropdown!$A$2:$D$4,4,FALSE)</f>
        <v>-</v>
      </c>
      <c r="Y3" s="42" t="str">
        <f>VLOOKUP(Tabelle1420[[#This Row],[Silizium-Metall 
(Lichtbogenofen)]],Dropdown!$A$2:$D$4,4,FALSE)</f>
        <v>-</v>
      </c>
      <c r="Z3" s="42" t="str">
        <f>VLOOKUP(Tabelle1420[[#This Row],[Graphitelektroden 
(Graphitierungsofen)]],Dropdown!$A$2:$D$4,4,FALSE)</f>
        <v>-</v>
      </c>
    </row>
    <row r="4" spans="1:26" x14ac:dyDescent="0.25">
      <c r="A4" s="6">
        <v>3</v>
      </c>
      <c r="B4" s="42" t="str">
        <f>VLOOKUP(Tabelle1420[[#This Row],[Primäraluminiumelektrolyse]],Dropdown!$A$2:$D$4,4,FALSE)</f>
        <v>X</v>
      </c>
      <c r="C4" s="42" t="str">
        <f>VLOOKUP(Tabelle1420[[#This Row],[Papierherstellung 
(Prozess gesamt)]],Dropdown!$A$2:$D$4,4,FALSE)</f>
        <v>X</v>
      </c>
      <c r="D4" s="42" t="str">
        <f>VLOOKUP(Tabelle1420[[#This Row],[Holzstoff- und Zellstoffherstellung 
(Holzschleifer / Refiner)]],Dropdown!$A$2:$D$4,4,FALSE)</f>
        <v>-</v>
      </c>
      <c r="E4" s="42" t="str">
        <f>VLOOKUP(Tabelle1420[[#This Row],[Papiermaschinen]],Dropdown!$A$2:$D$4,4,FALSE)</f>
        <v>-</v>
      </c>
      <c r="F4" s="42" t="str">
        <f>VLOOKUP(Tabelle1420[[#This Row],[Altpapierrecycling (Pulper)]],Dropdown!$A$2:$D$4,4,FALSE)</f>
        <v>-</v>
      </c>
      <c r="G4" s="42" t="str">
        <f>VLOOKUP(Tabelle1420[[#This Row],[Papierveredelung 
(Streichmaschinen und Kalander)]],Dropdown!$A$2:$D$4,4,FALSE)</f>
        <v>-</v>
      </c>
      <c r="H4" s="42" t="str">
        <f>VLOOKUP(Tabelle1420[[#This Row],[Chlor-Alkali-Elektrolyse]],Dropdown!$A$2:$D$4,4,FALSE)</f>
        <v>X</v>
      </c>
      <c r="I4" s="42" t="str">
        <f>VLOOKUP(Tabelle1420[[#This Row],[Elektrostahlherstellung 
(Lichtbogenofen)]],Dropdown!$A$2:$D$4,4,FALSE)</f>
        <v>X</v>
      </c>
      <c r="J4" s="42" t="str">
        <f>VLOOKUP(Tabelle1420[[#This Row],[Zementherstellung 
(Prozess gesamt)]],Dropdown!$A$2:$D$4,4,FALSE)</f>
        <v>X</v>
      </c>
      <c r="K4" s="42" t="str">
        <f>VLOOKUP(Tabelle1420[[#This Row],[Zementmühlen]],Dropdown!$A$2:$D$4,4,FALSE)</f>
        <v>-</v>
      </c>
      <c r="L4" s="42" t="str">
        <f>VLOOKUP(Tabelle1420[[#This Row],[Luftzerlegung]],Dropdown!$A$2:$D$4,4,FALSE)</f>
        <v>-</v>
      </c>
      <c r="M4" s="42" t="str">
        <f>VLOOKUP(Tabelle1420[[#This Row],[Kupfer- und Zinkherstellung 
(Elektrolyse)]],Dropdown!$A$2:$D$4,4,FALSE)</f>
        <v>-</v>
      </c>
      <c r="N4" s="42" t="str">
        <f>VLOOKUP(Tabelle1420[[#This Row],[Primärkupferherstellung 
(elektrolytische Kupferraffination)]],Dropdown!$A$2:$D$4,4,FALSE)</f>
        <v>-</v>
      </c>
      <c r="O4" s="42" t="str">
        <f>VLOOKUP(Tabelle1420[[#This Row],[Primärzinkherstellung 
(Nasschemische Elektrolyse)]],Dropdown!$A$2:$D$4,4,FALSE)</f>
        <v>-</v>
      </c>
      <c r="P4" s="42" t="str">
        <f>VLOOKUP(Tabelle1420[[#This Row],[Metallbearbeitung 
(Wärmebehandlung)]],Dropdown!$A$2:$D$4,4,FALSE)</f>
        <v>-</v>
      </c>
      <c r="Q4" s="42" t="str">
        <f>VLOOKUP(Tabelle1420[[#This Row],[Gießereien (Induktionsofen)]],Dropdown!$A$2:$D$4,4,FALSE)</f>
        <v>-</v>
      </c>
      <c r="R4" s="42" t="str">
        <f>VLOOKUP(Tabelle1420[[#This Row],[Calciumcarbid-Herstellung 
(Lichtbogenofen)]],Dropdown!$A$2:$D$4,4,FALSE)</f>
        <v>-</v>
      </c>
      <c r="S4" s="42" t="str">
        <f>VLOOKUP(Tabelle1420[[#This Row],[Ernährungsindustrie gesamt]],Dropdown!$A$2:$D$4,4,FALSE)</f>
        <v>-</v>
      </c>
      <c r="T4" s="42" t="str">
        <f>VLOOKUP(Tabelle1420[[#This Row],[Chemieindustrie gesamt]],Dropdown!$A$2:$D$4,4,FALSE)</f>
        <v>-</v>
      </c>
      <c r="U4" s="42" t="str">
        <f>VLOOKUP(Tabelle1420[[#This Row],[Kfz-Industrie gesamt]],Dropdown!$A$2:$D$4,4,FALSE)</f>
        <v>-</v>
      </c>
      <c r="V4" s="42" t="str">
        <f>VLOOKUP(Tabelle1420[[#This Row],[Maschinenbau gesamt]],Dropdown!$A$2:$D$4,4,FALSE)</f>
        <v>-</v>
      </c>
      <c r="W4" s="42" t="str">
        <f>VLOOKUP(Tabelle1420[[#This Row],[Glasindustrie gesamt]],Dropdown!$A$2:$D$4,4,FALSE)</f>
        <v>-</v>
      </c>
      <c r="X4" s="42" t="str">
        <f>VLOOKUP(Tabelle1420[[#This Row],[Behälterglasindustrie]],Dropdown!$A$2:$D$4,4,FALSE)</f>
        <v>-</v>
      </c>
      <c r="Y4" s="42" t="str">
        <f>VLOOKUP(Tabelle1420[[#This Row],[Silizium-Metall 
(Lichtbogenofen)]],Dropdown!$A$2:$D$4,4,FALSE)</f>
        <v>-</v>
      </c>
      <c r="Z4" s="42" t="str">
        <f>VLOOKUP(Tabelle1420[[#This Row],[Graphitelektroden 
(Graphitierungsofen)]],Dropdown!$A$2:$D$4,4,FALSE)</f>
        <v>-</v>
      </c>
    </row>
    <row r="5" spans="1:26" x14ac:dyDescent="0.25">
      <c r="A5" s="6">
        <v>4</v>
      </c>
      <c r="B5" s="42" t="str">
        <f>VLOOKUP(Tabelle1420[[#This Row],[Primäraluminiumelektrolyse]],Dropdown!$A$2:$D$4,4,FALSE)</f>
        <v>X</v>
      </c>
      <c r="C5" s="42" t="str">
        <f>VLOOKUP(Tabelle1420[[#This Row],[Papierherstellung 
(Prozess gesamt)]],Dropdown!$A$2:$D$4,4,FALSE)</f>
        <v>-</v>
      </c>
      <c r="D5" s="42" t="str">
        <f>VLOOKUP(Tabelle1420[[#This Row],[Holzstoff- und Zellstoffherstellung 
(Holzschleifer / Refiner)]],Dropdown!$A$2:$D$4,4,FALSE)</f>
        <v>X</v>
      </c>
      <c r="E5" s="42" t="str">
        <f>VLOOKUP(Tabelle1420[[#This Row],[Papiermaschinen]],Dropdown!$A$2:$D$4,4,FALSE)</f>
        <v>X</v>
      </c>
      <c r="F5" s="42" t="str">
        <f>VLOOKUP(Tabelle1420[[#This Row],[Altpapierrecycling (Pulper)]],Dropdown!$A$2:$D$4,4,FALSE)</f>
        <v>X</v>
      </c>
      <c r="G5" s="42" t="str">
        <f>VLOOKUP(Tabelle1420[[#This Row],[Papierveredelung 
(Streichmaschinen und Kalander)]],Dropdown!$A$2:$D$4,4,FALSE)</f>
        <v>X</v>
      </c>
      <c r="H5" s="42" t="str">
        <f>VLOOKUP(Tabelle1420[[#This Row],[Chlor-Alkali-Elektrolyse]],Dropdown!$A$2:$D$4,4,FALSE)</f>
        <v>X</v>
      </c>
      <c r="I5" s="42" t="str">
        <f>VLOOKUP(Tabelle1420[[#This Row],[Elektrostahlherstellung 
(Lichtbogenofen)]],Dropdown!$A$2:$D$4,4,FALSE)</f>
        <v>X</v>
      </c>
      <c r="J5" s="42" t="str">
        <f>VLOOKUP(Tabelle1420[[#This Row],[Zementherstellung 
(Prozess gesamt)]],Dropdown!$A$2:$D$4,4,FALSE)</f>
        <v>X</v>
      </c>
      <c r="K5" s="42" t="str">
        <f>VLOOKUP(Tabelle1420[[#This Row],[Zementmühlen]],Dropdown!$A$2:$D$4,4,FALSE)</f>
        <v>-</v>
      </c>
      <c r="L5" s="42" t="str">
        <f>VLOOKUP(Tabelle1420[[#This Row],[Luftzerlegung]],Dropdown!$A$2:$D$4,4,FALSE)</f>
        <v>X</v>
      </c>
      <c r="M5" s="42" t="str">
        <f>VLOOKUP(Tabelle1420[[#This Row],[Kupfer- und Zinkherstellung 
(Elektrolyse)]],Dropdown!$A$2:$D$4,4,FALSE)</f>
        <v>X</v>
      </c>
      <c r="N5" s="42" t="str">
        <f>VLOOKUP(Tabelle1420[[#This Row],[Primärkupferherstellung 
(elektrolytische Kupferraffination)]],Dropdown!$A$2:$D$4,4,FALSE)</f>
        <v>-</v>
      </c>
      <c r="O5" s="42" t="str">
        <f>VLOOKUP(Tabelle1420[[#This Row],[Primärzinkherstellung 
(Nasschemische Elektrolyse)]],Dropdown!$A$2:$D$4,4,FALSE)</f>
        <v>-</v>
      </c>
      <c r="P5" s="42" t="str">
        <f>VLOOKUP(Tabelle1420[[#This Row],[Metallbearbeitung 
(Wärmebehandlung)]],Dropdown!$A$2:$D$4,4,FALSE)</f>
        <v>X</v>
      </c>
      <c r="Q5" s="42" t="str">
        <f>VLOOKUP(Tabelle1420[[#This Row],[Gießereien (Induktionsofen)]],Dropdown!$A$2:$D$4,4,FALSE)</f>
        <v>X</v>
      </c>
      <c r="R5" s="42" t="str">
        <f>VLOOKUP(Tabelle1420[[#This Row],[Calciumcarbid-Herstellung 
(Lichtbogenofen)]],Dropdown!$A$2:$D$4,4,FALSE)</f>
        <v>-</v>
      </c>
      <c r="S5" s="42" t="str">
        <f>VLOOKUP(Tabelle1420[[#This Row],[Ernährungsindustrie gesamt]],Dropdown!$A$2:$D$4,4,FALSE)</f>
        <v>-</v>
      </c>
      <c r="T5" s="42" t="str">
        <f>VLOOKUP(Tabelle1420[[#This Row],[Chemieindustrie gesamt]],Dropdown!$A$2:$D$4,4,FALSE)</f>
        <v>-</v>
      </c>
      <c r="U5" s="42" t="str">
        <f>VLOOKUP(Tabelle1420[[#This Row],[Kfz-Industrie gesamt]],Dropdown!$A$2:$D$4,4,FALSE)</f>
        <v>-</v>
      </c>
      <c r="V5" s="42" t="str">
        <f>VLOOKUP(Tabelle1420[[#This Row],[Maschinenbau gesamt]],Dropdown!$A$2:$D$4,4,FALSE)</f>
        <v>-</v>
      </c>
      <c r="W5" s="42" t="str">
        <f>VLOOKUP(Tabelle1420[[#This Row],[Glasindustrie gesamt]],Dropdown!$A$2:$D$4,4,FALSE)</f>
        <v>-</v>
      </c>
      <c r="X5" s="42" t="str">
        <f>VLOOKUP(Tabelle1420[[#This Row],[Behälterglasindustrie]],Dropdown!$A$2:$D$4,4,FALSE)</f>
        <v>-</v>
      </c>
      <c r="Y5" s="42" t="str">
        <f>VLOOKUP(Tabelle1420[[#This Row],[Silizium-Metall 
(Lichtbogenofen)]],Dropdown!$A$2:$D$4,4,FALSE)</f>
        <v>-</v>
      </c>
      <c r="Z5" s="42" t="str">
        <f>VLOOKUP(Tabelle1420[[#This Row],[Graphitelektroden 
(Graphitierungsofen)]],Dropdown!$A$2:$D$4,4,FALSE)</f>
        <v>-</v>
      </c>
    </row>
    <row r="6" spans="1:26" x14ac:dyDescent="0.25">
      <c r="A6" s="6">
        <v>5</v>
      </c>
      <c r="B6" s="42" t="str">
        <f>VLOOKUP(Tabelle1420[[#This Row],[Primäraluminiumelektrolyse]],Dropdown!$A$2:$D$4,4,FALSE)</f>
        <v>X</v>
      </c>
      <c r="C6" s="42" t="str">
        <f>VLOOKUP(Tabelle1420[[#This Row],[Papierherstellung 
(Prozess gesamt)]],Dropdown!$A$2:$D$4,4,FALSE)</f>
        <v>-</v>
      </c>
      <c r="D6" s="42" t="str">
        <f>VLOOKUP(Tabelle1420[[#This Row],[Holzstoff- und Zellstoffherstellung 
(Holzschleifer / Refiner)]],Dropdown!$A$2:$D$4,4,FALSE)</f>
        <v>X</v>
      </c>
      <c r="E6" s="42" t="str">
        <f>VLOOKUP(Tabelle1420[[#This Row],[Papiermaschinen]],Dropdown!$A$2:$D$4,4,FALSE)</f>
        <v>X</v>
      </c>
      <c r="F6" s="42" t="str">
        <f>VLOOKUP(Tabelle1420[[#This Row],[Altpapierrecycling (Pulper)]],Dropdown!$A$2:$D$4,4,FALSE)</f>
        <v>X</v>
      </c>
      <c r="G6" s="42" t="str">
        <f>VLOOKUP(Tabelle1420[[#This Row],[Papierveredelung 
(Streichmaschinen und Kalander)]],Dropdown!$A$2:$D$4,4,FALSE)</f>
        <v>-</v>
      </c>
      <c r="H6" s="42" t="str">
        <f>VLOOKUP(Tabelle1420[[#This Row],[Chlor-Alkali-Elektrolyse]],Dropdown!$A$2:$D$4,4,FALSE)</f>
        <v>X</v>
      </c>
      <c r="I6" s="42" t="str">
        <f>VLOOKUP(Tabelle1420[[#This Row],[Elektrostahlherstellung 
(Lichtbogenofen)]],Dropdown!$A$2:$D$4,4,FALSE)</f>
        <v>X</v>
      </c>
      <c r="J6" s="42" t="str">
        <f>VLOOKUP(Tabelle1420[[#This Row],[Zementherstellung 
(Prozess gesamt)]],Dropdown!$A$2:$D$4,4,FALSE)</f>
        <v>X</v>
      </c>
      <c r="K6" s="42" t="str">
        <f>VLOOKUP(Tabelle1420[[#This Row],[Zementmühlen]],Dropdown!$A$2:$D$4,4,FALSE)</f>
        <v>-</v>
      </c>
      <c r="L6" s="42" t="str">
        <f>VLOOKUP(Tabelle1420[[#This Row],[Luftzerlegung]],Dropdown!$A$2:$D$4,4,FALSE)</f>
        <v>X</v>
      </c>
      <c r="M6" s="42" t="str">
        <f>VLOOKUP(Tabelle1420[[#This Row],[Kupfer- und Zinkherstellung 
(Elektrolyse)]],Dropdown!$A$2:$D$4,4,FALSE)</f>
        <v>-</v>
      </c>
      <c r="N6" s="42" t="str">
        <f>VLOOKUP(Tabelle1420[[#This Row],[Primärkupferherstellung 
(elektrolytische Kupferraffination)]],Dropdown!$A$2:$D$4,4,FALSE)</f>
        <v>X</v>
      </c>
      <c r="O6" s="42" t="str">
        <f>VLOOKUP(Tabelle1420[[#This Row],[Primärzinkherstellung 
(Nasschemische Elektrolyse)]],Dropdown!$A$2:$D$4,4,FALSE)</f>
        <v>X</v>
      </c>
      <c r="P6" s="42" t="str">
        <f>VLOOKUP(Tabelle1420[[#This Row],[Metallbearbeitung 
(Wärmebehandlung)]],Dropdown!$A$2:$D$4,4,FALSE)</f>
        <v>-</v>
      </c>
      <c r="Q6" s="42" t="str">
        <f>VLOOKUP(Tabelle1420[[#This Row],[Gießereien (Induktionsofen)]],Dropdown!$A$2:$D$4,4,FALSE)</f>
        <v>-</v>
      </c>
      <c r="R6" s="42" t="str">
        <f>VLOOKUP(Tabelle1420[[#This Row],[Calciumcarbid-Herstellung 
(Lichtbogenofen)]],Dropdown!$A$2:$D$4,4,FALSE)</f>
        <v>X</v>
      </c>
      <c r="S6" s="42" t="str">
        <f>VLOOKUP(Tabelle1420[[#This Row],[Ernährungsindustrie gesamt]],Dropdown!$A$2:$D$4,4,FALSE)</f>
        <v>-</v>
      </c>
      <c r="T6" s="42" t="str">
        <f>VLOOKUP(Tabelle1420[[#This Row],[Chemieindustrie gesamt]],Dropdown!$A$2:$D$4,4,FALSE)</f>
        <v>-</v>
      </c>
      <c r="U6" s="42" t="str">
        <f>VLOOKUP(Tabelle1420[[#This Row],[Kfz-Industrie gesamt]],Dropdown!$A$2:$D$4,4,FALSE)</f>
        <v>-</v>
      </c>
      <c r="V6" s="42" t="str">
        <f>VLOOKUP(Tabelle1420[[#This Row],[Maschinenbau gesamt]],Dropdown!$A$2:$D$4,4,FALSE)</f>
        <v>-</v>
      </c>
      <c r="W6" s="42" t="str">
        <f>VLOOKUP(Tabelle1420[[#This Row],[Glasindustrie gesamt]],Dropdown!$A$2:$D$4,4,FALSE)</f>
        <v>-</v>
      </c>
      <c r="X6" s="42" t="str">
        <f>VLOOKUP(Tabelle1420[[#This Row],[Behälterglasindustrie]],Dropdown!$A$2:$D$4,4,FALSE)</f>
        <v>-</v>
      </c>
      <c r="Y6" s="42" t="str">
        <f>VLOOKUP(Tabelle1420[[#This Row],[Silizium-Metall 
(Lichtbogenofen)]],Dropdown!$A$2:$D$4,4,FALSE)</f>
        <v>-</v>
      </c>
      <c r="Z6" s="42" t="str">
        <f>VLOOKUP(Tabelle1420[[#This Row],[Graphitelektroden 
(Graphitierungsofen)]],Dropdown!$A$2:$D$4,4,FALSE)</f>
        <v>-</v>
      </c>
    </row>
    <row r="7" spans="1:26" x14ac:dyDescent="0.25">
      <c r="A7" s="6">
        <v>6</v>
      </c>
      <c r="B7" s="42" t="str">
        <f>VLOOKUP(Tabelle1420[[#This Row],[Primäraluminiumelektrolyse]],Dropdown!$A$2:$D$4,4,FALSE)</f>
        <v>-</v>
      </c>
      <c r="C7" s="42" t="str">
        <f>VLOOKUP(Tabelle1420[[#This Row],[Papierherstellung 
(Prozess gesamt)]],Dropdown!$A$2:$D$4,4,FALSE)</f>
        <v>X</v>
      </c>
      <c r="D7" s="42" t="str">
        <f>VLOOKUP(Tabelle1420[[#This Row],[Holzstoff- und Zellstoffherstellung 
(Holzschleifer / Refiner)]],Dropdown!$A$2:$D$4,4,FALSE)</f>
        <v>-</v>
      </c>
      <c r="E7" s="42" t="str">
        <f>VLOOKUP(Tabelle1420[[#This Row],[Papiermaschinen]],Dropdown!$A$2:$D$4,4,FALSE)</f>
        <v>-</v>
      </c>
      <c r="F7" s="42" t="str">
        <f>VLOOKUP(Tabelle1420[[#This Row],[Altpapierrecycling (Pulper)]],Dropdown!$A$2:$D$4,4,FALSE)</f>
        <v>-</v>
      </c>
      <c r="G7" s="42" t="str">
        <f>VLOOKUP(Tabelle1420[[#This Row],[Papierveredelung 
(Streichmaschinen und Kalander)]],Dropdown!$A$2:$D$4,4,FALSE)</f>
        <v>-</v>
      </c>
      <c r="H7" s="42" t="str">
        <f>VLOOKUP(Tabelle1420[[#This Row],[Chlor-Alkali-Elektrolyse]],Dropdown!$A$2:$D$4,4,FALSE)</f>
        <v>-</v>
      </c>
      <c r="I7" s="42" t="str">
        <f>VLOOKUP(Tabelle1420[[#This Row],[Elektrostahlherstellung 
(Lichtbogenofen)]],Dropdown!$A$2:$D$4,4,FALSE)</f>
        <v>-</v>
      </c>
      <c r="J7" s="42" t="str">
        <f>VLOOKUP(Tabelle1420[[#This Row],[Zementherstellung 
(Prozess gesamt)]],Dropdown!$A$2:$D$4,4,FALSE)</f>
        <v>-</v>
      </c>
      <c r="K7" s="42" t="str">
        <f>VLOOKUP(Tabelle1420[[#This Row],[Zementmühlen]],Dropdown!$A$2:$D$4,4,FALSE)</f>
        <v>-</v>
      </c>
      <c r="L7" s="42" t="str">
        <f>VLOOKUP(Tabelle1420[[#This Row],[Luftzerlegung]],Dropdown!$A$2:$D$4,4,FALSE)</f>
        <v>-</v>
      </c>
      <c r="M7" s="42" t="str">
        <f>VLOOKUP(Tabelle1420[[#This Row],[Kupfer- und Zinkherstellung 
(Elektrolyse)]],Dropdown!$A$2:$D$4,4,FALSE)</f>
        <v>-</v>
      </c>
      <c r="N7" s="42" t="str">
        <f>VLOOKUP(Tabelle1420[[#This Row],[Primärkupferherstellung 
(elektrolytische Kupferraffination)]],Dropdown!$A$2:$D$4,4,FALSE)</f>
        <v>-</v>
      </c>
      <c r="O7" s="42" t="str">
        <f>VLOOKUP(Tabelle1420[[#This Row],[Primärzinkherstellung 
(Nasschemische Elektrolyse)]],Dropdown!$A$2:$D$4,4,FALSE)</f>
        <v>-</v>
      </c>
      <c r="P7" s="42" t="str">
        <f>VLOOKUP(Tabelle1420[[#This Row],[Metallbearbeitung 
(Wärmebehandlung)]],Dropdown!$A$2:$D$4,4,FALSE)</f>
        <v>-</v>
      </c>
      <c r="Q7" s="42" t="str">
        <f>VLOOKUP(Tabelle1420[[#This Row],[Gießereien (Induktionsofen)]],Dropdown!$A$2:$D$4,4,FALSE)</f>
        <v>-</v>
      </c>
      <c r="R7" s="42" t="str">
        <f>VLOOKUP(Tabelle1420[[#This Row],[Calciumcarbid-Herstellung 
(Lichtbogenofen)]],Dropdown!$A$2:$D$4,4,FALSE)</f>
        <v>-</v>
      </c>
      <c r="S7" s="42" t="str">
        <f>VLOOKUP(Tabelle1420[[#This Row],[Ernährungsindustrie gesamt]],Dropdown!$A$2:$D$4,4,FALSE)</f>
        <v>X</v>
      </c>
      <c r="T7" s="42" t="str">
        <f>VLOOKUP(Tabelle1420[[#This Row],[Chemieindustrie gesamt]],Dropdown!$A$2:$D$4,4,FALSE)</f>
        <v>X</v>
      </c>
      <c r="U7" s="42" t="str">
        <f>VLOOKUP(Tabelle1420[[#This Row],[Kfz-Industrie gesamt]],Dropdown!$A$2:$D$4,4,FALSE)</f>
        <v>X</v>
      </c>
      <c r="V7" s="42" t="str">
        <f>VLOOKUP(Tabelle1420[[#This Row],[Maschinenbau gesamt]],Dropdown!$A$2:$D$4,4,FALSE)</f>
        <v>X</v>
      </c>
      <c r="W7" s="42" t="str">
        <f>VLOOKUP(Tabelle1420[[#This Row],[Glasindustrie gesamt]],Dropdown!$A$2:$D$4,4,FALSE)</f>
        <v>X</v>
      </c>
      <c r="X7" s="42" t="str">
        <f>VLOOKUP(Tabelle1420[[#This Row],[Behälterglasindustrie]],Dropdown!$A$2:$D$4,4,FALSE)</f>
        <v>-</v>
      </c>
      <c r="Y7" s="42" t="str">
        <f>VLOOKUP(Tabelle1420[[#This Row],[Silizium-Metall 
(Lichtbogenofen)]],Dropdown!$A$2:$D$4,4,FALSE)</f>
        <v>-</v>
      </c>
      <c r="Z7" s="42" t="str">
        <f>VLOOKUP(Tabelle1420[[#This Row],[Graphitelektroden 
(Graphitierungsofen)]],Dropdown!$A$2:$D$4,4,FALSE)</f>
        <v>-</v>
      </c>
    </row>
    <row r="8" spans="1:26" x14ac:dyDescent="0.25">
      <c r="A8" s="6">
        <v>7</v>
      </c>
      <c r="B8" s="42" t="str">
        <f>VLOOKUP(Tabelle1420[[#This Row],[Primäraluminiumelektrolyse]],Dropdown!$A$2:$D$4,4,FALSE)</f>
        <v>-</v>
      </c>
      <c r="C8" s="42" t="str">
        <f>VLOOKUP(Tabelle1420[[#This Row],[Papierherstellung 
(Prozess gesamt)]],Dropdown!$A$2:$D$4,4,FALSE)</f>
        <v>X</v>
      </c>
      <c r="D8" s="42" t="str">
        <f>VLOOKUP(Tabelle1420[[#This Row],[Holzstoff- und Zellstoffherstellung 
(Holzschleifer / Refiner)]],Dropdown!$A$2:$D$4,4,FALSE)</f>
        <v>-</v>
      </c>
      <c r="E8" s="42" t="str">
        <f>VLOOKUP(Tabelle1420[[#This Row],[Papiermaschinen]],Dropdown!$A$2:$D$4,4,FALSE)</f>
        <v>-</v>
      </c>
      <c r="F8" s="42" t="str">
        <f>VLOOKUP(Tabelle1420[[#This Row],[Altpapierrecycling (Pulper)]],Dropdown!$A$2:$D$4,4,FALSE)</f>
        <v>-</v>
      </c>
      <c r="G8" s="42" t="str">
        <f>VLOOKUP(Tabelle1420[[#This Row],[Papierveredelung 
(Streichmaschinen und Kalander)]],Dropdown!$A$2:$D$4,4,FALSE)</f>
        <v>-</v>
      </c>
      <c r="H8" s="42" t="str">
        <f>VLOOKUP(Tabelle1420[[#This Row],[Chlor-Alkali-Elektrolyse]],Dropdown!$A$2:$D$4,4,FALSE)</f>
        <v>X</v>
      </c>
      <c r="I8" s="42" t="str">
        <f>VLOOKUP(Tabelle1420[[#This Row],[Elektrostahlherstellung 
(Lichtbogenofen)]],Dropdown!$A$2:$D$4,4,FALSE)</f>
        <v>X</v>
      </c>
      <c r="J8" s="42" t="str">
        <f>VLOOKUP(Tabelle1420[[#This Row],[Zementherstellung 
(Prozess gesamt)]],Dropdown!$A$2:$D$4,4,FALSE)</f>
        <v>X</v>
      </c>
      <c r="K8" s="42" t="str">
        <f>VLOOKUP(Tabelle1420[[#This Row],[Zementmühlen]],Dropdown!$A$2:$D$4,4,FALSE)</f>
        <v>-</v>
      </c>
      <c r="L8" s="42" t="str">
        <f>VLOOKUP(Tabelle1420[[#This Row],[Luftzerlegung]],Dropdown!$A$2:$D$4,4,FALSE)</f>
        <v>-</v>
      </c>
      <c r="M8" s="42" t="str">
        <f>VLOOKUP(Tabelle1420[[#This Row],[Kupfer- und Zinkherstellung 
(Elektrolyse)]],Dropdown!$A$2:$D$4,4,FALSE)</f>
        <v>-</v>
      </c>
      <c r="N8" s="42" t="str">
        <f>VLOOKUP(Tabelle1420[[#This Row],[Primärkupferherstellung 
(elektrolytische Kupferraffination)]],Dropdown!$A$2:$D$4,4,FALSE)</f>
        <v>-</v>
      </c>
      <c r="O8" s="42" t="str">
        <f>VLOOKUP(Tabelle1420[[#This Row],[Primärzinkherstellung 
(Nasschemische Elektrolyse)]],Dropdown!$A$2:$D$4,4,FALSE)</f>
        <v>-</v>
      </c>
      <c r="P8" s="42" t="str">
        <f>VLOOKUP(Tabelle1420[[#This Row],[Metallbearbeitung 
(Wärmebehandlung)]],Dropdown!$A$2:$D$4,4,FALSE)</f>
        <v>-</v>
      </c>
      <c r="Q8" s="42" t="str">
        <f>VLOOKUP(Tabelle1420[[#This Row],[Gießereien (Induktionsofen)]],Dropdown!$A$2:$D$4,4,FALSE)</f>
        <v>-</v>
      </c>
      <c r="R8" s="42" t="str">
        <f>VLOOKUP(Tabelle1420[[#This Row],[Calciumcarbid-Herstellung 
(Lichtbogenofen)]],Dropdown!$A$2:$D$4,4,FALSE)</f>
        <v>-</v>
      </c>
      <c r="S8" s="42" t="str">
        <f>VLOOKUP(Tabelle1420[[#This Row],[Ernährungsindustrie gesamt]],Dropdown!$A$2:$D$4,4,FALSE)</f>
        <v>-</v>
      </c>
      <c r="T8" s="42" t="str">
        <f>VLOOKUP(Tabelle1420[[#This Row],[Chemieindustrie gesamt]],Dropdown!$A$2:$D$4,4,FALSE)</f>
        <v>-</v>
      </c>
      <c r="U8" s="42" t="str">
        <f>VLOOKUP(Tabelle1420[[#This Row],[Kfz-Industrie gesamt]],Dropdown!$A$2:$D$4,4,FALSE)</f>
        <v>-</v>
      </c>
      <c r="V8" s="42" t="str">
        <f>VLOOKUP(Tabelle1420[[#This Row],[Maschinenbau gesamt]],Dropdown!$A$2:$D$4,4,FALSE)</f>
        <v>-</v>
      </c>
      <c r="W8" s="42" t="str">
        <f>VLOOKUP(Tabelle1420[[#This Row],[Glasindustrie gesamt]],Dropdown!$A$2:$D$4,4,FALSE)</f>
        <v>-</v>
      </c>
      <c r="X8" s="42" t="str">
        <f>VLOOKUP(Tabelle1420[[#This Row],[Behälterglasindustrie]],Dropdown!$A$2:$D$4,4,FALSE)</f>
        <v>-</v>
      </c>
      <c r="Y8" s="42" t="str">
        <f>VLOOKUP(Tabelle1420[[#This Row],[Silizium-Metall 
(Lichtbogenofen)]],Dropdown!$A$2:$D$4,4,FALSE)</f>
        <v>-</v>
      </c>
      <c r="Z8" s="42" t="str">
        <f>VLOOKUP(Tabelle1420[[#This Row],[Graphitelektroden 
(Graphitierungsofen)]],Dropdown!$A$2:$D$4,4,FALSE)</f>
        <v>-</v>
      </c>
    </row>
    <row r="9" spans="1:26" x14ac:dyDescent="0.25">
      <c r="A9" s="6">
        <v>8</v>
      </c>
      <c r="B9" s="42" t="str">
        <f>VLOOKUP(Tabelle1420[[#This Row],[Primäraluminiumelektrolyse]],Dropdown!$A$2:$D$4,4,FALSE)</f>
        <v>X</v>
      </c>
      <c r="C9" s="42" t="str">
        <f>VLOOKUP(Tabelle1420[[#This Row],[Papierherstellung 
(Prozess gesamt)]],Dropdown!$A$2:$D$4,4,FALSE)</f>
        <v>-</v>
      </c>
      <c r="D9" s="42" t="str">
        <f>VLOOKUP(Tabelle1420[[#This Row],[Holzstoff- und Zellstoffherstellung 
(Holzschleifer / Refiner)]],Dropdown!$A$2:$D$4,4,FALSE)</f>
        <v>X</v>
      </c>
      <c r="E9" s="42" t="str">
        <f>VLOOKUP(Tabelle1420[[#This Row],[Papiermaschinen]],Dropdown!$A$2:$D$4,4,FALSE)</f>
        <v>-</v>
      </c>
      <c r="F9" s="42" t="str">
        <f>VLOOKUP(Tabelle1420[[#This Row],[Altpapierrecycling (Pulper)]],Dropdown!$A$2:$D$4,4,FALSE)</f>
        <v>-</v>
      </c>
      <c r="G9" s="42" t="str">
        <f>VLOOKUP(Tabelle1420[[#This Row],[Papierveredelung 
(Streichmaschinen und Kalander)]],Dropdown!$A$2:$D$4,4,FALSE)</f>
        <v>-</v>
      </c>
      <c r="H9" s="42" t="str">
        <f>VLOOKUP(Tabelle1420[[#This Row],[Chlor-Alkali-Elektrolyse]],Dropdown!$A$2:$D$4,4,FALSE)</f>
        <v>X</v>
      </c>
      <c r="I9" s="42" t="str">
        <f>VLOOKUP(Tabelle1420[[#This Row],[Elektrostahlherstellung 
(Lichtbogenofen)]],Dropdown!$A$2:$D$4,4,FALSE)</f>
        <v>X</v>
      </c>
      <c r="J9" s="42" t="str">
        <f>VLOOKUP(Tabelle1420[[#This Row],[Zementherstellung 
(Prozess gesamt)]],Dropdown!$A$2:$D$4,4,FALSE)</f>
        <v>X</v>
      </c>
      <c r="K9" s="42" t="str">
        <f>VLOOKUP(Tabelle1420[[#This Row],[Zementmühlen]],Dropdown!$A$2:$D$4,4,FALSE)</f>
        <v>-</v>
      </c>
      <c r="L9" s="42" t="str">
        <f>VLOOKUP(Tabelle1420[[#This Row],[Luftzerlegung]],Dropdown!$A$2:$D$4,4,FALSE)</f>
        <v>-</v>
      </c>
      <c r="M9" s="42" t="str">
        <f>VLOOKUP(Tabelle1420[[#This Row],[Kupfer- und Zinkherstellung 
(Elektrolyse)]],Dropdown!$A$2:$D$4,4,FALSE)</f>
        <v>-</v>
      </c>
      <c r="N9" s="42" t="str">
        <f>VLOOKUP(Tabelle1420[[#This Row],[Primärkupferherstellung 
(elektrolytische Kupferraffination)]],Dropdown!$A$2:$D$4,4,FALSE)</f>
        <v>-</v>
      </c>
      <c r="O9" s="42" t="str">
        <f>VLOOKUP(Tabelle1420[[#This Row],[Primärzinkherstellung 
(Nasschemische Elektrolyse)]],Dropdown!$A$2:$D$4,4,FALSE)</f>
        <v>-</v>
      </c>
      <c r="P9" s="42" t="str">
        <f>VLOOKUP(Tabelle1420[[#This Row],[Metallbearbeitung 
(Wärmebehandlung)]],Dropdown!$A$2:$D$4,4,FALSE)</f>
        <v>-</v>
      </c>
      <c r="Q9" s="42" t="str">
        <f>VLOOKUP(Tabelle1420[[#This Row],[Gießereien (Induktionsofen)]],Dropdown!$A$2:$D$4,4,FALSE)</f>
        <v>-</v>
      </c>
      <c r="R9" s="42" t="str">
        <f>VLOOKUP(Tabelle1420[[#This Row],[Calciumcarbid-Herstellung 
(Lichtbogenofen)]],Dropdown!$A$2:$D$4,4,FALSE)</f>
        <v>-</v>
      </c>
      <c r="S9" s="42" t="str">
        <f>VLOOKUP(Tabelle1420[[#This Row],[Ernährungsindustrie gesamt]],Dropdown!$A$2:$D$4,4,FALSE)</f>
        <v>-</v>
      </c>
      <c r="T9" s="42" t="str">
        <f>VLOOKUP(Tabelle1420[[#This Row],[Chemieindustrie gesamt]],Dropdown!$A$2:$D$4,4,FALSE)</f>
        <v>-</v>
      </c>
      <c r="U9" s="42" t="str">
        <f>VLOOKUP(Tabelle1420[[#This Row],[Kfz-Industrie gesamt]],Dropdown!$A$2:$D$4,4,FALSE)</f>
        <v>-</v>
      </c>
      <c r="V9" s="42" t="str">
        <f>VLOOKUP(Tabelle1420[[#This Row],[Maschinenbau gesamt]],Dropdown!$A$2:$D$4,4,FALSE)</f>
        <v>-</v>
      </c>
      <c r="W9" s="42" t="str">
        <f>VLOOKUP(Tabelle1420[[#This Row],[Glasindustrie gesamt]],Dropdown!$A$2:$D$4,4,FALSE)</f>
        <v>-</v>
      </c>
      <c r="X9" s="42" t="str">
        <f>VLOOKUP(Tabelle1420[[#This Row],[Behälterglasindustrie]],Dropdown!$A$2:$D$4,4,FALSE)</f>
        <v>-</v>
      </c>
      <c r="Y9" s="42" t="str">
        <f>VLOOKUP(Tabelle1420[[#This Row],[Silizium-Metall 
(Lichtbogenofen)]],Dropdown!$A$2:$D$4,4,FALSE)</f>
        <v>-</v>
      </c>
      <c r="Z9" s="42" t="str">
        <f>VLOOKUP(Tabelle1420[[#This Row],[Graphitelektroden 
(Graphitierungsofen)]],Dropdown!$A$2:$D$4,4,FALSE)</f>
        <v>-</v>
      </c>
    </row>
    <row r="10" spans="1:26" x14ac:dyDescent="0.25">
      <c r="A10" s="6">
        <v>9</v>
      </c>
      <c r="B10" s="42" t="str">
        <f>VLOOKUP(Tabelle1420[[#This Row],[Primäraluminiumelektrolyse]],Dropdown!$A$2:$D$4,4,FALSE)</f>
        <v>X</v>
      </c>
      <c r="C10" s="42" t="str">
        <f>VLOOKUP(Tabelle1420[[#This Row],[Papierherstellung 
(Prozess gesamt)]],Dropdown!$A$2:$D$4,4,FALSE)</f>
        <v>-</v>
      </c>
      <c r="D10" s="42" t="str">
        <f>VLOOKUP(Tabelle1420[[#This Row],[Holzstoff- und Zellstoffherstellung 
(Holzschleifer / Refiner)]],Dropdown!$A$2:$D$4,4,FALSE)</f>
        <v>X</v>
      </c>
      <c r="E10" s="42" t="str">
        <f>VLOOKUP(Tabelle1420[[#This Row],[Papiermaschinen]],Dropdown!$A$2:$D$4,4,FALSE)</f>
        <v>-</v>
      </c>
      <c r="F10" s="42" t="str">
        <f>VLOOKUP(Tabelle1420[[#This Row],[Altpapierrecycling (Pulper)]],Dropdown!$A$2:$D$4,4,FALSE)</f>
        <v>-</v>
      </c>
      <c r="G10" s="42" t="str">
        <f>VLOOKUP(Tabelle1420[[#This Row],[Papierveredelung 
(Streichmaschinen und Kalander)]],Dropdown!$A$2:$D$4,4,FALSE)</f>
        <v>-</v>
      </c>
      <c r="H10" s="42" t="str">
        <f>VLOOKUP(Tabelle1420[[#This Row],[Chlor-Alkali-Elektrolyse]],Dropdown!$A$2:$D$4,4,FALSE)</f>
        <v>X</v>
      </c>
      <c r="I10" s="42" t="str">
        <f>VLOOKUP(Tabelle1420[[#This Row],[Elektrostahlherstellung 
(Lichtbogenofen)]],Dropdown!$A$2:$D$4,4,FALSE)</f>
        <v>X</v>
      </c>
      <c r="J10" s="42" t="str">
        <f>VLOOKUP(Tabelle1420[[#This Row],[Zementherstellung 
(Prozess gesamt)]],Dropdown!$A$2:$D$4,4,FALSE)</f>
        <v>-</v>
      </c>
      <c r="K10" s="42" t="str">
        <f>VLOOKUP(Tabelle1420[[#This Row],[Zementmühlen]],Dropdown!$A$2:$D$4,4,FALSE)</f>
        <v>-</v>
      </c>
      <c r="L10" s="42" t="str">
        <f>VLOOKUP(Tabelle1420[[#This Row],[Luftzerlegung]],Dropdown!$A$2:$D$4,4,FALSE)</f>
        <v>-</v>
      </c>
      <c r="M10" s="42" t="str">
        <f>VLOOKUP(Tabelle1420[[#This Row],[Kupfer- und Zinkherstellung 
(Elektrolyse)]],Dropdown!$A$2:$D$4,4,FALSE)</f>
        <v>X</v>
      </c>
      <c r="N10" s="42" t="str">
        <f>VLOOKUP(Tabelle1420[[#This Row],[Primärkupferherstellung 
(elektrolytische Kupferraffination)]],Dropdown!$A$2:$D$4,4,FALSE)</f>
        <v>-</v>
      </c>
      <c r="O10" s="42" t="str">
        <f>VLOOKUP(Tabelle1420[[#This Row],[Primärzinkherstellung 
(Nasschemische Elektrolyse)]],Dropdown!$A$2:$D$4,4,FALSE)</f>
        <v>-</v>
      </c>
      <c r="P10" s="42" t="str">
        <f>VLOOKUP(Tabelle1420[[#This Row],[Metallbearbeitung 
(Wärmebehandlung)]],Dropdown!$A$2:$D$4,4,FALSE)</f>
        <v>-</v>
      </c>
      <c r="Q10" s="42" t="str">
        <f>VLOOKUP(Tabelle1420[[#This Row],[Gießereien (Induktionsofen)]],Dropdown!$A$2:$D$4,4,FALSE)</f>
        <v>-</v>
      </c>
      <c r="R10" s="42" t="str">
        <f>VLOOKUP(Tabelle1420[[#This Row],[Calciumcarbid-Herstellung 
(Lichtbogenofen)]],Dropdown!$A$2:$D$4,4,FALSE)</f>
        <v>-</v>
      </c>
      <c r="S10" s="42" t="str">
        <f>VLOOKUP(Tabelle1420[[#This Row],[Ernährungsindustrie gesamt]],Dropdown!$A$2:$D$4,4,FALSE)</f>
        <v>-</v>
      </c>
      <c r="T10" s="42" t="str">
        <f>VLOOKUP(Tabelle1420[[#This Row],[Chemieindustrie gesamt]],Dropdown!$A$2:$D$4,4,FALSE)</f>
        <v>-</v>
      </c>
      <c r="U10" s="42" t="str">
        <f>VLOOKUP(Tabelle1420[[#This Row],[Kfz-Industrie gesamt]],Dropdown!$A$2:$D$4,4,FALSE)</f>
        <v>-</v>
      </c>
      <c r="V10" s="42" t="str">
        <f>VLOOKUP(Tabelle1420[[#This Row],[Maschinenbau gesamt]],Dropdown!$A$2:$D$4,4,FALSE)</f>
        <v>-</v>
      </c>
      <c r="W10" s="42" t="str">
        <f>VLOOKUP(Tabelle1420[[#This Row],[Glasindustrie gesamt]],Dropdown!$A$2:$D$4,4,FALSE)</f>
        <v>-</v>
      </c>
      <c r="X10" s="42" t="str">
        <f>VLOOKUP(Tabelle1420[[#This Row],[Behälterglasindustrie]],Dropdown!$A$2:$D$4,4,FALSE)</f>
        <v>-</v>
      </c>
      <c r="Y10" s="42" t="str">
        <f>VLOOKUP(Tabelle1420[[#This Row],[Silizium-Metall 
(Lichtbogenofen)]],Dropdown!$A$2:$D$4,4,FALSE)</f>
        <v>-</v>
      </c>
      <c r="Z10" s="42" t="str">
        <f>VLOOKUP(Tabelle1420[[#This Row],[Graphitelektroden 
(Graphitierungsofen)]],Dropdown!$A$2:$D$4,4,FALSE)</f>
        <v>-</v>
      </c>
    </row>
    <row r="11" spans="1:26" x14ac:dyDescent="0.25">
      <c r="A11" s="6">
        <v>10</v>
      </c>
      <c r="B11" s="42" t="str">
        <f>VLOOKUP(Tabelle1420[[#This Row],[Primäraluminiumelektrolyse]],Dropdown!$A$2:$D$4,4,FALSE)</f>
        <v>-</v>
      </c>
      <c r="C11" s="42" t="str">
        <f>VLOOKUP(Tabelle1420[[#This Row],[Papierherstellung 
(Prozess gesamt)]],Dropdown!$A$2:$D$4,4,FALSE)</f>
        <v>-</v>
      </c>
      <c r="D11" s="42" t="str">
        <f>VLOOKUP(Tabelle1420[[#This Row],[Holzstoff- und Zellstoffherstellung 
(Holzschleifer / Refiner)]],Dropdown!$A$2:$D$4,4,FALSE)</f>
        <v>-</v>
      </c>
      <c r="E11" s="42" t="str">
        <f>VLOOKUP(Tabelle1420[[#This Row],[Papiermaschinen]],Dropdown!$A$2:$D$4,4,FALSE)</f>
        <v>-</v>
      </c>
      <c r="F11" s="42" t="str">
        <f>VLOOKUP(Tabelle1420[[#This Row],[Altpapierrecycling (Pulper)]],Dropdown!$A$2:$D$4,4,FALSE)</f>
        <v>-</v>
      </c>
      <c r="G11" s="42" t="str">
        <f>VLOOKUP(Tabelle1420[[#This Row],[Papierveredelung 
(Streichmaschinen und Kalander)]],Dropdown!$A$2:$D$4,4,FALSE)</f>
        <v>-</v>
      </c>
      <c r="H11" s="42" t="str">
        <f>VLOOKUP(Tabelle1420[[#This Row],[Chlor-Alkali-Elektrolyse]],Dropdown!$A$2:$D$4,4,FALSE)</f>
        <v>-</v>
      </c>
      <c r="I11" s="42" t="str">
        <f>VLOOKUP(Tabelle1420[[#This Row],[Elektrostahlherstellung 
(Lichtbogenofen)]],Dropdown!$A$2:$D$4,4,FALSE)</f>
        <v>-</v>
      </c>
      <c r="J11" s="42" t="str">
        <f>VLOOKUP(Tabelle1420[[#This Row],[Zementherstellung 
(Prozess gesamt)]],Dropdown!$A$2:$D$4,4,FALSE)</f>
        <v>-</v>
      </c>
      <c r="K11" s="42" t="str">
        <f>VLOOKUP(Tabelle1420[[#This Row],[Zementmühlen]],Dropdown!$A$2:$D$4,4,FALSE)</f>
        <v>-</v>
      </c>
      <c r="L11" s="42" t="str">
        <f>VLOOKUP(Tabelle1420[[#This Row],[Luftzerlegung]],Dropdown!$A$2:$D$4,4,FALSE)</f>
        <v>-</v>
      </c>
      <c r="M11" s="42" t="str">
        <f>VLOOKUP(Tabelle1420[[#This Row],[Kupfer- und Zinkherstellung 
(Elektrolyse)]],Dropdown!$A$2:$D$4,4,FALSE)</f>
        <v>-</v>
      </c>
      <c r="N11" s="42" t="str">
        <f>VLOOKUP(Tabelle1420[[#This Row],[Primärkupferherstellung 
(elektrolytische Kupferraffination)]],Dropdown!$A$2:$D$4,4,FALSE)</f>
        <v>-</v>
      </c>
      <c r="O11" s="42" t="str">
        <f>VLOOKUP(Tabelle1420[[#This Row],[Primärzinkherstellung 
(Nasschemische Elektrolyse)]],Dropdown!$A$2:$D$4,4,FALSE)</f>
        <v>-</v>
      </c>
      <c r="P11" s="42" t="str">
        <f>VLOOKUP(Tabelle1420[[#This Row],[Metallbearbeitung 
(Wärmebehandlung)]],Dropdown!$A$2:$D$4,4,FALSE)</f>
        <v>-</v>
      </c>
      <c r="Q11" s="42" t="str">
        <f>VLOOKUP(Tabelle1420[[#This Row],[Gießereien (Induktionsofen)]],Dropdown!$A$2:$D$4,4,FALSE)</f>
        <v>-</v>
      </c>
      <c r="R11" s="42" t="str">
        <f>VLOOKUP(Tabelle1420[[#This Row],[Calciumcarbid-Herstellung 
(Lichtbogenofen)]],Dropdown!$A$2:$D$4,4,FALSE)</f>
        <v>-</v>
      </c>
      <c r="S11" s="42" t="str">
        <f>VLOOKUP(Tabelle1420[[#This Row],[Ernährungsindustrie gesamt]],Dropdown!$A$2:$D$4,4,FALSE)</f>
        <v>-</v>
      </c>
      <c r="T11" s="42" t="str">
        <f>VLOOKUP(Tabelle1420[[#This Row],[Chemieindustrie gesamt]],Dropdown!$A$2:$D$4,4,FALSE)</f>
        <v>-</v>
      </c>
      <c r="U11" s="42" t="str">
        <f>VLOOKUP(Tabelle1420[[#This Row],[Kfz-Industrie gesamt]],Dropdown!$A$2:$D$4,4,FALSE)</f>
        <v>-</v>
      </c>
      <c r="V11" s="42" t="str">
        <f>VLOOKUP(Tabelle1420[[#This Row],[Maschinenbau gesamt]],Dropdown!$A$2:$D$4,4,FALSE)</f>
        <v>-</v>
      </c>
      <c r="W11" s="42" t="str">
        <f>VLOOKUP(Tabelle1420[[#This Row],[Glasindustrie gesamt]],Dropdown!$A$2:$D$4,4,FALSE)</f>
        <v>-</v>
      </c>
      <c r="X11" s="42" t="str">
        <f>VLOOKUP(Tabelle1420[[#This Row],[Behälterglasindustrie]],Dropdown!$A$2:$D$4,4,FALSE)</f>
        <v>-</v>
      </c>
      <c r="Y11" s="42" t="str">
        <f>VLOOKUP(Tabelle1420[[#This Row],[Silizium-Metall 
(Lichtbogenofen)]],Dropdown!$A$2:$D$4,4,FALSE)</f>
        <v>-</v>
      </c>
      <c r="Z11" s="42" t="str">
        <f>VLOOKUP(Tabelle1420[[#This Row],[Graphitelektroden 
(Graphitierungsofen)]],Dropdown!$A$2:$D$4,4,FALSE)</f>
        <v>-</v>
      </c>
    </row>
    <row r="12" spans="1:26" x14ac:dyDescent="0.25">
      <c r="A12" s="6">
        <v>11</v>
      </c>
      <c r="B12" s="42" t="str">
        <f>VLOOKUP(Tabelle1420[[#This Row],[Primäraluminiumelektrolyse]],Dropdown!$A$2:$D$4,4,FALSE)</f>
        <v>X</v>
      </c>
      <c r="C12" s="42" t="str">
        <f>VLOOKUP(Tabelle1420[[#This Row],[Papierherstellung 
(Prozess gesamt)]],Dropdown!$A$2:$D$4,4,FALSE)</f>
        <v>-</v>
      </c>
      <c r="D12" s="42" t="str">
        <f>VLOOKUP(Tabelle1420[[#This Row],[Holzstoff- und Zellstoffherstellung 
(Holzschleifer / Refiner)]],Dropdown!$A$2:$D$4,4,FALSE)</f>
        <v>X</v>
      </c>
      <c r="E12" s="42" t="str">
        <f>VLOOKUP(Tabelle1420[[#This Row],[Papiermaschinen]],Dropdown!$A$2:$D$4,4,FALSE)</f>
        <v>X</v>
      </c>
      <c r="F12" s="42" t="str">
        <f>VLOOKUP(Tabelle1420[[#This Row],[Altpapierrecycling (Pulper)]],Dropdown!$A$2:$D$4,4,FALSE)</f>
        <v>X</v>
      </c>
      <c r="G12" s="42" t="str">
        <f>VLOOKUP(Tabelle1420[[#This Row],[Papierveredelung 
(Streichmaschinen und Kalander)]],Dropdown!$A$2:$D$4,4,FALSE)</f>
        <v>X</v>
      </c>
      <c r="H12" s="42" t="str">
        <f>VLOOKUP(Tabelle1420[[#This Row],[Chlor-Alkali-Elektrolyse]],Dropdown!$A$2:$D$4,4,FALSE)</f>
        <v>X</v>
      </c>
      <c r="I12" s="42" t="str">
        <f>VLOOKUP(Tabelle1420[[#This Row],[Elektrostahlherstellung 
(Lichtbogenofen)]],Dropdown!$A$2:$D$4,4,FALSE)</f>
        <v>X</v>
      </c>
      <c r="J12" s="42" t="str">
        <f>VLOOKUP(Tabelle1420[[#This Row],[Zementherstellung 
(Prozess gesamt)]],Dropdown!$A$2:$D$4,4,FALSE)</f>
        <v>X</v>
      </c>
      <c r="K12" s="42" t="str">
        <f>VLOOKUP(Tabelle1420[[#This Row],[Zementmühlen]],Dropdown!$A$2:$D$4,4,FALSE)</f>
        <v>-</v>
      </c>
      <c r="L12" s="42" t="str">
        <f>VLOOKUP(Tabelle1420[[#This Row],[Luftzerlegung]],Dropdown!$A$2:$D$4,4,FALSE)</f>
        <v>X</v>
      </c>
      <c r="M12" s="42" t="str">
        <f>VLOOKUP(Tabelle1420[[#This Row],[Kupfer- und Zinkherstellung 
(Elektrolyse)]],Dropdown!$A$2:$D$4,4,FALSE)</f>
        <v>-</v>
      </c>
      <c r="N12" s="42" t="str">
        <f>VLOOKUP(Tabelle1420[[#This Row],[Primärkupferherstellung 
(elektrolytische Kupferraffination)]],Dropdown!$A$2:$D$4,4,FALSE)</f>
        <v>X</v>
      </c>
      <c r="O12" s="42" t="str">
        <f>VLOOKUP(Tabelle1420[[#This Row],[Primärzinkherstellung 
(Nasschemische Elektrolyse)]],Dropdown!$A$2:$D$4,4,FALSE)</f>
        <v>X</v>
      </c>
      <c r="P12" s="42" t="str">
        <f>VLOOKUP(Tabelle1420[[#This Row],[Metallbearbeitung 
(Wärmebehandlung)]],Dropdown!$A$2:$D$4,4,FALSE)</f>
        <v>-</v>
      </c>
      <c r="Q12" s="42" t="str">
        <f>VLOOKUP(Tabelle1420[[#This Row],[Gießereien (Induktionsofen)]],Dropdown!$A$2:$D$4,4,FALSE)</f>
        <v>-</v>
      </c>
      <c r="R12" s="42" t="str">
        <f>VLOOKUP(Tabelle1420[[#This Row],[Calciumcarbid-Herstellung 
(Lichtbogenofen)]],Dropdown!$A$2:$D$4,4,FALSE)</f>
        <v>-</v>
      </c>
      <c r="S12" s="42" t="str">
        <f>VLOOKUP(Tabelle1420[[#This Row],[Ernährungsindustrie gesamt]],Dropdown!$A$2:$D$4,4,FALSE)</f>
        <v>-</v>
      </c>
      <c r="T12" s="42" t="str">
        <f>VLOOKUP(Tabelle1420[[#This Row],[Chemieindustrie gesamt]],Dropdown!$A$2:$D$4,4,FALSE)</f>
        <v>-</v>
      </c>
      <c r="U12" s="42" t="str">
        <f>VLOOKUP(Tabelle1420[[#This Row],[Kfz-Industrie gesamt]],Dropdown!$A$2:$D$4,4,FALSE)</f>
        <v>-</v>
      </c>
      <c r="V12" s="42" t="str">
        <f>VLOOKUP(Tabelle1420[[#This Row],[Maschinenbau gesamt]],Dropdown!$A$2:$D$4,4,FALSE)</f>
        <v>-</v>
      </c>
      <c r="W12" s="42" t="str">
        <f>VLOOKUP(Tabelle1420[[#This Row],[Glasindustrie gesamt]],Dropdown!$A$2:$D$4,4,FALSE)</f>
        <v>-</v>
      </c>
      <c r="X12" s="42" t="str">
        <f>VLOOKUP(Tabelle1420[[#This Row],[Behälterglasindustrie]],Dropdown!$A$2:$D$4,4,FALSE)</f>
        <v>-</v>
      </c>
      <c r="Y12" s="42" t="str">
        <f>VLOOKUP(Tabelle1420[[#This Row],[Silizium-Metall 
(Lichtbogenofen)]],Dropdown!$A$2:$D$4,4,FALSE)</f>
        <v>-</v>
      </c>
      <c r="Z12" s="42" t="str">
        <f>VLOOKUP(Tabelle1420[[#This Row],[Graphitelektroden 
(Graphitierungsofen)]],Dropdown!$A$2:$D$4,4,FALSE)</f>
        <v>-</v>
      </c>
    </row>
    <row r="13" spans="1:26" x14ac:dyDescent="0.25">
      <c r="A13" s="6">
        <v>12</v>
      </c>
      <c r="B13" s="42" t="str">
        <f>VLOOKUP(Tabelle1420[[#This Row],[Primäraluminiumelektrolyse]],Dropdown!$A$2:$D$4,4,FALSE)</f>
        <v>X</v>
      </c>
      <c r="C13" s="42" t="str">
        <f>VLOOKUP(Tabelle1420[[#This Row],[Papierherstellung 
(Prozess gesamt)]],Dropdown!$A$2:$D$4,4,FALSE)</f>
        <v>-</v>
      </c>
      <c r="D13" s="42" t="str">
        <f>VLOOKUP(Tabelle1420[[#This Row],[Holzstoff- und Zellstoffherstellung 
(Holzschleifer / Refiner)]],Dropdown!$A$2:$D$4,4,FALSE)</f>
        <v>X</v>
      </c>
      <c r="E13" s="42" t="str">
        <f>VLOOKUP(Tabelle1420[[#This Row],[Papiermaschinen]],Dropdown!$A$2:$D$4,4,FALSE)</f>
        <v>-</v>
      </c>
      <c r="F13" s="42" t="str">
        <f>VLOOKUP(Tabelle1420[[#This Row],[Altpapierrecycling (Pulper)]],Dropdown!$A$2:$D$4,4,FALSE)</f>
        <v>X</v>
      </c>
      <c r="G13" s="42" t="str">
        <f>VLOOKUP(Tabelle1420[[#This Row],[Papierveredelung 
(Streichmaschinen und Kalander)]],Dropdown!$A$2:$D$4,4,FALSE)</f>
        <v>-</v>
      </c>
      <c r="H13" s="42" t="str">
        <f>VLOOKUP(Tabelle1420[[#This Row],[Chlor-Alkali-Elektrolyse]],Dropdown!$A$2:$D$4,4,FALSE)</f>
        <v>X</v>
      </c>
      <c r="I13" s="42" t="str">
        <f>VLOOKUP(Tabelle1420[[#This Row],[Elektrostahlherstellung 
(Lichtbogenofen)]],Dropdown!$A$2:$D$4,4,FALSE)</f>
        <v>X</v>
      </c>
      <c r="J13" s="42" t="str">
        <f>VLOOKUP(Tabelle1420[[#This Row],[Zementherstellung 
(Prozess gesamt)]],Dropdown!$A$2:$D$4,4,FALSE)</f>
        <v>X</v>
      </c>
      <c r="K13" s="42" t="str">
        <f>VLOOKUP(Tabelle1420[[#This Row],[Zementmühlen]],Dropdown!$A$2:$D$4,4,FALSE)</f>
        <v>-</v>
      </c>
      <c r="L13" s="42" t="str">
        <f>VLOOKUP(Tabelle1420[[#This Row],[Luftzerlegung]],Dropdown!$A$2:$D$4,4,FALSE)</f>
        <v>(X)</v>
      </c>
      <c r="M13" s="42" t="str">
        <f>VLOOKUP(Tabelle1420[[#This Row],[Kupfer- und Zinkherstellung 
(Elektrolyse)]],Dropdown!$A$2:$D$4,4,FALSE)</f>
        <v>-</v>
      </c>
      <c r="N13" s="42" t="str">
        <f>VLOOKUP(Tabelle1420[[#This Row],[Primärkupferherstellung 
(elektrolytische Kupferraffination)]],Dropdown!$A$2:$D$4,4,FALSE)</f>
        <v>-</v>
      </c>
      <c r="O13" s="42" t="str">
        <f>VLOOKUP(Tabelle1420[[#This Row],[Primärzinkherstellung 
(Nasschemische Elektrolyse)]],Dropdown!$A$2:$D$4,4,FALSE)</f>
        <v>-</v>
      </c>
      <c r="P13" s="42" t="str">
        <f>VLOOKUP(Tabelle1420[[#This Row],[Metallbearbeitung 
(Wärmebehandlung)]],Dropdown!$A$2:$D$4,4,FALSE)</f>
        <v>(X)</v>
      </c>
      <c r="Q13" s="42" t="str">
        <f>VLOOKUP(Tabelle1420[[#This Row],[Gießereien (Induktionsofen)]],Dropdown!$A$2:$D$4,4,FALSE)</f>
        <v>(X)</v>
      </c>
      <c r="R13" s="42" t="str">
        <f>VLOOKUP(Tabelle1420[[#This Row],[Calciumcarbid-Herstellung 
(Lichtbogenofen)]],Dropdown!$A$2:$D$4,4,FALSE)</f>
        <v>-</v>
      </c>
      <c r="S13" s="42" t="str">
        <f>VLOOKUP(Tabelle1420[[#This Row],[Ernährungsindustrie gesamt]],Dropdown!$A$2:$D$4,4,FALSE)</f>
        <v>-</v>
      </c>
      <c r="T13" s="42" t="str">
        <f>VLOOKUP(Tabelle1420[[#This Row],[Chemieindustrie gesamt]],Dropdown!$A$2:$D$4,4,FALSE)</f>
        <v>-</v>
      </c>
      <c r="U13" s="42" t="str">
        <f>VLOOKUP(Tabelle1420[[#This Row],[Kfz-Industrie gesamt]],Dropdown!$A$2:$D$4,4,FALSE)</f>
        <v>-</v>
      </c>
      <c r="V13" s="42" t="str">
        <f>VLOOKUP(Tabelle1420[[#This Row],[Maschinenbau gesamt]],Dropdown!$A$2:$D$4,4,FALSE)</f>
        <v>-</v>
      </c>
      <c r="W13" s="42" t="str">
        <f>VLOOKUP(Tabelle1420[[#This Row],[Glasindustrie gesamt]],Dropdown!$A$2:$D$4,4,FALSE)</f>
        <v>-</v>
      </c>
      <c r="X13" s="42" t="str">
        <f>VLOOKUP(Tabelle1420[[#This Row],[Behälterglasindustrie]],Dropdown!$A$2:$D$4,4,FALSE)</f>
        <v>-</v>
      </c>
      <c r="Y13" s="42" t="str">
        <f>VLOOKUP(Tabelle1420[[#This Row],[Silizium-Metall 
(Lichtbogenofen)]],Dropdown!$A$2:$D$4,4,FALSE)</f>
        <v>-</v>
      </c>
      <c r="Z13" s="42" t="str">
        <f>VLOOKUP(Tabelle1420[[#This Row],[Graphitelektroden 
(Graphitierungsofen)]],Dropdown!$A$2:$D$4,4,FALSE)</f>
        <v>-</v>
      </c>
    </row>
    <row r="14" spans="1:26" x14ac:dyDescent="0.25">
      <c r="A14" s="6">
        <v>13</v>
      </c>
      <c r="B14" s="42" t="str">
        <f>VLOOKUP(Tabelle1420[[#This Row],[Primäraluminiumelektrolyse]],Dropdown!$A$2:$D$4,4,FALSE)</f>
        <v>-</v>
      </c>
      <c r="C14" s="42" t="str">
        <f>VLOOKUP(Tabelle1420[[#This Row],[Papierherstellung 
(Prozess gesamt)]],Dropdown!$A$2:$D$4,4,FALSE)</f>
        <v>-</v>
      </c>
      <c r="D14" s="42" t="str">
        <f>VLOOKUP(Tabelle1420[[#This Row],[Holzstoff- und Zellstoffherstellung 
(Holzschleifer / Refiner)]],Dropdown!$A$2:$D$4,4,FALSE)</f>
        <v>-</v>
      </c>
      <c r="E14" s="42" t="str">
        <f>VLOOKUP(Tabelle1420[[#This Row],[Papiermaschinen]],Dropdown!$A$2:$D$4,4,FALSE)</f>
        <v>-</v>
      </c>
      <c r="F14" s="42" t="str">
        <f>VLOOKUP(Tabelle1420[[#This Row],[Altpapierrecycling (Pulper)]],Dropdown!$A$2:$D$4,4,FALSE)</f>
        <v>-</v>
      </c>
      <c r="G14" s="42" t="str">
        <f>VLOOKUP(Tabelle1420[[#This Row],[Papierveredelung 
(Streichmaschinen und Kalander)]],Dropdown!$A$2:$D$4,4,FALSE)</f>
        <v>-</v>
      </c>
      <c r="H14" s="42" t="str">
        <f>VLOOKUP(Tabelle1420[[#This Row],[Chlor-Alkali-Elektrolyse]],Dropdown!$A$2:$D$4,4,FALSE)</f>
        <v>-</v>
      </c>
      <c r="I14" s="42" t="str">
        <f>VLOOKUP(Tabelle1420[[#This Row],[Elektrostahlherstellung 
(Lichtbogenofen)]],Dropdown!$A$2:$D$4,4,FALSE)</f>
        <v>-</v>
      </c>
      <c r="J14" s="42" t="str">
        <f>VLOOKUP(Tabelle1420[[#This Row],[Zementherstellung 
(Prozess gesamt)]],Dropdown!$A$2:$D$4,4,FALSE)</f>
        <v>-</v>
      </c>
      <c r="K14" s="42" t="str">
        <f>VLOOKUP(Tabelle1420[[#This Row],[Zementmühlen]],Dropdown!$A$2:$D$4,4,FALSE)</f>
        <v>-</v>
      </c>
      <c r="L14" s="42" t="str">
        <f>VLOOKUP(Tabelle1420[[#This Row],[Luftzerlegung]],Dropdown!$A$2:$D$4,4,FALSE)</f>
        <v>-</v>
      </c>
      <c r="M14" s="42" t="str">
        <f>VLOOKUP(Tabelle1420[[#This Row],[Kupfer- und Zinkherstellung 
(Elektrolyse)]],Dropdown!$A$2:$D$4,4,FALSE)</f>
        <v>-</v>
      </c>
      <c r="N14" s="42" t="str">
        <f>VLOOKUP(Tabelle1420[[#This Row],[Primärkupferherstellung 
(elektrolytische Kupferraffination)]],Dropdown!$A$2:$D$4,4,FALSE)</f>
        <v>-</v>
      </c>
      <c r="O14" s="42" t="str">
        <f>VLOOKUP(Tabelle1420[[#This Row],[Primärzinkherstellung 
(Nasschemische Elektrolyse)]],Dropdown!$A$2:$D$4,4,FALSE)</f>
        <v>-</v>
      </c>
      <c r="P14" s="42" t="str">
        <f>VLOOKUP(Tabelle1420[[#This Row],[Metallbearbeitung 
(Wärmebehandlung)]],Dropdown!$A$2:$D$4,4,FALSE)</f>
        <v>-</v>
      </c>
      <c r="Q14" s="42" t="str">
        <f>VLOOKUP(Tabelle1420[[#This Row],[Gießereien (Induktionsofen)]],Dropdown!$A$2:$D$4,4,FALSE)</f>
        <v>-</v>
      </c>
      <c r="R14" s="42" t="str">
        <f>VLOOKUP(Tabelle1420[[#This Row],[Calciumcarbid-Herstellung 
(Lichtbogenofen)]],Dropdown!$A$2:$D$4,4,FALSE)</f>
        <v>-</v>
      </c>
      <c r="S14" s="42" t="str">
        <f>VLOOKUP(Tabelle1420[[#This Row],[Ernährungsindustrie gesamt]],Dropdown!$A$2:$D$4,4,FALSE)</f>
        <v>-</v>
      </c>
      <c r="T14" s="42" t="str">
        <f>VLOOKUP(Tabelle1420[[#This Row],[Chemieindustrie gesamt]],Dropdown!$A$2:$D$4,4,FALSE)</f>
        <v>-</v>
      </c>
      <c r="U14" s="42" t="str">
        <f>VLOOKUP(Tabelle1420[[#This Row],[Kfz-Industrie gesamt]],Dropdown!$A$2:$D$4,4,FALSE)</f>
        <v>-</v>
      </c>
      <c r="V14" s="42" t="str">
        <f>VLOOKUP(Tabelle1420[[#This Row],[Maschinenbau gesamt]],Dropdown!$A$2:$D$4,4,FALSE)</f>
        <v>-</v>
      </c>
      <c r="W14" s="42" t="str">
        <f>VLOOKUP(Tabelle1420[[#This Row],[Glasindustrie gesamt]],Dropdown!$A$2:$D$4,4,FALSE)</f>
        <v>-</v>
      </c>
      <c r="X14" s="42" t="str">
        <f>VLOOKUP(Tabelle1420[[#This Row],[Behälterglasindustrie]],Dropdown!$A$2:$D$4,4,FALSE)</f>
        <v>-</v>
      </c>
      <c r="Y14" s="42" t="str">
        <f>VLOOKUP(Tabelle1420[[#This Row],[Silizium-Metall 
(Lichtbogenofen)]],Dropdown!$A$2:$D$4,4,FALSE)</f>
        <v>-</v>
      </c>
      <c r="Z14" s="42" t="str">
        <f>VLOOKUP(Tabelle1420[[#This Row],[Graphitelektroden 
(Graphitierungsofen)]],Dropdown!$A$2:$D$4,4,FALSE)</f>
        <v>-</v>
      </c>
    </row>
    <row r="15" spans="1:26" x14ac:dyDescent="0.25">
      <c r="A15" s="6">
        <v>14</v>
      </c>
      <c r="B15" s="42" t="str">
        <f>VLOOKUP(Tabelle1420[[#This Row],[Primäraluminiumelektrolyse]],Dropdown!$A$2:$D$4,4,FALSE)</f>
        <v>X</v>
      </c>
      <c r="C15" s="42" t="str">
        <f>VLOOKUP(Tabelle1420[[#This Row],[Papierherstellung 
(Prozess gesamt)]],Dropdown!$A$2:$D$4,4,FALSE)</f>
        <v>-</v>
      </c>
      <c r="D15" s="42" t="str">
        <f>VLOOKUP(Tabelle1420[[#This Row],[Holzstoff- und Zellstoffherstellung 
(Holzschleifer / Refiner)]],Dropdown!$A$2:$D$4,4,FALSE)</f>
        <v>X</v>
      </c>
      <c r="E15" s="42" t="str">
        <f>VLOOKUP(Tabelle1420[[#This Row],[Papiermaschinen]],Dropdown!$A$2:$D$4,4,FALSE)</f>
        <v>-</v>
      </c>
      <c r="F15" s="42" t="str">
        <f>VLOOKUP(Tabelle1420[[#This Row],[Altpapierrecycling (Pulper)]],Dropdown!$A$2:$D$4,4,FALSE)</f>
        <v>-</v>
      </c>
      <c r="G15" s="42" t="str">
        <f>VLOOKUP(Tabelle1420[[#This Row],[Papierveredelung 
(Streichmaschinen und Kalander)]],Dropdown!$A$2:$D$4,4,FALSE)</f>
        <v>-</v>
      </c>
      <c r="H15" s="42" t="str">
        <f>VLOOKUP(Tabelle1420[[#This Row],[Chlor-Alkali-Elektrolyse]],Dropdown!$A$2:$D$4,4,FALSE)</f>
        <v>X</v>
      </c>
      <c r="I15" s="42" t="str">
        <f>VLOOKUP(Tabelle1420[[#This Row],[Elektrostahlherstellung 
(Lichtbogenofen)]],Dropdown!$A$2:$D$4,4,FALSE)</f>
        <v>X</v>
      </c>
      <c r="J15" s="42" t="str">
        <f>VLOOKUP(Tabelle1420[[#This Row],[Zementherstellung 
(Prozess gesamt)]],Dropdown!$A$2:$D$4,4,FALSE)</f>
        <v>-</v>
      </c>
      <c r="K15" s="42" t="str">
        <f>VLOOKUP(Tabelle1420[[#This Row],[Zementmühlen]],Dropdown!$A$2:$D$4,4,FALSE)</f>
        <v>X</v>
      </c>
      <c r="L15" s="42" t="str">
        <f>VLOOKUP(Tabelle1420[[#This Row],[Luftzerlegung]],Dropdown!$A$2:$D$4,4,FALSE)</f>
        <v>-</v>
      </c>
      <c r="M15" s="42" t="str">
        <f>VLOOKUP(Tabelle1420[[#This Row],[Kupfer- und Zinkherstellung 
(Elektrolyse)]],Dropdown!$A$2:$D$4,4,FALSE)</f>
        <v>-</v>
      </c>
      <c r="N15" s="42" t="str">
        <f>VLOOKUP(Tabelle1420[[#This Row],[Primärkupferherstellung 
(elektrolytische Kupferraffination)]],Dropdown!$A$2:$D$4,4,FALSE)</f>
        <v>-</v>
      </c>
      <c r="O15" s="42" t="str">
        <f>VLOOKUP(Tabelle1420[[#This Row],[Primärzinkherstellung 
(Nasschemische Elektrolyse)]],Dropdown!$A$2:$D$4,4,FALSE)</f>
        <v>-</v>
      </c>
      <c r="P15" s="42" t="str">
        <f>VLOOKUP(Tabelle1420[[#This Row],[Metallbearbeitung 
(Wärmebehandlung)]],Dropdown!$A$2:$D$4,4,FALSE)</f>
        <v>-</v>
      </c>
      <c r="Q15" s="42" t="str">
        <f>VLOOKUP(Tabelle1420[[#This Row],[Gießereien (Induktionsofen)]],Dropdown!$A$2:$D$4,4,FALSE)</f>
        <v>-</v>
      </c>
      <c r="R15" s="42" t="str">
        <f>VLOOKUP(Tabelle1420[[#This Row],[Calciumcarbid-Herstellung 
(Lichtbogenofen)]],Dropdown!$A$2:$D$4,4,FALSE)</f>
        <v>-</v>
      </c>
      <c r="S15" s="42" t="str">
        <f>VLOOKUP(Tabelle1420[[#This Row],[Ernährungsindustrie gesamt]],Dropdown!$A$2:$D$4,4,FALSE)</f>
        <v>-</v>
      </c>
      <c r="T15" s="42" t="str">
        <f>VLOOKUP(Tabelle1420[[#This Row],[Chemieindustrie gesamt]],Dropdown!$A$2:$D$4,4,FALSE)</f>
        <v>-</v>
      </c>
      <c r="U15" s="42" t="str">
        <f>VLOOKUP(Tabelle1420[[#This Row],[Kfz-Industrie gesamt]],Dropdown!$A$2:$D$4,4,FALSE)</f>
        <v>-</v>
      </c>
      <c r="V15" s="42" t="str">
        <f>VLOOKUP(Tabelle1420[[#This Row],[Maschinenbau gesamt]],Dropdown!$A$2:$D$4,4,FALSE)</f>
        <v>-</v>
      </c>
      <c r="W15" s="42" t="str">
        <f>VLOOKUP(Tabelle1420[[#This Row],[Glasindustrie gesamt]],Dropdown!$A$2:$D$4,4,FALSE)</f>
        <v>-</v>
      </c>
      <c r="X15" s="42" t="str">
        <f>VLOOKUP(Tabelle1420[[#This Row],[Behälterglasindustrie]],Dropdown!$A$2:$D$4,4,FALSE)</f>
        <v>-</v>
      </c>
      <c r="Y15" s="42" t="str">
        <f>VLOOKUP(Tabelle1420[[#This Row],[Silizium-Metall 
(Lichtbogenofen)]],Dropdown!$A$2:$D$4,4,FALSE)</f>
        <v>-</v>
      </c>
      <c r="Z15" s="42" t="str">
        <f>VLOOKUP(Tabelle1420[[#This Row],[Graphitelektroden 
(Graphitierungsofen)]],Dropdown!$A$2:$D$4,4,FALSE)</f>
        <v>-</v>
      </c>
    </row>
    <row r="16" spans="1:26" x14ac:dyDescent="0.25">
      <c r="A16" s="6">
        <v>15</v>
      </c>
      <c r="B16" s="42" t="str">
        <f>VLOOKUP(Tabelle1420[[#This Row],[Primäraluminiumelektrolyse]],Dropdown!$A$2:$D$4,4,FALSE)</f>
        <v>X</v>
      </c>
      <c r="C16" s="42" t="str">
        <f>VLOOKUP(Tabelle1420[[#This Row],[Papierherstellung 
(Prozess gesamt)]],Dropdown!$A$2:$D$4,4,FALSE)</f>
        <v>-</v>
      </c>
      <c r="D16" s="42" t="str">
        <f>VLOOKUP(Tabelle1420[[#This Row],[Holzstoff- und Zellstoffherstellung 
(Holzschleifer / Refiner)]],Dropdown!$A$2:$D$4,4,FALSE)</f>
        <v>-</v>
      </c>
      <c r="E16" s="42" t="str">
        <f>VLOOKUP(Tabelle1420[[#This Row],[Papiermaschinen]],Dropdown!$A$2:$D$4,4,FALSE)</f>
        <v>X</v>
      </c>
      <c r="F16" s="42" t="str">
        <f>VLOOKUP(Tabelle1420[[#This Row],[Altpapierrecycling (Pulper)]],Dropdown!$A$2:$D$4,4,FALSE)</f>
        <v>-</v>
      </c>
      <c r="G16" s="42" t="str">
        <f>VLOOKUP(Tabelle1420[[#This Row],[Papierveredelung 
(Streichmaschinen und Kalander)]],Dropdown!$A$2:$D$4,4,FALSE)</f>
        <v>-</v>
      </c>
      <c r="H16" s="42" t="str">
        <f>VLOOKUP(Tabelle1420[[#This Row],[Chlor-Alkali-Elektrolyse]],Dropdown!$A$2:$D$4,4,FALSE)</f>
        <v>X</v>
      </c>
      <c r="I16" s="42" t="str">
        <f>VLOOKUP(Tabelle1420[[#This Row],[Elektrostahlherstellung 
(Lichtbogenofen)]],Dropdown!$A$2:$D$4,4,FALSE)</f>
        <v>X</v>
      </c>
      <c r="J16" s="42" t="str">
        <f>VLOOKUP(Tabelle1420[[#This Row],[Zementherstellung 
(Prozess gesamt)]],Dropdown!$A$2:$D$4,4,FALSE)</f>
        <v>X</v>
      </c>
      <c r="K16" s="42" t="str">
        <f>VLOOKUP(Tabelle1420[[#This Row],[Zementmühlen]],Dropdown!$A$2:$D$4,4,FALSE)</f>
        <v>-</v>
      </c>
      <c r="L16" s="42" t="str">
        <f>VLOOKUP(Tabelle1420[[#This Row],[Luftzerlegung]],Dropdown!$A$2:$D$4,4,FALSE)</f>
        <v>X</v>
      </c>
      <c r="M16" s="42" t="str">
        <f>VLOOKUP(Tabelle1420[[#This Row],[Kupfer- und Zinkherstellung 
(Elektrolyse)]],Dropdown!$A$2:$D$4,4,FALSE)</f>
        <v>-</v>
      </c>
      <c r="N16" s="42" t="str">
        <f>VLOOKUP(Tabelle1420[[#This Row],[Primärkupferherstellung 
(elektrolytische Kupferraffination)]],Dropdown!$A$2:$D$4,4,FALSE)</f>
        <v>-</v>
      </c>
      <c r="O16" s="42" t="str">
        <f>VLOOKUP(Tabelle1420[[#This Row],[Primärzinkherstellung 
(Nasschemische Elektrolyse)]],Dropdown!$A$2:$D$4,4,FALSE)</f>
        <v>-</v>
      </c>
      <c r="P16" s="42" t="str">
        <f>VLOOKUP(Tabelle1420[[#This Row],[Metallbearbeitung 
(Wärmebehandlung)]],Dropdown!$A$2:$D$4,4,FALSE)</f>
        <v>-</v>
      </c>
      <c r="Q16" s="42" t="str">
        <f>VLOOKUP(Tabelle1420[[#This Row],[Gießereien (Induktionsofen)]],Dropdown!$A$2:$D$4,4,FALSE)</f>
        <v>-</v>
      </c>
      <c r="R16" s="42" t="str">
        <f>VLOOKUP(Tabelle1420[[#This Row],[Calciumcarbid-Herstellung 
(Lichtbogenofen)]],Dropdown!$A$2:$D$4,4,FALSE)</f>
        <v>-</v>
      </c>
      <c r="S16" s="42" t="str">
        <f>VLOOKUP(Tabelle1420[[#This Row],[Ernährungsindustrie gesamt]],Dropdown!$A$2:$D$4,4,FALSE)</f>
        <v>-</v>
      </c>
      <c r="T16" s="42" t="str">
        <f>VLOOKUP(Tabelle1420[[#This Row],[Chemieindustrie gesamt]],Dropdown!$A$2:$D$4,4,FALSE)</f>
        <v>-</v>
      </c>
      <c r="U16" s="42" t="str">
        <f>VLOOKUP(Tabelle1420[[#This Row],[Kfz-Industrie gesamt]],Dropdown!$A$2:$D$4,4,FALSE)</f>
        <v>-</v>
      </c>
      <c r="V16" s="42" t="str">
        <f>VLOOKUP(Tabelle1420[[#This Row],[Maschinenbau gesamt]],Dropdown!$A$2:$D$4,4,FALSE)</f>
        <v>-</v>
      </c>
      <c r="W16" s="42" t="str">
        <f>VLOOKUP(Tabelle1420[[#This Row],[Glasindustrie gesamt]],Dropdown!$A$2:$D$4,4,FALSE)</f>
        <v>-</v>
      </c>
      <c r="X16" s="42" t="str">
        <f>VLOOKUP(Tabelle1420[[#This Row],[Behälterglasindustrie]],Dropdown!$A$2:$D$4,4,FALSE)</f>
        <v>X</v>
      </c>
      <c r="Y16" s="42" t="str">
        <f>VLOOKUP(Tabelle1420[[#This Row],[Silizium-Metall 
(Lichtbogenofen)]],Dropdown!$A$2:$D$4,4,FALSE)</f>
        <v>-</v>
      </c>
      <c r="Z16" s="42" t="str">
        <f>VLOOKUP(Tabelle1420[[#This Row],[Graphitelektroden 
(Graphitierungsofen)]],Dropdown!$A$2:$D$4,4,FALSE)</f>
        <v>-</v>
      </c>
    </row>
    <row r="17" spans="1:26" x14ac:dyDescent="0.25">
      <c r="A17" s="6">
        <v>16</v>
      </c>
      <c r="B17" s="42" t="str">
        <f>VLOOKUP(Tabelle1420[[#This Row],[Primäraluminiumelektrolyse]],Dropdown!$A$2:$D$4,4,FALSE)</f>
        <v>-</v>
      </c>
      <c r="C17" s="42" t="str">
        <f>VLOOKUP(Tabelle1420[[#This Row],[Papierherstellung 
(Prozess gesamt)]],Dropdown!$A$2:$D$4,4,FALSE)</f>
        <v>-</v>
      </c>
      <c r="D17" s="42" t="str">
        <f>VLOOKUP(Tabelle1420[[#This Row],[Holzstoff- und Zellstoffherstellung 
(Holzschleifer / Refiner)]],Dropdown!$A$2:$D$4,4,FALSE)</f>
        <v>-</v>
      </c>
      <c r="E17" s="42" t="str">
        <f>VLOOKUP(Tabelle1420[[#This Row],[Papiermaschinen]],Dropdown!$A$2:$D$4,4,FALSE)</f>
        <v>-</v>
      </c>
      <c r="F17" s="42" t="str">
        <f>VLOOKUP(Tabelle1420[[#This Row],[Altpapierrecycling (Pulper)]],Dropdown!$A$2:$D$4,4,FALSE)</f>
        <v>-</v>
      </c>
      <c r="G17" s="42" t="str">
        <f>VLOOKUP(Tabelle1420[[#This Row],[Papierveredelung 
(Streichmaschinen und Kalander)]],Dropdown!$A$2:$D$4,4,FALSE)</f>
        <v>-</v>
      </c>
      <c r="H17" s="42" t="str">
        <f>VLOOKUP(Tabelle1420[[#This Row],[Chlor-Alkali-Elektrolyse]],Dropdown!$A$2:$D$4,4,FALSE)</f>
        <v>-</v>
      </c>
      <c r="I17" s="42" t="str">
        <f>VLOOKUP(Tabelle1420[[#This Row],[Elektrostahlherstellung 
(Lichtbogenofen)]],Dropdown!$A$2:$D$4,4,FALSE)</f>
        <v>-</v>
      </c>
      <c r="J17" s="42" t="str">
        <f>VLOOKUP(Tabelle1420[[#This Row],[Zementherstellung 
(Prozess gesamt)]],Dropdown!$A$2:$D$4,4,FALSE)</f>
        <v>-</v>
      </c>
      <c r="K17" s="42" t="str">
        <f>VLOOKUP(Tabelle1420[[#This Row],[Zementmühlen]],Dropdown!$A$2:$D$4,4,FALSE)</f>
        <v>-</v>
      </c>
      <c r="L17" s="42" t="str">
        <f>VLOOKUP(Tabelle1420[[#This Row],[Luftzerlegung]],Dropdown!$A$2:$D$4,4,FALSE)</f>
        <v>-</v>
      </c>
      <c r="M17" s="42" t="str">
        <f>VLOOKUP(Tabelle1420[[#This Row],[Kupfer- und Zinkherstellung 
(Elektrolyse)]],Dropdown!$A$2:$D$4,4,FALSE)</f>
        <v>-</v>
      </c>
      <c r="N17" s="42" t="str">
        <f>VLOOKUP(Tabelle1420[[#This Row],[Primärkupferherstellung 
(elektrolytische Kupferraffination)]],Dropdown!$A$2:$D$4,4,FALSE)</f>
        <v>-</v>
      </c>
      <c r="O17" s="42" t="str">
        <f>VLOOKUP(Tabelle1420[[#This Row],[Primärzinkherstellung 
(Nasschemische Elektrolyse)]],Dropdown!$A$2:$D$4,4,FALSE)</f>
        <v>-</v>
      </c>
      <c r="P17" s="42" t="str">
        <f>VLOOKUP(Tabelle1420[[#This Row],[Metallbearbeitung 
(Wärmebehandlung)]],Dropdown!$A$2:$D$4,4,FALSE)</f>
        <v>-</v>
      </c>
      <c r="Q17" s="42" t="str">
        <f>VLOOKUP(Tabelle1420[[#This Row],[Gießereien (Induktionsofen)]],Dropdown!$A$2:$D$4,4,FALSE)</f>
        <v>-</v>
      </c>
      <c r="R17" s="42" t="str">
        <f>VLOOKUP(Tabelle1420[[#This Row],[Calciumcarbid-Herstellung 
(Lichtbogenofen)]],Dropdown!$A$2:$D$4,4,FALSE)</f>
        <v>-</v>
      </c>
      <c r="S17" s="42" t="str">
        <f>VLOOKUP(Tabelle1420[[#This Row],[Ernährungsindustrie gesamt]],Dropdown!$A$2:$D$4,4,FALSE)</f>
        <v>-</v>
      </c>
      <c r="T17" s="42" t="str">
        <f>VLOOKUP(Tabelle1420[[#This Row],[Chemieindustrie gesamt]],Dropdown!$A$2:$D$4,4,FALSE)</f>
        <v>-</v>
      </c>
      <c r="U17" s="42" t="str">
        <f>VLOOKUP(Tabelle1420[[#This Row],[Kfz-Industrie gesamt]],Dropdown!$A$2:$D$4,4,FALSE)</f>
        <v>-</v>
      </c>
      <c r="V17" s="42" t="str">
        <f>VLOOKUP(Tabelle1420[[#This Row],[Maschinenbau gesamt]],Dropdown!$A$2:$D$4,4,FALSE)</f>
        <v>-</v>
      </c>
      <c r="W17" s="42" t="str">
        <f>VLOOKUP(Tabelle1420[[#This Row],[Glasindustrie gesamt]],Dropdown!$A$2:$D$4,4,FALSE)</f>
        <v>-</v>
      </c>
      <c r="X17" s="42" t="str">
        <f>VLOOKUP(Tabelle1420[[#This Row],[Behälterglasindustrie]],Dropdown!$A$2:$D$4,4,FALSE)</f>
        <v>-</v>
      </c>
      <c r="Y17" s="42" t="str">
        <f>VLOOKUP(Tabelle1420[[#This Row],[Silizium-Metall 
(Lichtbogenofen)]],Dropdown!$A$2:$D$4,4,FALSE)</f>
        <v>-</v>
      </c>
      <c r="Z17" s="42" t="str">
        <f>VLOOKUP(Tabelle1420[[#This Row],[Graphitelektroden 
(Graphitierungsofen)]],Dropdown!$A$2:$D$4,4,FALSE)</f>
        <v>-</v>
      </c>
    </row>
    <row r="18" spans="1:26" x14ac:dyDescent="0.25">
      <c r="A18" s="6">
        <v>17</v>
      </c>
      <c r="B18" s="42" t="str">
        <f>VLOOKUP(Tabelle1420[[#This Row],[Primäraluminiumelektrolyse]],Dropdown!$A$2:$D$4,4,FALSE)</f>
        <v>X</v>
      </c>
      <c r="C18" s="42" t="str">
        <f>VLOOKUP(Tabelle1420[[#This Row],[Papierherstellung 
(Prozess gesamt)]],Dropdown!$A$2:$D$4,4,FALSE)</f>
        <v>-</v>
      </c>
      <c r="D18" s="42" t="str">
        <f>VLOOKUP(Tabelle1420[[#This Row],[Holzstoff- und Zellstoffherstellung 
(Holzschleifer / Refiner)]],Dropdown!$A$2:$D$4,4,FALSE)</f>
        <v>X</v>
      </c>
      <c r="E18" s="42" t="str">
        <f>VLOOKUP(Tabelle1420[[#This Row],[Papiermaschinen]],Dropdown!$A$2:$D$4,4,FALSE)</f>
        <v>-</v>
      </c>
      <c r="F18" s="42" t="str">
        <f>VLOOKUP(Tabelle1420[[#This Row],[Altpapierrecycling (Pulper)]],Dropdown!$A$2:$D$4,4,FALSE)</f>
        <v>-</v>
      </c>
      <c r="G18" s="42" t="str">
        <f>VLOOKUP(Tabelle1420[[#This Row],[Papierveredelung 
(Streichmaschinen und Kalander)]],Dropdown!$A$2:$D$4,4,FALSE)</f>
        <v>X</v>
      </c>
      <c r="H18" s="42" t="str">
        <f>VLOOKUP(Tabelle1420[[#This Row],[Chlor-Alkali-Elektrolyse]],Dropdown!$A$2:$D$4,4,FALSE)</f>
        <v>X</v>
      </c>
      <c r="I18" s="42" t="str">
        <f>VLOOKUP(Tabelle1420[[#This Row],[Elektrostahlherstellung 
(Lichtbogenofen)]],Dropdown!$A$2:$D$4,4,FALSE)</f>
        <v>X</v>
      </c>
      <c r="J18" s="42" t="str">
        <f>VLOOKUP(Tabelle1420[[#This Row],[Zementherstellung 
(Prozess gesamt)]],Dropdown!$A$2:$D$4,4,FALSE)</f>
        <v>X</v>
      </c>
      <c r="K18" s="42" t="str">
        <f>VLOOKUP(Tabelle1420[[#This Row],[Zementmühlen]],Dropdown!$A$2:$D$4,4,FALSE)</f>
        <v>-</v>
      </c>
      <c r="L18" s="42" t="str">
        <f>VLOOKUP(Tabelle1420[[#This Row],[Luftzerlegung]],Dropdown!$A$2:$D$4,4,FALSE)</f>
        <v>-</v>
      </c>
      <c r="M18" s="42" t="str">
        <f>VLOOKUP(Tabelle1420[[#This Row],[Kupfer- und Zinkherstellung 
(Elektrolyse)]],Dropdown!$A$2:$D$4,4,FALSE)</f>
        <v>-</v>
      </c>
      <c r="N18" s="42" t="str">
        <f>VLOOKUP(Tabelle1420[[#This Row],[Primärkupferherstellung 
(elektrolytische Kupferraffination)]],Dropdown!$A$2:$D$4,4,FALSE)</f>
        <v>-</v>
      </c>
      <c r="O18" s="42" t="str">
        <f>VLOOKUP(Tabelle1420[[#This Row],[Primärzinkherstellung 
(Nasschemische Elektrolyse)]],Dropdown!$A$2:$D$4,4,FALSE)</f>
        <v>-</v>
      </c>
      <c r="P18" s="42" t="str">
        <f>VLOOKUP(Tabelle1420[[#This Row],[Metallbearbeitung 
(Wärmebehandlung)]],Dropdown!$A$2:$D$4,4,FALSE)</f>
        <v>-</v>
      </c>
      <c r="Q18" s="42" t="str">
        <f>VLOOKUP(Tabelle1420[[#This Row],[Gießereien (Induktionsofen)]],Dropdown!$A$2:$D$4,4,FALSE)</f>
        <v>-</v>
      </c>
      <c r="R18" s="42" t="str">
        <f>VLOOKUP(Tabelle1420[[#This Row],[Calciumcarbid-Herstellung 
(Lichtbogenofen)]],Dropdown!$A$2:$D$4,4,FALSE)</f>
        <v>-</v>
      </c>
      <c r="S18" s="42" t="str">
        <f>VLOOKUP(Tabelle1420[[#This Row],[Ernährungsindustrie gesamt]],Dropdown!$A$2:$D$4,4,FALSE)</f>
        <v>-</v>
      </c>
      <c r="T18" s="42" t="str">
        <f>VLOOKUP(Tabelle1420[[#This Row],[Chemieindustrie gesamt]],Dropdown!$A$2:$D$4,4,FALSE)</f>
        <v>-</v>
      </c>
      <c r="U18" s="42" t="str">
        <f>VLOOKUP(Tabelle1420[[#This Row],[Kfz-Industrie gesamt]],Dropdown!$A$2:$D$4,4,FALSE)</f>
        <v>-</v>
      </c>
      <c r="V18" s="42" t="str">
        <f>VLOOKUP(Tabelle1420[[#This Row],[Maschinenbau gesamt]],Dropdown!$A$2:$D$4,4,FALSE)</f>
        <v>-</v>
      </c>
      <c r="W18" s="42" t="str">
        <f>VLOOKUP(Tabelle1420[[#This Row],[Glasindustrie gesamt]],Dropdown!$A$2:$D$4,4,FALSE)</f>
        <v>-</v>
      </c>
      <c r="X18" s="42" t="str">
        <f>VLOOKUP(Tabelle1420[[#This Row],[Behälterglasindustrie]],Dropdown!$A$2:$D$4,4,FALSE)</f>
        <v>-</v>
      </c>
      <c r="Y18" s="42" t="str">
        <f>VLOOKUP(Tabelle1420[[#This Row],[Silizium-Metall 
(Lichtbogenofen)]],Dropdown!$A$2:$D$4,4,FALSE)</f>
        <v>-</v>
      </c>
      <c r="Z18" s="42" t="str">
        <f>VLOOKUP(Tabelle1420[[#This Row],[Graphitelektroden 
(Graphitierungsofen)]],Dropdown!$A$2:$D$4,4,FALSE)</f>
        <v>-</v>
      </c>
    </row>
    <row r="19" spans="1:26" x14ac:dyDescent="0.25">
      <c r="A19" s="6">
        <v>18</v>
      </c>
      <c r="B19" s="42" t="str">
        <f>VLOOKUP(Tabelle1420[[#This Row],[Primäraluminiumelektrolyse]],Dropdown!$A$2:$D$4,4,FALSE)</f>
        <v>X</v>
      </c>
      <c r="C19" s="42" t="str">
        <f>VLOOKUP(Tabelle1420[[#This Row],[Papierherstellung 
(Prozess gesamt)]],Dropdown!$A$2:$D$4,4,FALSE)</f>
        <v>-</v>
      </c>
      <c r="D19" s="42" t="str">
        <f>VLOOKUP(Tabelle1420[[#This Row],[Holzstoff- und Zellstoffherstellung 
(Holzschleifer / Refiner)]],Dropdown!$A$2:$D$4,4,FALSE)</f>
        <v>X</v>
      </c>
      <c r="E19" s="42" t="str">
        <f>VLOOKUP(Tabelle1420[[#This Row],[Papiermaschinen]],Dropdown!$A$2:$D$4,4,FALSE)</f>
        <v>-</v>
      </c>
      <c r="F19" s="42" t="str">
        <f>VLOOKUP(Tabelle1420[[#This Row],[Altpapierrecycling (Pulper)]],Dropdown!$A$2:$D$4,4,FALSE)</f>
        <v>-</v>
      </c>
      <c r="G19" s="42" t="str">
        <f>VLOOKUP(Tabelle1420[[#This Row],[Papierveredelung 
(Streichmaschinen und Kalander)]],Dropdown!$A$2:$D$4,4,FALSE)</f>
        <v>-</v>
      </c>
      <c r="H19" s="42" t="str">
        <f>VLOOKUP(Tabelle1420[[#This Row],[Chlor-Alkali-Elektrolyse]],Dropdown!$A$2:$D$4,4,FALSE)</f>
        <v>X</v>
      </c>
      <c r="I19" s="42" t="str">
        <f>VLOOKUP(Tabelle1420[[#This Row],[Elektrostahlherstellung 
(Lichtbogenofen)]],Dropdown!$A$2:$D$4,4,FALSE)</f>
        <v>X</v>
      </c>
      <c r="J19" s="42" t="str">
        <f>VLOOKUP(Tabelle1420[[#This Row],[Zementherstellung 
(Prozess gesamt)]],Dropdown!$A$2:$D$4,4,FALSE)</f>
        <v>X</v>
      </c>
      <c r="K19" s="42" t="str">
        <f>VLOOKUP(Tabelle1420[[#This Row],[Zementmühlen]],Dropdown!$A$2:$D$4,4,FALSE)</f>
        <v>-</v>
      </c>
      <c r="L19" s="42" t="str">
        <f>VLOOKUP(Tabelle1420[[#This Row],[Luftzerlegung]],Dropdown!$A$2:$D$4,4,FALSE)</f>
        <v>-</v>
      </c>
      <c r="M19" s="42" t="str">
        <f>VLOOKUP(Tabelle1420[[#This Row],[Kupfer- und Zinkherstellung 
(Elektrolyse)]],Dropdown!$A$2:$D$4,4,FALSE)</f>
        <v>-</v>
      </c>
      <c r="N19" s="42" t="str">
        <f>VLOOKUP(Tabelle1420[[#This Row],[Primärkupferherstellung 
(elektrolytische Kupferraffination)]],Dropdown!$A$2:$D$4,4,FALSE)</f>
        <v>-</v>
      </c>
      <c r="O19" s="42" t="str">
        <f>VLOOKUP(Tabelle1420[[#This Row],[Primärzinkherstellung 
(Nasschemische Elektrolyse)]],Dropdown!$A$2:$D$4,4,FALSE)</f>
        <v>-</v>
      </c>
      <c r="P19" s="42" t="str">
        <f>VLOOKUP(Tabelle1420[[#This Row],[Metallbearbeitung 
(Wärmebehandlung)]],Dropdown!$A$2:$D$4,4,FALSE)</f>
        <v>-</v>
      </c>
      <c r="Q19" s="42" t="str">
        <f>VLOOKUP(Tabelle1420[[#This Row],[Gießereien (Induktionsofen)]],Dropdown!$A$2:$D$4,4,FALSE)</f>
        <v>-</v>
      </c>
      <c r="R19" s="42" t="str">
        <f>VLOOKUP(Tabelle1420[[#This Row],[Calciumcarbid-Herstellung 
(Lichtbogenofen)]],Dropdown!$A$2:$D$4,4,FALSE)</f>
        <v>-</v>
      </c>
      <c r="S19" s="42" t="str">
        <f>VLOOKUP(Tabelle1420[[#This Row],[Ernährungsindustrie gesamt]],Dropdown!$A$2:$D$4,4,FALSE)</f>
        <v>-</v>
      </c>
      <c r="T19" s="42" t="str">
        <f>VLOOKUP(Tabelle1420[[#This Row],[Chemieindustrie gesamt]],Dropdown!$A$2:$D$4,4,FALSE)</f>
        <v>-</v>
      </c>
      <c r="U19" s="42" t="str">
        <f>VLOOKUP(Tabelle1420[[#This Row],[Kfz-Industrie gesamt]],Dropdown!$A$2:$D$4,4,FALSE)</f>
        <v>-</v>
      </c>
      <c r="V19" s="42" t="str">
        <f>VLOOKUP(Tabelle1420[[#This Row],[Maschinenbau gesamt]],Dropdown!$A$2:$D$4,4,FALSE)</f>
        <v>-</v>
      </c>
      <c r="W19" s="42" t="str">
        <f>VLOOKUP(Tabelle1420[[#This Row],[Glasindustrie gesamt]],Dropdown!$A$2:$D$4,4,FALSE)</f>
        <v>-</v>
      </c>
      <c r="X19" s="42" t="str">
        <f>VLOOKUP(Tabelle1420[[#This Row],[Behälterglasindustrie]],Dropdown!$A$2:$D$4,4,FALSE)</f>
        <v>-</v>
      </c>
      <c r="Y19" s="42" t="str">
        <f>VLOOKUP(Tabelle1420[[#This Row],[Silizium-Metall 
(Lichtbogenofen)]],Dropdown!$A$2:$D$4,4,FALSE)</f>
        <v>-</v>
      </c>
      <c r="Z19" s="42" t="str">
        <f>VLOOKUP(Tabelle1420[[#This Row],[Graphitelektroden 
(Graphitierungsofen)]],Dropdown!$A$2:$D$4,4,FALSE)</f>
        <v>-</v>
      </c>
    </row>
    <row r="20" spans="1:26" x14ac:dyDescent="0.25">
      <c r="A20" s="6">
        <v>19</v>
      </c>
      <c r="B20" s="42" t="str">
        <f>VLOOKUP(Tabelle1420[[#This Row],[Primäraluminiumelektrolyse]],Dropdown!$A$2:$D$4,4,FALSE)</f>
        <v>X</v>
      </c>
      <c r="C20" s="42" t="str">
        <f>VLOOKUP(Tabelle1420[[#This Row],[Papierherstellung 
(Prozess gesamt)]],Dropdown!$A$2:$D$4,4,FALSE)</f>
        <v>X</v>
      </c>
      <c r="D20" s="42" t="str">
        <f>VLOOKUP(Tabelle1420[[#This Row],[Holzstoff- und Zellstoffherstellung 
(Holzschleifer / Refiner)]],Dropdown!$A$2:$D$4,4,FALSE)</f>
        <v>X</v>
      </c>
      <c r="E20" s="42" t="str">
        <f>VLOOKUP(Tabelle1420[[#This Row],[Papiermaschinen]],Dropdown!$A$2:$D$4,4,FALSE)</f>
        <v>-</v>
      </c>
      <c r="F20" s="42" t="str">
        <f>VLOOKUP(Tabelle1420[[#This Row],[Altpapierrecycling (Pulper)]],Dropdown!$A$2:$D$4,4,FALSE)</f>
        <v>-</v>
      </c>
      <c r="G20" s="42" t="str">
        <f>VLOOKUP(Tabelle1420[[#This Row],[Papierveredelung 
(Streichmaschinen und Kalander)]],Dropdown!$A$2:$D$4,4,FALSE)</f>
        <v>-</v>
      </c>
      <c r="H20" s="42" t="str">
        <f>VLOOKUP(Tabelle1420[[#This Row],[Chlor-Alkali-Elektrolyse]],Dropdown!$A$2:$D$4,4,FALSE)</f>
        <v>X</v>
      </c>
      <c r="I20" s="42" t="str">
        <f>VLOOKUP(Tabelle1420[[#This Row],[Elektrostahlherstellung 
(Lichtbogenofen)]],Dropdown!$A$2:$D$4,4,FALSE)</f>
        <v>X</v>
      </c>
      <c r="J20" s="42" t="str">
        <f>VLOOKUP(Tabelle1420[[#This Row],[Zementherstellung 
(Prozess gesamt)]],Dropdown!$A$2:$D$4,4,FALSE)</f>
        <v>X</v>
      </c>
      <c r="K20" s="42" t="str">
        <f>VLOOKUP(Tabelle1420[[#This Row],[Zementmühlen]],Dropdown!$A$2:$D$4,4,FALSE)</f>
        <v>-</v>
      </c>
      <c r="L20" s="42" t="str">
        <f>VLOOKUP(Tabelle1420[[#This Row],[Luftzerlegung]],Dropdown!$A$2:$D$4,4,FALSE)</f>
        <v>-</v>
      </c>
      <c r="M20" s="42" t="str">
        <f>VLOOKUP(Tabelle1420[[#This Row],[Kupfer- und Zinkherstellung 
(Elektrolyse)]],Dropdown!$A$2:$D$4,4,FALSE)</f>
        <v>-</v>
      </c>
      <c r="N20" s="42" t="str">
        <f>VLOOKUP(Tabelle1420[[#This Row],[Primärkupferherstellung 
(elektrolytische Kupferraffination)]],Dropdown!$A$2:$D$4,4,FALSE)</f>
        <v>-</v>
      </c>
      <c r="O20" s="42" t="str">
        <f>VLOOKUP(Tabelle1420[[#This Row],[Primärzinkherstellung 
(Nasschemische Elektrolyse)]],Dropdown!$A$2:$D$4,4,FALSE)</f>
        <v>-</v>
      </c>
      <c r="P20" s="42" t="str">
        <f>VLOOKUP(Tabelle1420[[#This Row],[Metallbearbeitung 
(Wärmebehandlung)]],Dropdown!$A$2:$D$4,4,FALSE)</f>
        <v>-</v>
      </c>
      <c r="Q20" s="42" t="str">
        <f>VLOOKUP(Tabelle1420[[#This Row],[Gießereien (Induktionsofen)]],Dropdown!$A$2:$D$4,4,FALSE)</f>
        <v>-</v>
      </c>
      <c r="R20" s="42" t="str">
        <f>VLOOKUP(Tabelle1420[[#This Row],[Calciumcarbid-Herstellung 
(Lichtbogenofen)]],Dropdown!$A$2:$D$4,4,FALSE)</f>
        <v>-</v>
      </c>
      <c r="S20" s="42" t="str">
        <f>VLOOKUP(Tabelle1420[[#This Row],[Ernährungsindustrie gesamt]],Dropdown!$A$2:$D$4,4,FALSE)</f>
        <v>-</v>
      </c>
      <c r="T20" s="42" t="str">
        <f>VLOOKUP(Tabelle1420[[#This Row],[Chemieindustrie gesamt]],Dropdown!$A$2:$D$4,4,FALSE)</f>
        <v>-</v>
      </c>
      <c r="U20" s="42" t="str">
        <f>VLOOKUP(Tabelle1420[[#This Row],[Kfz-Industrie gesamt]],Dropdown!$A$2:$D$4,4,FALSE)</f>
        <v>-</v>
      </c>
      <c r="V20" s="42" t="str">
        <f>VLOOKUP(Tabelle1420[[#This Row],[Maschinenbau gesamt]],Dropdown!$A$2:$D$4,4,FALSE)</f>
        <v>-</v>
      </c>
      <c r="W20" s="42" t="str">
        <f>VLOOKUP(Tabelle1420[[#This Row],[Glasindustrie gesamt]],Dropdown!$A$2:$D$4,4,FALSE)</f>
        <v>-</v>
      </c>
      <c r="X20" s="42" t="str">
        <f>VLOOKUP(Tabelle1420[[#This Row],[Behälterglasindustrie]],Dropdown!$A$2:$D$4,4,FALSE)</f>
        <v>-</v>
      </c>
      <c r="Y20" s="42" t="str">
        <f>VLOOKUP(Tabelle1420[[#This Row],[Silizium-Metall 
(Lichtbogenofen)]],Dropdown!$A$2:$D$4,4,FALSE)</f>
        <v>-</v>
      </c>
      <c r="Z20" s="42" t="str">
        <f>VLOOKUP(Tabelle1420[[#This Row],[Graphitelektroden 
(Graphitierungsofen)]],Dropdown!$A$2:$D$4,4,FALSE)</f>
        <v>-</v>
      </c>
    </row>
    <row r="21" spans="1:26" x14ac:dyDescent="0.25">
      <c r="A21" s="6">
        <v>20</v>
      </c>
      <c r="B21" s="42" t="str">
        <f>VLOOKUP(Tabelle1420[[#This Row],[Primäraluminiumelektrolyse]],Dropdown!$A$2:$D$4,4,FALSE)</f>
        <v>X</v>
      </c>
      <c r="C21" s="42" t="str">
        <f>VLOOKUP(Tabelle1420[[#This Row],[Papierherstellung 
(Prozess gesamt)]],Dropdown!$A$2:$D$4,4,FALSE)</f>
        <v>X</v>
      </c>
      <c r="D21" s="42" t="str">
        <f>VLOOKUP(Tabelle1420[[#This Row],[Holzstoff- und Zellstoffherstellung 
(Holzschleifer / Refiner)]],Dropdown!$A$2:$D$4,4,FALSE)</f>
        <v>-</v>
      </c>
      <c r="E21" s="42" t="str">
        <f>VLOOKUP(Tabelle1420[[#This Row],[Papiermaschinen]],Dropdown!$A$2:$D$4,4,FALSE)</f>
        <v>-</v>
      </c>
      <c r="F21" s="42" t="str">
        <f>VLOOKUP(Tabelle1420[[#This Row],[Altpapierrecycling (Pulper)]],Dropdown!$A$2:$D$4,4,FALSE)</f>
        <v>-</v>
      </c>
      <c r="G21" s="42" t="str">
        <f>VLOOKUP(Tabelle1420[[#This Row],[Papierveredelung 
(Streichmaschinen und Kalander)]],Dropdown!$A$2:$D$4,4,FALSE)</f>
        <v>-</v>
      </c>
      <c r="H21" s="42" t="str">
        <f>VLOOKUP(Tabelle1420[[#This Row],[Chlor-Alkali-Elektrolyse]],Dropdown!$A$2:$D$4,4,FALSE)</f>
        <v>X</v>
      </c>
      <c r="I21" s="42" t="str">
        <f>VLOOKUP(Tabelle1420[[#This Row],[Elektrostahlherstellung 
(Lichtbogenofen)]],Dropdown!$A$2:$D$4,4,FALSE)</f>
        <v>X</v>
      </c>
      <c r="J21" s="42" t="str">
        <f>VLOOKUP(Tabelle1420[[#This Row],[Zementherstellung 
(Prozess gesamt)]],Dropdown!$A$2:$D$4,4,FALSE)</f>
        <v>X</v>
      </c>
      <c r="K21" s="42" t="str">
        <f>VLOOKUP(Tabelle1420[[#This Row],[Zementmühlen]],Dropdown!$A$2:$D$4,4,FALSE)</f>
        <v>-</v>
      </c>
      <c r="L21" s="42" t="str">
        <f>VLOOKUP(Tabelle1420[[#This Row],[Luftzerlegung]],Dropdown!$A$2:$D$4,4,FALSE)</f>
        <v>X</v>
      </c>
      <c r="M21" s="42" t="str">
        <f>VLOOKUP(Tabelle1420[[#This Row],[Kupfer- und Zinkherstellung 
(Elektrolyse)]],Dropdown!$A$2:$D$4,4,FALSE)</f>
        <v>-</v>
      </c>
      <c r="N21" s="42" t="str">
        <f>VLOOKUP(Tabelle1420[[#This Row],[Primärkupferherstellung 
(elektrolytische Kupferraffination)]],Dropdown!$A$2:$D$4,4,FALSE)</f>
        <v>-</v>
      </c>
      <c r="O21" s="42" t="str">
        <f>VLOOKUP(Tabelle1420[[#This Row],[Primärzinkherstellung 
(Nasschemische Elektrolyse)]],Dropdown!$A$2:$D$4,4,FALSE)</f>
        <v>-</v>
      </c>
      <c r="P21" s="42" t="str">
        <f>VLOOKUP(Tabelle1420[[#This Row],[Metallbearbeitung 
(Wärmebehandlung)]],Dropdown!$A$2:$D$4,4,FALSE)</f>
        <v>-</v>
      </c>
      <c r="Q21" s="42" t="str">
        <f>VLOOKUP(Tabelle1420[[#This Row],[Gießereien (Induktionsofen)]],Dropdown!$A$2:$D$4,4,FALSE)</f>
        <v>-</v>
      </c>
      <c r="R21" s="42" t="str">
        <f>VLOOKUP(Tabelle1420[[#This Row],[Calciumcarbid-Herstellung 
(Lichtbogenofen)]],Dropdown!$A$2:$D$4,4,FALSE)</f>
        <v>-</v>
      </c>
      <c r="S21" s="42" t="str">
        <f>VLOOKUP(Tabelle1420[[#This Row],[Ernährungsindustrie gesamt]],Dropdown!$A$2:$D$4,4,FALSE)</f>
        <v>-</v>
      </c>
      <c r="T21" s="42" t="str">
        <f>VLOOKUP(Tabelle1420[[#This Row],[Chemieindustrie gesamt]],Dropdown!$A$2:$D$4,4,FALSE)</f>
        <v>-</v>
      </c>
      <c r="U21" s="42" t="str">
        <f>VLOOKUP(Tabelle1420[[#This Row],[Kfz-Industrie gesamt]],Dropdown!$A$2:$D$4,4,FALSE)</f>
        <v>-</v>
      </c>
      <c r="V21" s="42" t="str">
        <f>VLOOKUP(Tabelle1420[[#This Row],[Maschinenbau gesamt]],Dropdown!$A$2:$D$4,4,FALSE)</f>
        <v>-</v>
      </c>
      <c r="W21" s="42" t="str">
        <f>VLOOKUP(Tabelle1420[[#This Row],[Glasindustrie gesamt]],Dropdown!$A$2:$D$4,4,FALSE)</f>
        <v>-</v>
      </c>
      <c r="X21" s="42" t="str">
        <f>VLOOKUP(Tabelle1420[[#This Row],[Behälterglasindustrie]],Dropdown!$A$2:$D$4,4,FALSE)</f>
        <v>-</v>
      </c>
      <c r="Y21" s="42" t="str">
        <f>VLOOKUP(Tabelle1420[[#This Row],[Silizium-Metall 
(Lichtbogenofen)]],Dropdown!$A$2:$D$4,4,FALSE)</f>
        <v>-</v>
      </c>
      <c r="Z21" s="42" t="str">
        <f>VLOOKUP(Tabelle1420[[#This Row],[Graphitelektroden 
(Graphitierungsofen)]],Dropdown!$A$2:$D$4,4,FALSE)</f>
        <v>-</v>
      </c>
    </row>
    <row r="22" spans="1:26" x14ac:dyDescent="0.25">
      <c r="A22" s="6">
        <v>21</v>
      </c>
      <c r="B22" s="42" t="str">
        <f>VLOOKUP(Tabelle1420[[#This Row],[Primäraluminiumelektrolyse]],Dropdown!$A$2:$D$4,4,FALSE)</f>
        <v>-</v>
      </c>
      <c r="C22" s="42" t="str">
        <f>VLOOKUP(Tabelle1420[[#This Row],[Papierherstellung 
(Prozess gesamt)]],Dropdown!$A$2:$D$4,4,FALSE)</f>
        <v>X</v>
      </c>
      <c r="D22" s="42" t="str">
        <f>VLOOKUP(Tabelle1420[[#This Row],[Holzstoff- und Zellstoffherstellung 
(Holzschleifer / Refiner)]],Dropdown!$A$2:$D$4,4,FALSE)</f>
        <v>-</v>
      </c>
      <c r="E22" s="42" t="str">
        <f>VLOOKUP(Tabelle1420[[#This Row],[Papiermaschinen]],Dropdown!$A$2:$D$4,4,FALSE)</f>
        <v>-</v>
      </c>
      <c r="F22" s="42" t="str">
        <f>VLOOKUP(Tabelle1420[[#This Row],[Altpapierrecycling (Pulper)]],Dropdown!$A$2:$D$4,4,FALSE)</f>
        <v>-</v>
      </c>
      <c r="G22" s="42" t="str">
        <f>VLOOKUP(Tabelle1420[[#This Row],[Papierveredelung 
(Streichmaschinen und Kalander)]],Dropdown!$A$2:$D$4,4,FALSE)</f>
        <v>-</v>
      </c>
      <c r="H22" s="42" t="str">
        <f>VLOOKUP(Tabelle1420[[#This Row],[Chlor-Alkali-Elektrolyse]],Dropdown!$A$2:$D$4,4,FALSE)</f>
        <v>-</v>
      </c>
      <c r="I22" s="42" t="str">
        <f>VLOOKUP(Tabelle1420[[#This Row],[Elektrostahlherstellung 
(Lichtbogenofen)]],Dropdown!$A$2:$D$4,4,FALSE)</f>
        <v>-</v>
      </c>
      <c r="J22" s="42" t="str">
        <f>VLOOKUP(Tabelle1420[[#This Row],[Zementherstellung 
(Prozess gesamt)]],Dropdown!$A$2:$D$4,4,FALSE)</f>
        <v>-</v>
      </c>
      <c r="K22" s="42" t="str">
        <f>VLOOKUP(Tabelle1420[[#This Row],[Zementmühlen]],Dropdown!$A$2:$D$4,4,FALSE)</f>
        <v>-</v>
      </c>
      <c r="L22" s="42" t="str">
        <f>VLOOKUP(Tabelle1420[[#This Row],[Luftzerlegung]],Dropdown!$A$2:$D$4,4,FALSE)</f>
        <v>-</v>
      </c>
      <c r="M22" s="42" t="str">
        <f>VLOOKUP(Tabelle1420[[#This Row],[Kupfer- und Zinkherstellung 
(Elektrolyse)]],Dropdown!$A$2:$D$4,4,FALSE)</f>
        <v>-</v>
      </c>
      <c r="N22" s="42" t="str">
        <f>VLOOKUP(Tabelle1420[[#This Row],[Primärkupferherstellung 
(elektrolytische Kupferraffination)]],Dropdown!$A$2:$D$4,4,FALSE)</f>
        <v>-</v>
      </c>
      <c r="O22" s="42" t="str">
        <f>VLOOKUP(Tabelle1420[[#This Row],[Primärzinkherstellung 
(Nasschemische Elektrolyse)]],Dropdown!$A$2:$D$4,4,FALSE)</f>
        <v>-</v>
      </c>
      <c r="P22" s="42" t="str">
        <f>VLOOKUP(Tabelle1420[[#This Row],[Metallbearbeitung 
(Wärmebehandlung)]],Dropdown!$A$2:$D$4,4,FALSE)</f>
        <v>X</v>
      </c>
      <c r="Q22" s="42" t="str">
        <f>VLOOKUP(Tabelle1420[[#This Row],[Gießereien (Induktionsofen)]],Dropdown!$A$2:$D$4,4,FALSE)</f>
        <v>-</v>
      </c>
      <c r="R22" s="42" t="str">
        <f>VLOOKUP(Tabelle1420[[#This Row],[Calciumcarbid-Herstellung 
(Lichtbogenofen)]],Dropdown!$A$2:$D$4,4,FALSE)</f>
        <v>-</v>
      </c>
      <c r="S22" s="42" t="str">
        <f>VLOOKUP(Tabelle1420[[#This Row],[Ernährungsindustrie gesamt]],Dropdown!$A$2:$D$4,4,FALSE)</f>
        <v>X</v>
      </c>
      <c r="T22" s="42" t="str">
        <f>VLOOKUP(Tabelle1420[[#This Row],[Chemieindustrie gesamt]],Dropdown!$A$2:$D$4,4,FALSE)</f>
        <v>X</v>
      </c>
      <c r="U22" s="42" t="str">
        <f>VLOOKUP(Tabelle1420[[#This Row],[Kfz-Industrie gesamt]],Dropdown!$A$2:$D$4,4,FALSE)</f>
        <v>X</v>
      </c>
      <c r="V22" s="42" t="str">
        <f>VLOOKUP(Tabelle1420[[#This Row],[Maschinenbau gesamt]],Dropdown!$A$2:$D$4,4,FALSE)</f>
        <v>X</v>
      </c>
      <c r="W22" s="42" t="str">
        <f>VLOOKUP(Tabelle1420[[#This Row],[Glasindustrie gesamt]],Dropdown!$A$2:$D$4,4,FALSE)</f>
        <v>X</v>
      </c>
      <c r="X22" s="42" t="str">
        <f>VLOOKUP(Tabelle1420[[#This Row],[Behälterglasindustrie]],Dropdown!$A$2:$D$4,4,FALSE)</f>
        <v>-</v>
      </c>
      <c r="Y22" s="42" t="str">
        <f>VLOOKUP(Tabelle1420[[#This Row],[Silizium-Metall 
(Lichtbogenofen)]],Dropdown!$A$2:$D$4,4,FALSE)</f>
        <v>-</v>
      </c>
      <c r="Z22" s="42" t="str">
        <f>VLOOKUP(Tabelle1420[[#This Row],[Graphitelektroden 
(Graphitierungsofen)]],Dropdown!$A$2:$D$4,4,FALSE)</f>
        <v>-</v>
      </c>
    </row>
    <row r="23" spans="1:26" x14ac:dyDescent="0.25">
      <c r="A23" s="6">
        <v>22</v>
      </c>
      <c r="B23" s="42" t="str">
        <f>VLOOKUP(Tabelle1420[[#This Row],[Primäraluminiumelektrolyse]],Dropdown!$A$2:$D$4,4,FALSE)</f>
        <v>X</v>
      </c>
      <c r="C23" s="42" t="str">
        <f>VLOOKUP(Tabelle1420[[#This Row],[Papierherstellung 
(Prozess gesamt)]],Dropdown!$A$2:$D$4,4,FALSE)</f>
        <v>-</v>
      </c>
      <c r="D23" s="42" t="str">
        <f>VLOOKUP(Tabelle1420[[#This Row],[Holzstoff- und Zellstoffherstellung 
(Holzschleifer / Refiner)]],Dropdown!$A$2:$D$4,4,FALSE)</f>
        <v>X</v>
      </c>
      <c r="E23" s="42" t="str">
        <f>VLOOKUP(Tabelle1420[[#This Row],[Papiermaschinen]],Dropdown!$A$2:$D$4,4,FALSE)</f>
        <v>X</v>
      </c>
      <c r="F23" s="42" t="str">
        <f>VLOOKUP(Tabelle1420[[#This Row],[Altpapierrecycling (Pulper)]],Dropdown!$A$2:$D$4,4,FALSE)</f>
        <v>X</v>
      </c>
      <c r="G23" s="42" t="str">
        <f>VLOOKUP(Tabelle1420[[#This Row],[Papierveredelung 
(Streichmaschinen und Kalander)]],Dropdown!$A$2:$D$4,4,FALSE)</f>
        <v>-</v>
      </c>
      <c r="H23" s="42" t="str">
        <f>VLOOKUP(Tabelle1420[[#This Row],[Chlor-Alkali-Elektrolyse]],Dropdown!$A$2:$D$4,4,FALSE)</f>
        <v>X</v>
      </c>
      <c r="I23" s="42" t="str">
        <f>VLOOKUP(Tabelle1420[[#This Row],[Elektrostahlherstellung 
(Lichtbogenofen)]],Dropdown!$A$2:$D$4,4,FALSE)</f>
        <v>X</v>
      </c>
      <c r="J23" s="42" t="str">
        <f>VLOOKUP(Tabelle1420[[#This Row],[Zementherstellung 
(Prozess gesamt)]],Dropdown!$A$2:$D$4,4,FALSE)</f>
        <v>X</v>
      </c>
      <c r="K23" s="42" t="str">
        <f>VLOOKUP(Tabelle1420[[#This Row],[Zementmühlen]],Dropdown!$A$2:$D$4,4,FALSE)</f>
        <v>-</v>
      </c>
      <c r="L23" s="42" t="str">
        <f>VLOOKUP(Tabelle1420[[#This Row],[Luftzerlegung]],Dropdown!$A$2:$D$4,4,FALSE)</f>
        <v>X</v>
      </c>
      <c r="M23" s="42" t="str">
        <f>VLOOKUP(Tabelle1420[[#This Row],[Kupfer- und Zinkherstellung 
(Elektrolyse)]],Dropdown!$A$2:$D$4,4,FALSE)</f>
        <v>-</v>
      </c>
      <c r="N23" s="42" t="str">
        <f>VLOOKUP(Tabelle1420[[#This Row],[Primärkupferherstellung 
(elektrolytische Kupferraffination)]],Dropdown!$A$2:$D$4,4,FALSE)</f>
        <v>X</v>
      </c>
      <c r="O23" s="42" t="str">
        <f>VLOOKUP(Tabelle1420[[#This Row],[Primärzinkherstellung 
(Nasschemische Elektrolyse)]],Dropdown!$A$2:$D$4,4,FALSE)</f>
        <v>X</v>
      </c>
      <c r="P23" s="42" t="str">
        <f>VLOOKUP(Tabelle1420[[#This Row],[Metallbearbeitung 
(Wärmebehandlung)]],Dropdown!$A$2:$D$4,4,FALSE)</f>
        <v>-</v>
      </c>
      <c r="Q23" s="42" t="str">
        <f>VLOOKUP(Tabelle1420[[#This Row],[Gießereien (Induktionsofen)]],Dropdown!$A$2:$D$4,4,FALSE)</f>
        <v>-</v>
      </c>
      <c r="R23" s="42" t="str">
        <f>VLOOKUP(Tabelle1420[[#This Row],[Calciumcarbid-Herstellung 
(Lichtbogenofen)]],Dropdown!$A$2:$D$4,4,FALSE)</f>
        <v>X</v>
      </c>
      <c r="S23" s="42" t="str">
        <f>VLOOKUP(Tabelle1420[[#This Row],[Ernährungsindustrie gesamt]],Dropdown!$A$2:$D$4,4,FALSE)</f>
        <v>-</v>
      </c>
      <c r="T23" s="42" t="str">
        <f>VLOOKUP(Tabelle1420[[#This Row],[Chemieindustrie gesamt]],Dropdown!$A$2:$D$4,4,FALSE)</f>
        <v>-</v>
      </c>
      <c r="U23" s="42" t="str">
        <f>VLOOKUP(Tabelle1420[[#This Row],[Kfz-Industrie gesamt]],Dropdown!$A$2:$D$4,4,FALSE)</f>
        <v>-</v>
      </c>
      <c r="V23" s="42" t="str">
        <f>VLOOKUP(Tabelle1420[[#This Row],[Maschinenbau gesamt]],Dropdown!$A$2:$D$4,4,FALSE)</f>
        <v>-</v>
      </c>
      <c r="W23" s="42" t="str">
        <f>VLOOKUP(Tabelle1420[[#This Row],[Glasindustrie gesamt]],Dropdown!$A$2:$D$4,4,FALSE)</f>
        <v>-</v>
      </c>
      <c r="X23" s="42" t="str">
        <f>VLOOKUP(Tabelle1420[[#This Row],[Behälterglasindustrie]],Dropdown!$A$2:$D$4,4,FALSE)</f>
        <v>-</v>
      </c>
      <c r="Y23" s="42" t="str">
        <f>VLOOKUP(Tabelle1420[[#This Row],[Silizium-Metall 
(Lichtbogenofen)]],Dropdown!$A$2:$D$4,4,FALSE)</f>
        <v>-</v>
      </c>
      <c r="Z23" s="42" t="str">
        <f>VLOOKUP(Tabelle1420[[#This Row],[Graphitelektroden 
(Graphitierungsofen)]],Dropdown!$A$2:$D$4,4,FALSE)</f>
        <v>-</v>
      </c>
    </row>
    <row r="24" spans="1:26" x14ac:dyDescent="0.25">
      <c r="A24" s="6">
        <v>23</v>
      </c>
      <c r="B24" s="42" t="str">
        <f>VLOOKUP(Tabelle1420[[#This Row],[Primäraluminiumelektrolyse]],Dropdown!$A$2:$D$4,4,FALSE)</f>
        <v>-</v>
      </c>
      <c r="C24" s="42" t="str">
        <f>VLOOKUP(Tabelle1420[[#This Row],[Papierherstellung 
(Prozess gesamt)]],Dropdown!$A$2:$D$4,4,FALSE)</f>
        <v>-</v>
      </c>
      <c r="D24" s="42" t="str">
        <f>VLOOKUP(Tabelle1420[[#This Row],[Holzstoff- und Zellstoffherstellung 
(Holzschleifer / Refiner)]],Dropdown!$A$2:$D$4,4,FALSE)</f>
        <v>-</v>
      </c>
      <c r="E24" s="42" t="str">
        <f>VLOOKUP(Tabelle1420[[#This Row],[Papiermaschinen]],Dropdown!$A$2:$D$4,4,FALSE)</f>
        <v>-</v>
      </c>
      <c r="F24" s="42" t="str">
        <f>VLOOKUP(Tabelle1420[[#This Row],[Altpapierrecycling (Pulper)]],Dropdown!$A$2:$D$4,4,FALSE)</f>
        <v>-</v>
      </c>
      <c r="G24" s="42" t="str">
        <f>VLOOKUP(Tabelle1420[[#This Row],[Papierveredelung 
(Streichmaschinen und Kalander)]],Dropdown!$A$2:$D$4,4,FALSE)</f>
        <v>-</v>
      </c>
      <c r="H24" s="42" t="str">
        <f>VLOOKUP(Tabelle1420[[#This Row],[Chlor-Alkali-Elektrolyse]],Dropdown!$A$2:$D$4,4,FALSE)</f>
        <v>-</v>
      </c>
      <c r="I24" s="42" t="str">
        <f>VLOOKUP(Tabelle1420[[#This Row],[Elektrostahlherstellung 
(Lichtbogenofen)]],Dropdown!$A$2:$D$4,4,FALSE)</f>
        <v>-</v>
      </c>
      <c r="J24" s="42" t="str">
        <f>VLOOKUP(Tabelle1420[[#This Row],[Zementherstellung 
(Prozess gesamt)]],Dropdown!$A$2:$D$4,4,FALSE)</f>
        <v>-</v>
      </c>
      <c r="K24" s="42" t="str">
        <f>VLOOKUP(Tabelle1420[[#This Row],[Zementmühlen]],Dropdown!$A$2:$D$4,4,FALSE)</f>
        <v>-</v>
      </c>
      <c r="L24" s="42" t="str">
        <f>VLOOKUP(Tabelle1420[[#This Row],[Luftzerlegung]],Dropdown!$A$2:$D$4,4,FALSE)</f>
        <v>-</v>
      </c>
      <c r="M24" s="42" t="str">
        <f>VLOOKUP(Tabelle1420[[#This Row],[Kupfer- und Zinkherstellung 
(Elektrolyse)]],Dropdown!$A$2:$D$4,4,FALSE)</f>
        <v>-</v>
      </c>
      <c r="N24" s="42" t="str">
        <f>VLOOKUP(Tabelle1420[[#This Row],[Primärkupferherstellung 
(elektrolytische Kupferraffination)]],Dropdown!$A$2:$D$4,4,FALSE)</f>
        <v>-</v>
      </c>
      <c r="O24" s="42" t="str">
        <f>VLOOKUP(Tabelle1420[[#This Row],[Primärzinkherstellung 
(Nasschemische Elektrolyse)]],Dropdown!$A$2:$D$4,4,FALSE)</f>
        <v>-</v>
      </c>
      <c r="P24" s="42" t="str">
        <f>VLOOKUP(Tabelle1420[[#This Row],[Metallbearbeitung 
(Wärmebehandlung)]],Dropdown!$A$2:$D$4,4,FALSE)</f>
        <v>-</v>
      </c>
      <c r="Q24" s="42" t="str">
        <f>VLOOKUP(Tabelle1420[[#This Row],[Gießereien (Induktionsofen)]],Dropdown!$A$2:$D$4,4,FALSE)</f>
        <v>-</v>
      </c>
      <c r="R24" s="42" t="str">
        <f>VLOOKUP(Tabelle1420[[#This Row],[Calciumcarbid-Herstellung 
(Lichtbogenofen)]],Dropdown!$A$2:$D$4,4,FALSE)</f>
        <v>-</v>
      </c>
      <c r="S24" s="42" t="str">
        <f>VLOOKUP(Tabelle1420[[#This Row],[Ernährungsindustrie gesamt]],Dropdown!$A$2:$D$4,4,FALSE)</f>
        <v>-</v>
      </c>
      <c r="T24" s="42" t="str">
        <f>VLOOKUP(Tabelle1420[[#This Row],[Chemieindustrie gesamt]],Dropdown!$A$2:$D$4,4,FALSE)</f>
        <v>-</v>
      </c>
      <c r="U24" s="42" t="str">
        <f>VLOOKUP(Tabelle1420[[#This Row],[Kfz-Industrie gesamt]],Dropdown!$A$2:$D$4,4,FALSE)</f>
        <v>-</v>
      </c>
      <c r="V24" s="42" t="str">
        <f>VLOOKUP(Tabelle1420[[#This Row],[Maschinenbau gesamt]],Dropdown!$A$2:$D$4,4,FALSE)</f>
        <v>-</v>
      </c>
      <c r="W24" s="42" t="str">
        <f>VLOOKUP(Tabelle1420[[#This Row],[Glasindustrie gesamt]],Dropdown!$A$2:$D$4,4,FALSE)</f>
        <v>-</v>
      </c>
      <c r="X24" s="42" t="str">
        <f>VLOOKUP(Tabelle1420[[#This Row],[Behälterglasindustrie]],Dropdown!$A$2:$D$4,4,FALSE)</f>
        <v>-</v>
      </c>
      <c r="Y24" s="42" t="str">
        <f>VLOOKUP(Tabelle1420[[#This Row],[Silizium-Metall 
(Lichtbogenofen)]],Dropdown!$A$2:$D$4,4,FALSE)</f>
        <v>-</v>
      </c>
      <c r="Z24" s="42" t="str">
        <f>VLOOKUP(Tabelle1420[[#This Row],[Graphitelektroden 
(Graphitierungsofen)]],Dropdown!$A$2:$D$4,4,FALSE)</f>
        <v>-</v>
      </c>
    </row>
    <row r="25" spans="1:26" x14ac:dyDescent="0.25">
      <c r="A25" s="6">
        <v>24</v>
      </c>
      <c r="B25" s="42" t="str">
        <f>VLOOKUP(Tabelle1420[[#This Row],[Primäraluminiumelektrolyse]],Dropdown!$A$2:$D$4,4,FALSE)</f>
        <v>X</v>
      </c>
      <c r="C25" s="42" t="str">
        <f>VLOOKUP(Tabelle1420[[#This Row],[Papierherstellung 
(Prozess gesamt)]],Dropdown!$A$2:$D$4,4,FALSE)</f>
        <v>-</v>
      </c>
      <c r="D25" s="42" t="str">
        <f>VLOOKUP(Tabelle1420[[#This Row],[Holzstoff- und Zellstoffherstellung 
(Holzschleifer / Refiner)]],Dropdown!$A$2:$D$4,4,FALSE)</f>
        <v>X</v>
      </c>
      <c r="E25" s="42" t="str">
        <f>VLOOKUP(Tabelle1420[[#This Row],[Papiermaschinen]],Dropdown!$A$2:$D$4,4,FALSE)</f>
        <v>X</v>
      </c>
      <c r="F25" s="42" t="str">
        <f>VLOOKUP(Tabelle1420[[#This Row],[Altpapierrecycling (Pulper)]],Dropdown!$A$2:$D$4,4,FALSE)</f>
        <v>X</v>
      </c>
      <c r="G25" s="42" t="str">
        <f>VLOOKUP(Tabelle1420[[#This Row],[Papierveredelung 
(Streichmaschinen und Kalander)]],Dropdown!$A$2:$D$4,4,FALSE)</f>
        <v>-</v>
      </c>
      <c r="H25" s="42" t="str">
        <f>VLOOKUP(Tabelle1420[[#This Row],[Chlor-Alkali-Elektrolyse]],Dropdown!$A$2:$D$4,4,FALSE)</f>
        <v>X</v>
      </c>
      <c r="I25" s="42" t="str">
        <f>VLOOKUP(Tabelle1420[[#This Row],[Elektrostahlherstellung 
(Lichtbogenofen)]],Dropdown!$A$2:$D$4,4,FALSE)</f>
        <v>X</v>
      </c>
      <c r="J25" s="42" t="str">
        <f>VLOOKUP(Tabelle1420[[#This Row],[Zementherstellung 
(Prozess gesamt)]],Dropdown!$A$2:$D$4,4,FALSE)</f>
        <v>X</v>
      </c>
      <c r="K25" s="42" t="str">
        <f>VLOOKUP(Tabelle1420[[#This Row],[Zementmühlen]],Dropdown!$A$2:$D$4,4,FALSE)</f>
        <v>-</v>
      </c>
      <c r="L25" s="42" t="str">
        <f>VLOOKUP(Tabelle1420[[#This Row],[Luftzerlegung]],Dropdown!$A$2:$D$4,4,FALSE)</f>
        <v>X</v>
      </c>
      <c r="M25" s="42" t="str">
        <f>VLOOKUP(Tabelle1420[[#This Row],[Kupfer- und Zinkherstellung 
(Elektrolyse)]],Dropdown!$A$2:$D$4,4,FALSE)</f>
        <v>-</v>
      </c>
      <c r="N25" s="42" t="str">
        <f>VLOOKUP(Tabelle1420[[#This Row],[Primärkupferherstellung 
(elektrolytische Kupferraffination)]],Dropdown!$A$2:$D$4,4,FALSE)</f>
        <v>X</v>
      </c>
      <c r="O25" s="42" t="str">
        <f>VLOOKUP(Tabelle1420[[#This Row],[Primärzinkherstellung 
(Nasschemische Elektrolyse)]],Dropdown!$A$2:$D$4,4,FALSE)</f>
        <v>X</v>
      </c>
      <c r="P25" s="42" t="str">
        <f>VLOOKUP(Tabelle1420[[#This Row],[Metallbearbeitung 
(Wärmebehandlung)]],Dropdown!$A$2:$D$4,4,FALSE)</f>
        <v>-</v>
      </c>
      <c r="Q25" s="42" t="str">
        <f>VLOOKUP(Tabelle1420[[#This Row],[Gießereien (Induktionsofen)]],Dropdown!$A$2:$D$4,4,FALSE)</f>
        <v>X</v>
      </c>
      <c r="R25" s="42" t="str">
        <f>VLOOKUP(Tabelle1420[[#This Row],[Calciumcarbid-Herstellung 
(Lichtbogenofen)]],Dropdown!$A$2:$D$4,4,FALSE)</f>
        <v>X</v>
      </c>
      <c r="S25" s="42" t="str">
        <f>VLOOKUP(Tabelle1420[[#This Row],[Ernährungsindustrie gesamt]],Dropdown!$A$2:$D$4,4,FALSE)</f>
        <v>-</v>
      </c>
      <c r="T25" s="42" t="str">
        <f>VLOOKUP(Tabelle1420[[#This Row],[Chemieindustrie gesamt]],Dropdown!$A$2:$D$4,4,FALSE)</f>
        <v>-</v>
      </c>
      <c r="U25" s="42" t="str">
        <f>VLOOKUP(Tabelle1420[[#This Row],[Kfz-Industrie gesamt]],Dropdown!$A$2:$D$4,4,FALSE)</f>
        <v>-</v>
      </c>
      <c r="V25" s="42" t="str">
        <f>VLOOKUP(Tabelle1420[[#This Row],[Maschinenbau gesamt]],Dropdown!$A$2:$D$4,4,FALSE)</f>
        <v>-</v>
      </c>
      <c r="W25" s="42" t="str">
        <f>VLOOKUP(Tabelle1420[[#This Row],[Glasindustrie gesamt]],Dropdown!$A$2:$D$4,4,FALSE)</f>
        <v>-</v>
      </c>
      <c r="X25" s="42" t="str">
        <f>VLOOKUP(Tabelle1420[[#This Row],[Behälterglasindustrie]],Dropdown!$A$2:$D$4,4,FALSE)</f>
        <v>X</v>
      </c>
      <c r="Y25" s="42" t="str">
        <f>VLOOKUP(Tabelle1420[[#This Row],[Silizium-Metall 
(Lichtbogenofen)]],Dropdown!$A$2:$D$4,4,FALSE)</f>
        <v>X</v>
      </c>
      <c r="Z25" s="42" t="str">
        <f>VLOOKUP(Tabelle1420[[#This Row],[Graphitelektroden 
(Graphitierungsofen)]],Dropdown!$A$2:$D$4,4,FALSE)</f>
        <v>X</v>
      </c>
    </row>
    <row r="26" spans="1:26" x14ac:dyDescent="0.25">
      <c r="A26" s="6">
        <v>25</v>
      </c>
      <c r="B26" s="42" t="str">
        <f>VLOOKUP(Tabelle1420[[#This Row],[Primäraluminiumelektrolyse]],Dropdown!$A$2:$D$4,4,FALSE)</f>
        <v>(X)</v>
      </c>
      <c r="C26" s="42" t="str">
        <f>VLOOKUP(Tabelle1420[[#This Row],[Papierherstellung 
(Prozess gesamt)]],Dropdown!$A$2:$D$4,4,FALSE)</f>
        <v>(X)</v>
      </c>
      <c r="D26" s="42" t="str">
        <f>VLOOKUP(Tabelle1420[[#This Row],[Holzstoff- und Zellstoffherstellung 
(Holzschleifer / Refiner)]],Dropdown!$A$2:$D$4,4,FALSE)</f>
        <v>-</v>
      </c>
      <c r="E26" s="42" t="str">
        <f>VLOOKUP(Tabelle1420[[#This Row],[Papiermaschinen]],Dropdown!$A$2:$D$4,4,FALSE)</f>
        <v>-</v>
      </c>
      <c r="F26" s="42" t="str">
        <f>VLOOKUP(Tabelle1420[[#This Row],[Altpapierrecycling (Pulper)]],Dropdown!$A$2:$D$4,4,FALSE)</f>
        <v>-</v>
      </c>
      <c r="G26" s="42" t="str">
        <f>VLOOKUP(Tabelle1420[[#This Row],[Papierveredelung 
(Streichmaschinen und Kalander)]],Dropdown!$A$2:$D$4,4,FALSE)</f>
        <v>-</v>
      </c>
      <c r="H26" s="42" t="str">
        <f>VLOOKUP(Tabelle1420[[#This Row],[Chlor-Alkali-Elektrolyse]],Dropdown!$A$2:$D$4,4,FALSE)</f>
        <v>(X)</v>
      </c>
      <c r="I26" s="42" t="str">
        <f>VLOOKUP(Tabelle1420[[#This Row],[Elektrostahlherstellung 
(Lichtbogenofen)]],Dropdown!$A$2:$D$4,4,FALSE)</f>
        <v>(X)</v>
      </c>
      <c r="J26" s="42" t="str">
        <f>VLOOKUP(Tabelle1420[[#This Row],[Zementherstellung 
(Prozess gesamt)]],Dropdown!$A$2:$D$4,4,FALSE)</f>
        <v>(X)</v>
      </c>
      <c r="K26" s="42" t="str">
        <f>VLOOKUP(Tabelle1420[[#This Row],[Zementmühlen]],Dropdown!$A$2:$D$4,4,FALSE)</f>
        <v>-</v>
      </c>
      <c r="L26" s="42" t="str">
        <f>VLOOKUP(Tabelle1420[[#This Row],[Luftzerlegung]],Dropdown!$A$2:$D$4,4,FALSE)</f>
        <v>-</v>
      </c>
      <c r="M26" s="42" t="str">
        <f>VLOOKUP(Tabelle1420[[#This Row],[Kupfer- und Zinkherstellung 
(Elektrolyse)]],Dropdown!$A$2:$D$4,4,FALSE)</f>
        <v>-</v>
      </c>
      <c r="N26" s="42" t="str">
        <f>VLOOKUP(Tabelle1420[[#This Row],[Primärkupferherstellung 
(elektrolytische Kupferraffination)]],Dropdown!$A$2:$D$4,4,FALSE)</f>
        <v>-</v>
      </c>
      <c r="O26" s="42" t="str">
        <f>VLOOKUP(Tabelle1420[[#This Row],[Primärzinkherstellung 
(Nasschemische Elektrolyse)]],Dropdown!$A$2:$D$4,4,FALSE)</f>
        <v>-</v>
      </c>
      <c r="P26" s="42" t="str">
        <f>VLOOKUP(Tabelle1420[[#This Row],[Metallbearbeitung 
(Wärmebehandlung)]],Dropdown!$A$2:$D$4,4,FALSE)</f>
        <v>-</v>
      </c>
      <c r="Q26" s="42" t="str">
        <f>VLOOKUP(Tabelle1420[[#This Row],[Gießereien (Induktionsofen)]],Dropdown!$A$2:$D$4,4,FALSE)</f>
        <v>-</v>
      </c>
      <c r="R26" s="42" t="str">
        <f>VLOOKUP(Tabelle1420[[#This Row],[Calciumcarbid-Herstellung 
(Lichtbogenofen)]],Dropdown!$A$2:$D$4,4,FALSE)</f>
        <v>-</v>
      </c>
      <c r="S26" s="42" t="str">
        <f>VLOOKUP(Tabelle1420[[#This Row],[Ernährungsindustrie gesamt]],Dropdown!$A$2:$D$4,4,FALSE)</f>
        <v>-</v>
      </c>
      <c r="T26" s="42" t="str">
        <f>VLOOKUP(Tabelle1420[[#This Row],[Chemieindustrie gesamt]],Dropdown!$A$2:$D$4,4,FALSE)</f>
        <v>-</v>
      </c>
      <c r="U26" s="42" t="str">
        <f>VLOOKUP(Tabelle1420[[#This Row],[Kfz-Industrie gesamt]],Dropdown!$A$2:$D$4,4,FALSE)</f>
        <v>-</v>
      </c>
      <c r="V26" s="42" t="str">
        <f>VLOOKUP(Tabelle1420[[#This Row],[Maschinenbau gesamt]],Dropdown!$A$2:$D$4,4,FALSE)</f>
        <v>-</v>
      </c>
      <c r="W26" s="42" t="str">
        <f>VLOOKUP(Tabelle1420[[#This Row],[Glasindustrie gesamt]],Dropdown!$A$2:$D$4,4,FALSE)</f>
        <v>-</v>
      </c>
      <c r="X26" s="42" t="str">
        <f>VLOOKUP(Tabelle1420[[#This Row],[Behälterglasindustrie]],Dropdown!$A$2:$D$4,4,FALSE)</f>
        <v>-</v>
      </c>
      <c r="Y26" s="42" t="str">
        <f>VLOOKUP(Tabelle1420[[#This Row],[Silizium-Metall 
(Lichtbogenofen)]],Dropdown!$A$2:$D$4,4,FALSE)</f>
        <v>-</v>
      </c>
      <c r="Z26" s="42" t="str">
        <f>VLOOKUP(Tabelle1420[[#This Row],[Graphitelektroden 
(Graphitierungsofen)]],Dropdown!$A$2:$D$4,4,FALSE)</f>
        <v>-</v>
      </c>
    </row>
    <row r="27" spans="1:26" x14ac:dyDescent="0.25">
      <c r="A27" s="51" t="s">
        <v>854</v>
      </c>
      <c r="B27" s="60">
        <f>Tabelle1420[[#This Row],[Primäraluminiumelektrolyse]]</f>
        <v>17.5</v>
      </c>
      <c r="C27" s="60">
        <f>Tabelle1420[[#This Row],[Papierherstellung 
(Prozess gesamt)]]</f>
        <v>7.5</v>
      </c>
      <c r="D27" s="60">
        <f>Tabelle1420[[#This Row],[Holzstoff- und Zellstoffherstellung 
(Holzschleifer / Refiner)]]</f>
        <v>13</v>
      </c>
      <c r="E27" s="60">
        <f>Tabelle1420[[#This Row],[Papiermaschinen]]</f>
        <v>7</v>
      </c>
      <c r="F27" s="60">
        <f>Tabelle1420[[#This Row],[Altpapierrecycling (Pulper)]]</f>
        <v>6</v>
      </c>
      <c r="G27" s="60">
        <f>Tabelle1420[[#This Row],[Papierveredelung 
(Streichmaschinen und Kalander)]]</f>
        <v>3</v>
      </c>
      <c r="H27" s="60">
        <f>Tabelle1420[[#This Row],[Chlor-Alkali-Elektrolyse]]</f>
        <v>18.5</v>
      </c>
      <c r="I27" s="60">
        <f>Tabelle1420[[#This Row],[Elektrostahlherstellung 
(Lichtbogenofen)]]</f>
        <v>18.5</v>
      </c>
      <c r="J27" s="60">
        <f>Tabelle1420[[#This Row],[Zementherstellung 
(Prozess gesamt)]]</f>
        <v>16.5</v>
      </c>
      <c r="K27" s="60">
        <f>Tabelle1420[[#This Row],[Zementmühlen]]</f>
        <v>1</v>
      </c>
      <c r="L27" s="60">
        <f>Tabelle1420[[#This Row],[Luftzerlegung]]</f>
        <v>8.5</v>
      </c>
      <c r="M27" s="60">
        <f>Tabelle1420[[#This Row],[Kupfer- und Zinkherstellung 
(Elektrolyse)]]</f>
        <v>3</v>
      </c>
      <c r="N27" s="60">
        <f>Tabelle1420[[#This Row],[Primärkupferherstellung 
(elektrolytische Kupferraffination)]]</f>
        <v>4</v>
      </c>
      <c r="O27" s="60">
        <f>Tabelle1420[[#This Row],[Primärzinkherstellung 
(Nasschemische Elektrolyse)]]</f>
        <v>4</v>
      </c>
      <c r="P27" s="60">
        <f>Tabelle1420[[#This Row],[Metallbearbeitung 
(Wärmebehandlung)]]</f>
        <v>2.5</v>
      </c>
      <c r="Q27" s="60">
        <f>Tabelle1420[[#This Row],[Gießereien (Induktionsofen)]]</f>
        <v>2.5</v>
      </c>
      <c r="R27" s="60">
        <f>Tabelle1420[[#This Row],[Calciumcarbid-Herstellung 
(Lichtbogenofen)]]</f>
        <v>3</v>
      </c>
      <c r="S27" s="60">
        <f>Tabelle1420[[#This Row],[Ernährungsindustrie gesamt]]</f>
        <v>2</v>
      </c>
      <c r="T27" s="60">
        <f>Tabelle1420[[#This Row],[Chemieindustrie gesamt]]</f>
        <v>2</v>
      </c>
      <c r="U27" s="60">
        <f>Tabelle1420[[#This Row],[Kfz-Industrie gesamt]]</f>
        <v>2</v>
      </c>
      <c r="V27" s="60">
        <f>Tabelle1420[[#This Row],[Maschinenbau gesamt]]</f>
        <v>2</v>
      </c>
      <c r="W27" s="60">
        <f>Tabelle1420[[#This Row],[Glasindustrie gesamt]]</f>
        <v>2</v>
      </c>
      <c r="X27" s="60">
        <f>Tabelle1420[[#This Row],[Behälterglasindustrie]]</f>
        <v>2</v>
      </c>
      <c r="Y27" s="60">
        <f>Tabelle1420[[#This Row],[Silizium-Metall 
(Lichtbogenofen)]]</f>
        <v>1</v>
      </c>
      <c r="Z27" s="60">
        <f>Tabelle1420[[#This Row],[Papierherstellung 
(Prozess gesamt)]]</f>
        <v>7.5</v>
      </c>
    </row>
  </sheetData>
  <pageMargins left="0.7" right="0.7" top="0.78740157499999996" bottom="0.78740157499999996"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C3898-78CE-4B4F-BA70-96EF50C8BBDF}">
  <sheetPr>
    <tabColor theme="5" tint="0.79998168889431442"/>
  </sheetPr>
  <dimension ref="A1:N27"/>
  <sheetViews>
    <sheetView workbookViewId="0">
      <pane xSplit="1" ySplit="1" topLeftCell="B2" activePane="bottomRight" state="frozen"/>
      <selection pane="topRight" activeCell="B1" sqref="B1"/>
      <selection pane="bottomLeft" activeCell="A2" sqref="A2"/>
      <selection pane="bottomRight" activeCell="K2" sqref="K2"/>
    </sheetView>
  </sheetViews>
  <sheetFormatPr baseColWidth="10" defaultRowHeight="15.75" x14ac:dyDescent="0.25"/>
  <cols>
    <col min="1" max="1" width="17.625" customWidth="1"/>
    <col min="2" max="13" width="5.875" style="7" customWidth="1"/>
  </cols>
  <sheetData>
    <row r="1" spans="1:14" ht="169.5" x14ac:dyDescent="0.25">
      <c r="A1" s="50" t="s">
        <v>1</v>
      </c>
      <c r="B1" s="43" t="s">
        <v>1654</v>
      </c>
      <c r="C1" s="43" t="s">
        <v>1655</v>
      </c>
      <c r="D1" s="43" t="s">
        <v>1656</v>
      </c>
      <c r="E1" s="43" t="s">
        <v>1657</v>
      </c>
      <c r="F1" s="43" t="s">
        <v>1658</v>
      </c>
      <c r="G1" s="43" t="s">
        <v>1659</v>
      </c>
      <c r="H1" s="43" t="s">
        <v>1660</v>
      </c>
      <c r="I1" s="43" t="s">
        <v>1661</v>
      </c>
      <c r="J1" s="43" t="s">
        <v>1662</v>
      </c>
      <c r="K1" s="43" t="s">
        <v>1663</v>
      </c>
      <c r="L1" s="43" t="s">
        <v>1664</v>
      </c>
      <c r="M1" s="43" t="s">
        <v>1665</v>
      </c>
      <c r="N1" s="43" t="s">
        <v>1653</v>
      </c>
    </row>
    <row r="2" spans="1:14" x14ac:dyDescent="0.25">
      <c r="A2" s="6" t="s">
        <v>12</v>
      </c>
      <c r="B2" s="42">
        <v>1</v>
      </c>
      <c r="C2" s="42">
        <v>0</v>
      </c>
      <c r="D2" s="42">
        <v>0</v>
      </c>
      <c r="E2" s="42">
        <v>1</v>
      </c>
      <c r="F2" s="42">
        <v>0</v>
      </c>
      <c r="G2" s="42">
        <v>1</v>
      </c>
      <c r="H2" s="42">
        <v>0</v>
      </c>
      <c r="I2" s="42">
        <v>0</v>
      </c>
      <c r="J2" s="42">
        <v>1</v>
      </c>
      <c r="K2" s="42">
        <v>0</v>
      </c>
      <c r="L2" s="42">
        <v>0</v>
      </c>
      <c r="M2" s="42">
        <v>1</v>
      </c>
      <c r="N2" s="62">
        <v>1</v>
      </c>
    </row>
    <row r="3" spans="1:14" ht="25.5" x14ac:dyDescent="0.25">
      <c r="A3" s="6" t="s">
        <v>347</v>
      </c>
      <c r="B3" s="42">
        <v>1</v>
      </c>
      <c r="C3" s="42">
        <v>1</v>
      </c>
      <c r="D3" s="42">
        <v>1</v>
      </c>
      <c r="E3" s="42">
        <v>1</v>
      </c>
      <c r="F3" s="42">
        <v>0</v>
      </c>
      <c r="G3" s="42">
        <v>1</v>
      </c>
      <c r="H3" s="42">
        <v>1</v>
      </c>
      <c r="I3" s="42">
        <v>0</v>
      </c>
      <c r="J3" s="42">
        <v>0</v>
      </c>
      <c r="K3" s="42">
        <v>0</v>
      </c>
      <c r="L3" s="42">
        <v>0</v>
      </c>
      <c r="M3" s="42">
        <v>1</v>
      </c>
      <c r="N3" s="42">
        <v>1</v>
      </c>
    </row>
    <row r="4" spans="1:14" ht="25.5" x14ac:dyDescent="0.25">
      <c r="A4" s="6" t="s">
        <v>348</v>
      </c>
      <c r="B4" s="42">
        <v>1</v>
      </c>
      <c r="C4" s="42">
        <v>1</v>
      </c>
      <c r="D4" s="42">
        <v>0</v>
      </c>
      <c r="E4" s="42">
        <v>0</v>
      </c>
      <c r="F4" s="42">
        <v>0</v>
      </c>
      <c r="G4" s="42">
        <v>1</v>
      </c>
      <c r="H4" s="42">
        <v>0</v>
      </c>
      <c r="I4" s="42">
        <v>0</v>
      </c>
      <c r="J4" s="42">
        <v>1</v>
      </c>
      <c r="K4" s="42">
        <v>0</v>
      </c>
      <c r="L4" s="42">
        <v>0</v>
      </c>
      <c r="M4" s="42">
        <v>1</v>
      </c>
      <c r="N4" s="42">
        <v>1</v>
      </c>
    </row>
    <row r="5" spans="1:14" x14ac:dyDescent="0.25">
      <c r="A5" s="6" t="s">
        <v>183</v>
      </c>
      <c r="B5" s="42">
        <v>1</v>
      </c>
      <c r="C5" s="42">
        <v>0</v>
      </c>
      <c r="D5" s="42">
        <v>1</v>
      </c>
      <c r="E5" s="42">
        <v>1</v>
      </c>
      <c r="F5" s="42">
        <v>1</v>
      </c>
      <c r="G5" s="42">
        <v>0</v>
      </c>
      <c r="H5" s="42">
        <v>0</v>
      </c>
      <c r="I5" s="42">
        <v>0</v>
      </c>
      <c r="J5" s="42">
        <v>0</v>
      </c>
      <c r="K5" s="42">
        <v>0</v>
      </c>
      <c r="L5" s="42">
        <v>1</v>
      </c>
      <c r="M5" s="42">
        <v>1</v>
      </c>
      <c r="N5" s="42">
        <v>1</v>
      </c>
    </row>
    <row r="6" spans="1:14" ht="25.5" x14ac:dyDescent="0.25">
      <c r="A6" s="6" t="s">
        <v>258</v>
      </c>
      <c r="B6" s="42">
        <v>1</v>
      </c>
      <c r="C6" s="42">
        <v>1</v>
      </c>
      <c r="D6" s="42">
        <v>1</v>
      </c>
      <c r="E6" s="42">
        <v>1</v>
      </c>
      <c r="F6" s="42">
        <v>0</v>
      </c>
      <c r="G6" s="42">
        <v>1</v>
      </c>
      <c r="H6" s="42">
        <v>1</v>
      </c>
      <c r="I6" s="42">
        <v>0</v>
      </c>
      <c r="J6" s="42">
        <v>0</v>
      </c>
      <c r="K6" s="42">
        <v>0</v>
      </c>
      <c r="L6" s="42">
        <v>0</v>
      </c>
      <c r="M6" s="42">
        <v>1</v>
      </c>
      <c r="N6" s="42">
        <v>1</v>
      </c>
    </row>
    <row r="7" spans="1:14" x14ac:dyDescent="0.25">
      <c r="A7" s="18" t="s">
        <v>355</v>
      </c>
      <c r="B7" s="42">
        <v>0</v>
      </c>
      <c r="C7" s="42">
        <v>0</v>
      </c>
      <c r="D7" s="42">
        <v>0</v>
      </c>
      <c r="E7" s="42">
        <v>0</v>
      </c>
      <c r="F7" s="42">
        <v>0</v>
      </c>
      <c r="G7" s="42">
        <v>0</v>
      </c>
      <c r="H7" s="42">
        <v>0</v>
      </c>
      <c r="I7" s="42">
        <v>0</v>
      </c>
      <c r="J7" s="42">
        <v>0</v>
      </c>
      <c r="K7" s="42">
        <v>0</v>
      </c>
      <c r="L7" s="42">
        <v>0</v>
      </c>
      <c r="M7" s="42">
        <v>0</v>
      </c>
      <c r="N7" s="42">
        <v>0</v>
      </c>
    </row>
    <row r="8" spans="1:14" x14ac:dyDescent="0.25">
      <c r="A8" s="18" t="s">
        <v>431</v>
      </c>
      <c r="B8" s="42">
        <v>1</v>
      </c>
      <c r="C8" s="42">
        <v>1</v>
      </c>
      <c r="D8" s="42">
        <v>1</v>
      </c>
      <c r="E8" s="42">
        <v>1</v>
      </c>
      <c r="F8" s="42">
        <v>0</v>
      </c>
      <c r="G8" s="42">
        <v>1</v>
      </c>
      <c r="H8" s="42">
        <v>1</v>
      </c>
      <c r="I8" s="42">
        <v>0</v>
      </c>
      <c r="J8" s="42">
        <v>0</v>
      </c>
      <c r="K8" s="42">
        <v>0</v>
      </c>
      <c r="L8" s="42">
        <v>0</v>
      </c>
      <c r="M8" s="42">
        <v>1</v>
      </c>
      <c r="N8" s="42">
        <v>1</v>
      </c>
    </row>
    <row r="9" spans="1:14" x14ac:dyDescent="0.25">
      <c r="A9" s="6" t="s">
        <v>410</v>
      </c>
      <c r="B9" s="42">
        <v>1</v>
      </c>
      <c r="C9" s="42">
        <v>1</v>
      </c>
      <c r="D9" s="42">
        <v>1</v>
      </c>
      <c r="E9" s="42">
        <v>0</v>
      </c>
      <c r="F9" s="42">
        <v>0</v>
      </c>
      <c r="G9" s="42">
        <v>1</v>
      </c>
      <c r="H9" s="42">
        <v>1</v>
      </c>
      <c r="I9" s="42">
        <v>0</v>
      </c>
      <c r="J9" s="42">
        <v>0</v>
      </c>
      <c r="K9" s="42">
        <v>0</v>
      </c>
      <c r="L9" s="42">
        <v>1</v>
      </c>
      <c r="M9" s="42">
        <v>1</v>
      </c>
      <c r="N9" s="42">
        <v>1</v>
      </c>
    </row>
    <row r="10" spans="1:14" x14ac:dyDescent="0.25">
      <c r="A10" s="6" t="s">
        <v>393</v>
      </c>
      <c r="B10" s="42">
        <v>1</v>
      </c>
      <c r="C10" s="42">
        <v>0</v>
      </c>
      <c r="D10" s="42">
        <v>0</v>
      </c>
      <c r="E10" s="42">
        <v>0</v>
      </c>
      <c r="F10" s="42">
        <v>0</v>
      </c>
      <c r="G10" s="42">
        <v>0</v>
      </c>
      <c r="H10" s="42">
        <v>0</v>
      </c>
      <c r="I10" s="42">
        <v>0</v>
      </c>
      <c r="J10" s="42">
        <v>0</v>
      </c>
      <c r="K10" s="42">
        <v>0</v>
      </c>
      <c r="L10" s="42">
        <v>1</v>
      </c>
      <c r="M10" s="42">
        <v>1</v>
      </c>
      <c r="N10" s="42">
        <v>1</v>
      </c>
    </row>
    <row r="11" spans="1:14" ht="38.25" x14ac:dyDescent="0.25">
      <c r="A11" s="21" t="s">
        <v>380</v>
      </c>
      <c r="B11" s="42">
        <v>0</v>
      </c>
      <c r="C11" s="42">
        <v>0</v>
      </c>
      <c r="D11" s="42">
        <v>0</v>
      </c>
      <c r="E11" s="42">
        <v>0</v>
      </c>
      <c r="F11" s="42">
        <v>0</v>
      </c>
      <c r="G11" s="42">
        <v>0</v>
      </c>
      <c r="H11" s="42">
        <v>0</v>
      </c>
      <c r="I11" s="42">
        <v>0</v>
      </c>
      <c r="J11" s="42">
        <v>0</v>
      </c>
      <c r="K11" s="42">
        <v>0</v>
      </c>
      <c r="L11" s="42">
        <v>0</v>
      </c>
      <c r="M11" s="42">
        <v>0</v>
      </c>
      <c r="N11" s="42">
        <v>0</v>
      </c>
    </row>
    <row r="12" spans="1:14" ht="25.5" x14ac:dyDescent="0.25">
      <c r="A12" s="6" t="s">
        <v>95</v>
      </c>
      <c r="B12" s="42">
        <v>1</v>
      </c>
      <c r="C12" s="42">
        <v>0</v>
      </c>
      <c r="D12" s="42">
        <v>1</v>
      </c>
      <c r="E12" s="42">
        <v>1</v>
      </c>
      <c r="F12" s="42">
        <v>1</v>
      </c>
      <c r="G12" s="42">
        <v>1</v>
      </c>
      <c r="H12" s="42">
        <v>1</v>
      </c>
      <c r="I12" s="42">
        <v>0</v>
      </c>
      <c r="J12" s="42">
        <v>0</v>
      </c>
      <c r="K12" s="42">
        <v>0</v>
      </c>
      <c r="L12" s="42">
        <v>1</v>
      </c>
      <c r="M12" s="42">
        <v>1</v>
      </c>
      <c r="N12" s="42">
        <v>1</v>
      </c>
    </row>
    <row r="13" spans="1:14" ht="38.25" x14ac:dyDescent="0.25">
      <c r="A13" s="6" t="s">
        <v>1709</v>
      </c>
      <c r="B13" s="42">
        <v>1</v>
      </c>
      <c r="C13" s="42">
        <v>1</v>
      </c>
      <c r="D13" s="42">
        <v>1</v>
      </c>
      <c r="E13" s="42">
        <v>0</v>
      </c>
      <c r="F13" s="42">
        <v>0</v>
      </c>
      <c r="G13" s="42">
        <v>1</v>
      </c>
      <c r="H13" s="42">
        <v>0</v>
      </c>
      <c r="I13" s="42">
        <v>0</v>
      </c>
      <c r="J13" s="42">
        <v>1</v>
      </c>
      <c r="K13" s="42">
        <v>0</v>
      </c>
      <c r="L13" s="42">
        <v>1</v>
      </c>
      <c r="M13" s="42">
        <v>1</v>
      </c>
      <c r="N13" s="42">
        <v>1</v>
      </c>
    </row>
    <row r="14" spans="1:14" x14ac:dyDescent="0.25">
      <c r="A14" s="6" t="s">
        <v>179</v>
      </c>
      <c r="B14" s="42">
        <v>0</v>
      </c>
      <c r="C14" s="42">
        <v>0</v>
      </c>
      <c r="D14" s="42">
        <v>0</v>
      </c>
      <c r="E14" s="42">
        <v>0</v>
      </c>
      <c r="F14" s="42">
        <v>0</v>
      </c>
      <c r="G14" s="42">
        <v>0</v>
      </c>
      <c r="H14" s="42">
        <v>0</v>
      </c>
      <c r="I14" s="42">
        <v>0</v>
      </c>
      <c r="J14" s="42">
        <v>0</v>
      </c>
      <c r="K14" s="42">
        <v>0</v>
      </c>
      <c r="L14" s="42">
        <v>0</v>
      </c>
      <c r="M14" s="42">
        <v>0</v>
      </c>
      <c r="N14" s="42">
        <v>0</v>
      </c>
    </row>
    <row r="15" spans="1:14" x14ac:dyDescent="0.25">
      <c r="A15" s="6" t="s">
        <v>341</v>
      </c>
      <c r="B15" s="42">
        <v>1</v>
      </c>
      <c r="C15" s="42">
        <v>0</v>
      </c>
      <c r="D15" s="42">
        <v>0</v>
      </c>
      <c r="E15" s="42">
        <v>0</v>
      </c>
      <c r="F15" s="42">
        <v>0</v>
      </c>
      <c r="G15" s="42">
        <v>1</v>
      </c>
      <c r="H15" s="42">
        <v>1</v>
      </c>
      <c r="I15" s="42">
        <v>0</v>
      </c>
      <c r="J15" s="42">
        <v>0</v>
      </c>
      <c r="K15" s="42">
        <v>0</v>
      </c>
      <c r="L15" s="42">
        <v>0</v>
      </c>
      <c r="M15" s="42">
        <v>1</v>
      </c>
      <c r="N15" s="42">
        <v>1</v>
      </c>
    </row>
    <row r="16" spans="1:14" x14ac:dyDescent="0.25">
      <c r="A16" s="6" t="s">
        <v>22</v>
      </c>
      <c r="B16" s="42">
        <v>1</v>
      </c>
      <c r="C16" s="42">
        <v>1</v>
      </c>
      <c r="D16" s="42">
        <v>1</v>
      </c>
      <c r="E16" s="42">
        <v>0.5</v>
      </c>
      <c r="F16" s="42">
        <v>0</v>
      </c>
      <c r="G16" s="42">
        <v>1</v>
      </c>
      <c r="H16" s="42">
        <v>0</v>
      </c>
      <c r="I16" s="42">
        <v>1</v>
      </c>
      <c r="J16" s="42">
        <v>0</v>
      </c>
      <c r="K16" s="42">
        <v>0</v>
      </c>
      <c r="L16" s="42">
        <v>0.5</v>
      </c>
      <c r="M16" s="42">
        <v>1</v>
      </c>
      <c r="N16" s="42">
        <v>1</v>
      </c>
    </row>
    <row r="17" spans="1:14" ht="25.5" x14ac:dyDescent="0.25">
      <c r="A17" s="6" t="s">
        <v>188</v>
      </c>
      <c r="B17" s="42">
        <v>0</v>
      </c>
      <c r="C17" s="42">
        <v>0</v>
      </c>
      <c r="D17" s="42">
        <v>0</v>
      </c>
      <c r="E17" s="42">
        <v>0</v>
      </c>
      <c r="F17" s="42">
        <v>0</v>
      </c>
      <c r="G17" s="42">
        <v>0</v>
      </c>
      <c r="H17" s="42">
        <v>0</v>
      </c>
      <c r="I17" s="42">
        <v>0</v>
      </c>
      <c r="J17" s="42">
        <v>0</v>
      </c>
      <c r="K17" s="42">
        <v>0</v>
      </c>
      <c r="L17" s="42">
        <v>0</v>
      </c>
      <c r="M17" s="42">
        <v>0</v>
      </c>
      <c r="N17" s="42">
        <v>0</v>
      </c>
    </row>
    <row r="18" spans="1:14" ht="25.5" x14ac:dyDescent="0.25">
      <c r="A18" s="6" t="s">
        <v>133</v>
      </c>
      <c r="B18" s="42">
        <v>1</v>
      </c>
      <c r="C18" s="42">
        <v>0</v>
      </c>
      <c r="D18" s="42">
        <v>0</v>
      </c>
      <c r="E18" s="42">
        <v>0</v>
      </c>
      <c r="F18" s="42">
        <v>1</v>
      </c>
      <c r="G18" s="42">
        <v>1</v>
      </c>
      <c r="H18" s="42">
        <v>1</v>
      </c>
      <c r="I18" s="42">
        <v>1</v>
      </c>
      <c r="J18" s="42">
        <v>0</v>
      </c>
      <c r="K18" s="42">
        <v>0</v>
      </c>
      <c r="L18" s="42">
        <v>1</v>
      </c>
      <c r="M18" s="42">
        <v>1</v>
      </c>
      <c r="N18" s="42">
        <v>1</v>
      </c>
    </row>
    <row r="19" spans="1:14" ht="25.5" x14ac:dyDescent="0.25">
      <c r="A19" s="6" t="s">
        <v>10</v>
      </c>
      <c r="B19" s="42">
        <v>1</v>
      </c>
      <c r="C19" s="42">
        <v>1</v>
      </c>
      <c r="D19" s="42">
        <v>0</v>
      </c>
      <c r="E19" s="42">
        <v>0</v>
      </c>
      <c r="F19" s="42">
        <v>0</v>
      </c>
      <c r="G19" s="42">
        <v>1</v>
      </c>
      <c r="H19" s="42">
        <v>1</v>
      </c>
      <c r="I19" s="42">
        <v>1</v>
      </c>
      <c r="J19" s="42">
        <v>0</v>
      </c>
      <c r="K19" s="42">
        <v>0</v>
      </c>
      <c r="L19" s="42">
        <v>0</v>
      </c>
      <c r="M19" s="42">
        <v>1</v>
      </c>
      <c r="N19" s="42">
        <v>1</v>
      </c>
    </row>
    <row r="20" spans="1:14" ht="38.25" x14ac:dyDescent="0.25">
      <c r="A20" s="6" t="s">
        <v>832</v>
      </c>
      <c r="B20" s="42">
        <v>1</v>
      </c>
      <c r="C20" s="42">
        <v>1</v>
      </c>
      <c r="D20" s="42">
        <v>1</v>
      </c>
      <c r="E20" s="42">
        <v>1</v>
      </c>
      <c r="F20" s="42">
        <v>0</v>
      </c>
      <c r="G20" s="42">
        <v>0</v>
      </c>
      <c r="H20" s="42">
        <v>0</v>
      </c>
      <c r="I20" s="42">
        <v>0</v>
      </c>
      <c r="J20" s="42">
        <v>0</v>
      </c>
      <c r="K20" s="42">
        <v>0</v>
      </c>
      <c r="L20" s="42">
        <v>1</v>
      </c>
      <c r="M20" s="42">
        <v>1</v>
      </c>
      <c r="N20" s="42">
        <v>1</v>
      </c>
    </row>
    <row r="21" spans="1:14" x14ac:dyDescent="0.25">
      <c r="A21" s="6" t="s">
        <v>16</v>
      </c>
      <c r="B21" s="42">
        <v>0</v>
      </c>
      <c r="C21" s="42">
        <v>0</v>
      </c>
      <c r="D21" s="42">
        <v>0</v>
      </c>
      <c r="E21" s="42">
        <v>0</v>
      </c>
      <c r="F21" s="42">
        <v>0</v>
      </c>
      <c r="G21" s="42">
        <v>0</v>
      </c>
      <c r="H21" s="42">
        <v>0</v>
      </c>
      <c r="I21" s="42">
        <v>0</v>
      </c>
      <c r="J21" s="42">
        <v>0</v>
      </c>
      <c r="K21" s="42">
        <v>0</v>
      </c>
      <c r="L21" s="42">
        <v>0</v>
      </c>
      <c r="M21" s="42">
        <v>0</v>
      </c>
      <c r="N21" s="42">
        <v>0</v>
      </c>
    </row>
    <row r="22" spans="1:14" ht="25.5" x14ac:dyDescent="0.25">
      <c r="A22" s="6" t="s">
        <v>7</v>
      </c>
      <c r="B22" s="42">
        <v>1</v>
      </c>
      <c r="C22" s="42">
        <v>1</v>
      </c>
      <c r="D22" s="42">
        <v>1</v>
      </c>
      <c r="E22" s="42">
        <v>0</v>
      </c>
      <c r="F22" s="42">
        <v>0</v>
      </c>
      <c r="G22" s="42">
        <v>0</v>
      </c>
      <c r="H22" s="42">
        <v>0</v>
      </c>
      <c r="I22" s="42">
        <v>0</v>
      </c>
      <c r="J22" s="42">
        <v>0</v>
      </c>
      <c r="K22" s="42">
        <v>0</v>
      </c>
      <c r="L22" s="42">
        <v>0</v>
      </c>
      <c r="M22" s="42">
        <v>0</v>
      </c>
      <c r="N22" s="42">
        <v>1</v>
      </c>
    </row>
    <row r="23" spans="1:14" x14ac:dyDescent="0.25">
      <c r="A23" s="6" t="s">
        <v>18</v>
      </c>
      <c r="B23" s="42">
        <v>1</v>
      </c>
      <c r="C23" s="42">
        <v>1</v>
      </c>
      <c r="D23" s="42">
        <v>1</v>
      </c>
      <c r="E23" s="42">
        <v>1</v>
      </c>
      <c r="F23" s="42">
        <v>0</v>
      </c>
      <c r="G23" s="42">
        <v>1</v>
      </c>
      <c r="H23" s="42">
        <v>1</v>
      </c>
      <c r="I23" s="42">
        <v>0</v>
      </c>
      <c r="J23" s="42">
        <v>0</v>
      </c>
      <c r="K23" s="42">
        <v>0</v>
      </c>
      <c r="L23" s="42">
        <v>0</v>
      </c>
      <c r="M23" s="42">
        <v>1</v>
      </c>
      <c r="N23" s="42">
        <v>1</v>
      </c>
    </row>
    <row r="24" spans="1:14" x14ac:dyDescent="0.25">
      <c r="A24" s="6" t="s">
        <v>338</v>
      </c>
      <c r="B24" s="42">
        <v>0</v>
      </c>
      <c r="C24" s="42">
        <v>0</v>
      </c>
      <c r="D24" s="42">
        <v>0</v>
      </c>
      <c r="E24" s="42">
        <v>0</v>
      </c>
      <c r="F24" s="42">
        <v>0</v>
      </c>
      <c r="G24" s="42">
        <v>0</v>
      </c>
      <c r="H24" s="42">
        <v>0</v>
      </c>
      <c r="I24" s="42">
        <v>0</v>
      </c>
      <c r="J24" s="42">
        <v>0</v>
      </c>
      <c r="K24" s="42">
        <v>0</v>
      </c>
      <c r="L24" s="42">
        <v>0</v>
      </c>
      <c r="M24" s="42">
        <v>0</v>
      </c>
      <c r="N24" s="42">
        <v>0</v>
      </c>
    </row>
    <row r="25" spans="1:14" ht="25.5" x14ac:dyDescent="0.25">
      <c r="A25" s="6" t="s">
        <v>351</v>
      </c>
      <c r="B25" s="42">
        <v>1</v>
      </c>
      <c r="C25" s="42">
        <v>1</v>
      </c>
      <c r="D25" s="42">
        <v>1</v>
      </c>
      <c r="E25" s="42">
        <v>0.5</v>
      </c>
      <c r="F25" s="42">
        <v>0</v>
      </c>
      <c r="G25" s="42">
        <v>1</v>
      </c>
      <c r="H25" s="42">
        <v>1</v>
      </c>
      <c r="I25" s="42">
        <v>1</v>
      </c>
      <c r="J25" s="42">
        <v>1</v>
      </c>
      <c r="K25" s="42">
        <v>0</v>
      </c>
      <c r="L25" s="42">
        <v>0.5</v>
      </c>
      <c r="M25" s="42">
        <v>1</v>
      </c>
      <c r="N25" s="42">
        <v>1</v>
      </c>
    </row>
    <row r="26" spans="1:14" ht="38.25" x14ac:dyDescent="0.25">
      <c r="A26" s="51" t="s">
        <v>24</v>
      </c>
      <c r="B26" s="42">
        <v>0</v>
      </c>
      <c r="C26" s="42">
        <v>0</v>
      </c>
      <c r="D26" s="42">
        <v>0</v>
      </c>
      <c r="E26" s="42">
        <v>0</v>
      </c>
      <c r="F26" s="42">
        <v>0</v>
      </c>
      <c r="G26" s="42">
        <v>0</v>
      </c>
      <c r="H26" s="42">
        <v>0</v>
      </c>
      <c r="I26" s="42">
        <v>0</v>
      </c>
      <c r="J26" s="42">
        <v>0</v>
      </c>
      <c r="K26" s="42">
        <v>0</v>
      </c>
      <c r="L26" s="42">
        <v>0</v>
      </c>
      <c r="M26" s="42">
        <v>0</v>
      </c>
      <c r="N26" s="42">
        <v>0</v>
      </c>
    </row>
    <row r="27" spans="1:14" x14ac:dyDescent="0.25">
      <c r="A27" s="51" t="s">
        <v>854</v>
      </c>
      <c r="B27" s="60">
        <f>SUM(B2:B26)</f>
        <v>18</v>
      </c>
      <c r="C27" s="60">
        <f t="shared" ref="C27:N27" si="0">SUM(C2:C26)</f>
        <v>12</v>
      </c>
      <c r="D27" s="60">
        <f t="shared" si="0"/>
        <v>12</v>
      </c>
      <c r="E27" s="60">
        <f t="shared" si="0"/>
        <v>9</v>
      </c>
      <c r="F27" s="60">
        <f t="shared" si="0"/>
        <v>3</v>
      </c>
      <c r="G27" s="60">
        <f t="shared" si="0"/>
        <v>14</v>
      </c>
      <c r="H27" s="60">
        <f t="shared" si="0"/>
        <v>10</v>
      </c>
      <c r="I27" s="60">
        <f t="shared" si="0"/>
        <v>4</v>
      </c>
      <c r="J27" s="60">
        <f t="shared" si="0"/>
        <v>4</v>
      </c>
      <c r="K27" s="60">
        <f t="shared" si="0"/>
        <v>0</v>
      </c>
      <c r="L27" s="60">
        <f t="shared" si="0"/>
        <v>8</v>
      </c>
      <c r="M27" s="60">
        <f t="shared" si="0"/>
        <v>17</v>
      </c>
      <c r="N27" s="60">
        <f t="shared" si="0"/>
        <v>18</v>
      </c>
    </row>
  </sheetData>
  <pageMargins left="0.7" right="0.7" top="0.78740157499999996" bottom="0.78740157499999996" header="0.3" footer="0.3"/>
  <pageSetup paperSize="9" orientation="portrait" r:id="rId1"/>
  <legacyDrawing r:id="rId2"/>
  <tableParts count="1">
    <tablePart r:id="rId3"/>
  </tableParts>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3748B-64A8-453E-AC37-31D1DC3A4697}">
  <sheetPr codeName="Tabelle35">
    <tabColor theme="5" tint="0.79998168889431442"/>
  </sheetPr>
  <dimension ref="A1:M27"/>
  <sheetViews>
    <sheetView workbookViewId="0">
      <selection activeCell="O6" sqref="O6"/>
    </sheetView>
  </sheetViews>
  <sheetFormatPr baseColWidth="10" defaultColWidth="11" defaultRowHeight="12.75" x14ac:dyDescent="0.2"/>
  <cols>
    <col min="1" max="1" width="17.625" style="55" customWidth="1"/>
    <col min="2" max="13" width="5.875" style="57" customWidth="1"/>
    <col min="14" max="16384" width="11" style="55"/>
  </cols>
  <sheetData>
    <row r="1" spans="1:13" ht="165.75" customHeight="1" x14ac:dyDescent="0.2">
      <c r="A1" s="50" t="s">
        <v>1</v>
      </c>
      <c r="B1" s="53" t="s">
        <v>963</v>
      </c>
      <c r="C1" s="53" t="s">
        <v>1646</v>
      </c>
      <c r="D1" s="53" t="s">
        <v>1033</v>
      </c>
      <c r="E1" s="53" t="s">
        <v>1647</v>
      </c>
      <c r="F1" s="53" t="s">
        <v>1034</v>
      </c>
      <c r="G1" s="53" t="s">
        <v>1025</v>
      </c>
      <c r="H1" s="53" t="s">
        <v>1045</v>
      </c>
      <c r="I1" s="53" t="s">
        <v>389</v>
      </c>
      <c r="J1" s="53" t="s">
        <v>1027</v>
      </c>
      <c r="K1" s="53" t="s">
        <v>931</v>
      </c>
      <c r="L1" s="53" t="s">
        <v>1046</v>
      </c>
      <c r="M1" s="54" t="s">
        <v>1648</v>
      </c>
    </row>
    <row r="2" spans="1:13" x14ac:dyDescent="0.2">
      <c r="A2" s="6" t="s">
        <v>12</v>
      </c>
      <c r="B2" s="42">
        <v>0.5</v>
      </c>
      <c r="C2" s="42">
        <v>1</v>
      </c>
      <c r="D2" s="42"/>
      <c r="E2" s="42"/>
      <c r="F2" s="42"/>
      <c r="G2" s="42"/>
      <c r="H2" s="42"/>
      <c r="I2" s="42"/>
      <c r="J2" s="42"/>
      <c r="K2" s="42"/>
      <c r="L2" s="42"/>
      <c r="M2" s="52"/>
    </row>
    <row r="3" spans="1:13" ht="25.5" x14ac:dyDescent="0.2">
      <c r="A3" s="6" t="s">
        <v>347</v>
      </c>
      <c r="B3" s="42"/>
      <c r="C3" s="42"/>
      <c r="D3" s="42"/>
      <c r="E3" s="42"/>
      <c r="F3" s="42"/>
      <c r="G3" s="42"/>
      <c r="H3" s="42"/>
      <c r="I3" s="42"/>
      <c r="J3" s="42"/>
      <c r="K3" s="42"/>
      <c r="L3" s="42"/>
      <c r="M3" s="52"/>
    </row>
    <row r="4" spans="1:13" ht="25.5" x14ac:dyDescent="0.2">
      <c r="A4" s="6" t="s">
        <v>348</v>
      </c>
      <c r="B4" s="42"/>
      <c r="C4" s="42"/>
      <c r="D4" s="42"/>
      <c r="E4" s="42"/>
      <c r="F4" s="42"/>
      <c r="G4" s="42"/>
      <c r="H4" s="42"/>
      <c r="I4" s="42"/>
      <c r="J4" s="42"/>
      <c r="K4" s="42"/>
      <c r="L4" s="42"/>
      <c r="M4" s="52"/>
    </row>
    <row r="5" spans="1:13" x14ac:dyDescent="0.2">
      <c r="A5" s="6" t="s">
        <v>183</v>
      </c>
      <c r="B5" s="42"/>
      <c r="C5" s="42"/>
      <c r="D5" s="42"/>
      <c r="E5" s="42"/>
      <c r="F5" s="42"/>
      <c r="G5" s="42"/>
      <c r="H5" s="42"/>
      <c r="I5" s="42"/>
      <c r="J5" s="42">
        <v>1</v>
      </c>
      <c r="K5" s="42"/>
      <c r="L5" s="42"/>
      <c r="M5" s="52"/>
    </row>
    <row r="6" spans="1:13" ht="25.5" x14ac:dyDescent="0.2">
      <c r="A6" s="6" t="s">
        <v>258</v>
      </c>
      <c r="B6" s="42"/>
      <c r="C6" s="42"/>
      <c r="D6" s="42"/>
      <c r="E6" s="42">
        <v>1</v>
      </c>
      <c r="F6" s="42">
        <v>1</v>
      </c>
      <c r="G6" s="42"/>
      <c r="H6" s="42"/>
      <c r="I6" s="42"/>
      <c r="J6" s="42"/>
      <c r="K6" s="42"/>
      <c r="L6" s="42"/>
      <c r="M6" s="52"/>
    </row>
    <row r="7" spans="1:13" x14ac:dyDescent="0.2">
      <c r="A7" s="18" t="s">
        <v>355</v>
      </c>
      <c r="B7" s="42"/>
      <c r="C7" s="42"/>
      <c r="D7" s="42"/>
      <c r="E7" s="42"/>
      <c r="F7" s="42"/>
      <c r="G7" s="42"/>
      <c r="H7" s="42"/>
      <c r="I7" s="42"/>
      <c r="J7" s="42"/>
      <c r="K7" s="42"/>
      <c r="L7" s="42"/>
      <c r="M7" s="52"/>
    </row>
    <row r="8" spans="1:13" x14ac:dyDescent="0.2">
      <c r="A8" s="18" t="s">
        <v>431</v>
      </c>
      <c r="B8" s="42"/>
      <c r="C8" s="42"/>
      <c r="D8" s="42">
        <v>1</v>
      </c>
      <c r="E8" s="42"/>
      <c r="F8" s="42"/>
      <c r="G8" s="42"/>
      <c r="H8" s="42"/>
      <c r="I8" s="42"/>
      <c r="J8" s="42"/>
      <c r="K8" s="42"/>
      <c r="L8" s="42">
        <v>1</v>
      </c>
      <c r="M8" s="52"/>
    </row>
    <row r="9" spans="1:13" x14ac:dyDescent="0.2">
      <c r="A9" s="6" t="s">
        <v>410</v>
      </c>
      <c r="B9" s="42">
        <v>1</v>
      </c>
      <c r="C9" s="42"/>
      <c r="D9" s="42">
        <v>1</v>
      </c>
      <c r="E9" s="42"/>
      <c r="F9" s="42">
        <v>1</v>
      </c>
      <c r="G9" s="42">
        <v>1</v>
      </c>
      <c r="H9" s="42">
        <v>1</v>
      </c>
      <c r="I9" s="42"/>
      <c r="J9" s="42"/>
      <c r="K9" s="42"/>
      <c r="L9" s="42"/>
      <c r="M9" s="52"/>
    </row>
    <row r="10" spans="1:13" x14ac:dyDescent="0.2">
      <c r="A10" s="6" t="s">
        <v>393</v>
      </c>
      <c r="B10" s="42"/>
      <c r="C10" s="42"/>
      <c r="D10" s="42"/>
      <c r="E10" s="42"/>
      <c r="F10" s="42"/>
      <c r="G10" s="42"/>
      <c r="H10" s="42"/>
      <c r="I10" s="42"/>
      <c r="J10" s="42"/>
      <c r="K10" s="42"/>
      <c r="L10" s="42"/>
      <c r="M10" s="52"/>
    </row>
    <row r="11" spans="1:13" ht="38.25" x14ac:dyDescent="0.2">
      <c r="A11" s="6" t="s">
        <v>380</v>
      </c>
      <c r="B11" s="42"/>
      <c r="C11" s="42"/>
      <c r="D11" s="42"/>
      <c r="E11" s="42"/>
      <c r="F11" s="42"/>
      <c r="G11" s="42"/>
      <c r="H11" s="42"/>
      <c r="I11" s="42">
        <v>1</v>
      </c>
      <c r="J11" s="42"/>
      <c r="K11" s="42"/>
      <c r="L11" s="42"/>
      <c r="M11" s="52"/>
    </row>
    <row r="12" spans="1:13" ht="25.5" x14ac:dyDescent="0.2">
      <c r="A12" s="6" t="s">
        <v>95</v>
      </c>
      <c r="B12" s="42">
        <v>0.5</v>
      </c>
      <c r="C12" s="42"/>
      <c r="D12" s="42"/>
      <c r="E12" s="42">
        <v>1</v>
      </c>
      <c r="F12" s="42">
        <v>1</v>
      </c>
      <c r="G12" s="42"/>
      <c r="H12" s="42"/>
      <c r="I12" s="42"/>
      <c r="J12" s="42"/>
      <c r="K12" s="42"/>
      <c r="L12" s="42">
        <v>0.5</v>
      </c>
      <c r="M12" s="52"/>
    </row>
    <row r="13" spans="1:13" ht="38.25" x14ac:dyDescent="0.2">
      <c r="A13" s="6" t="s">
        <v>1709</v>
      </c>
      <c r="B13" s="42">
        <v>1</v>
      </c>
      <c r="C13" s="42"/>
      <c r="D13" s="42">
        <v>1</v>
      </c>
      <c r="E13" s="42"/>
      <c r="F13" s="42">
        <v>1</v>
      </c>
      <c r="G13" s="42"/>
      <c r="H13" s="42">
        <v>1</v>
      </c>
      <c r="I13" s="42"/>
      <c r="J13" s="42"/>
      <c r="K13" s="42"/>
      <c r="L13" s="42">
        <v>1</v>
      </c>
      <c r="M13" s="52"/>
    </row>
    <row r="14" spans="1:13" x14ac:dyDescent="0.2">
      <c r="A14" s="6" t="s">
        <v>179</v>
      </c>
      <c r="B14" s="42"/>
      <c r="C14" s="42"/>
      <c r="D14" s="42"/>
      <c r="E14" s="42"/>
      <c r="F14" s="42"/>
      <c r="G14" s="42"/>
      <c r="H14" s="42"/>
      <c r="I14" s="42"/>
      <c r="J14" s="42"/>
      <c r="K14" s="42"/>
      <c r="L14" s="42"/>
      <c r="M14" s="52"/>
    </row>
    <row r="15" spans="1:13" x14ac:dyDescent="0.2">
      <c r="A15" s="6" t="s">
        <v>341</v>
      </c>
      <c r="B15" s="42"/>
      <c r="C15" s="42"/>
      <c r="D15" s="42"/>
      <c r="E15" s="42"/>
      <c r="F15" s="42"/>
      <c r="G15" s="42"/>
      <c r="H15" s="42"/>
      <c r="I15" s="42"/>
      <c r="J15" s="42"/>
      <c r="K15" s="42"/>
      <c r="L15" s="42"/>
      <c r="M15" s="52"/>
    </row>
    <row r="16" spans="1:13" x14ac:dyDescent="0.2">
      <c r="A16" s="6" t="s">
        <v>22</v>
      </c>
      <c r="B16" s="42"/>
      <c r="C16" s="42"/>
      <c r="D16" s="42"/>
      <c r="E16" s="42"/>
      <c r="F16" s="42"/>
      <c r="G16" s="42"/>
      <c r="H16" s="42"/>
      <c r="I16" s="42"/>
      <c r="J16" s="42"/>
      <c r="K16" s="42"/>
      <c r="L16" s="42"/>
      <c r="M16" s="52"/>
    </row>
    <row r="17" spans="1:13" ht="25.5" x14ac:dyDescent="0.2">
      <c r="A17" s="6" t="s">
        <v>188</v>
      </c>
      <c r="B17" s="42"/>
      <c r="C17" s="42"/>
      <c r="D17" s="42"/>
      <c r="E17" s="42"/>
      <c r="F17" s="42"/>
      <c r="G17" s="42"/>
      <c r="H17" s="42"/>
      <c r="I17" s="42"/>
      <c r="J17" s="42"/>
      <c r="K17" s="42"/>
      <c r="L17" s="42"/>
      <c r="M17" s="52"/>
    </row>
    <row r="18" spans="1:13" ht="25.5" x14ac:dyDescent="0.2">
      <c r="A18" s="6" t="s">
        <v>133</v>
      </c>
      <c r="B18" s="42">
        <v>1</v>
      </c>
      <c r="C18" s="42"/>
      <c r="D18" s="42">
        <v>1</v>
      </c>
      <c r="E18" s="42"/>
      <c r="F18" s="42">
        <v>1</v>
      </c>
      <c r="G18" s="42"/>
      <c r="H18" s="42"/>
      <c r="I18" s="42"/>
      <c r="J18" s="42"/>
      <c r="K18" s="42"/>
      <c r="L18" s="42"/>
      <c r="M18" s="52"/>
    </row>
    <row r="19" spans="1:13" ht="25.5" x14ac:dyDescent="0.2">
      <c r="A19" s="6" t="s">
        <v>10</v>
      </c>
      <c r="B19" s="42"/>
      <c r="C19" s="42"/>
      <c r="D19" s="42"/>
      <c r="E19" s="42"/>
      <c r="F19" s="42"/>
      <c r="G19" s="42"/>
      <c r="H19" s="42"/>
      <c r="I19" s="42"/>
      <c r="J19" s="42"/>
      <c r="K19" s="42"/>
      <c r="L19" s="42"/>
      <c r="M19" s="52"/>
    </row>
    <row r="20" spans="1:13" ht="38.25" x14ac:dyDescent="0.2">
      <c r="A20" s="6" t="s">
        <v>832</v>
      </c>
      <c r="B20" s="42">
        <v>1</v>
      </c>
      <c r="C20" s="42"/>
      <c r="D20" s="42">
        <v>1</v>
      </c>
      <c r="E20" s="42"/>
      <c r="F20" s="42">
        <v>1</v>
      </c>
      <c r="G20" s="42">
        <v>1</v>
      </c>
      <c r="H20" s="42">
        <v>1</v>
      </c>
      <c r="I20" s="42"/>
      <c r="J20" s="42"/>
      <c r="K20" s="42"/>
      <c r="L20" s="42"/>
      <c r="M20" s="52"/>
    </row>
    <row r="21" spans="1:13" x14ac:dyDescent="0.2">
      <c r="A21" s="6" t="s">
        <v>16</v>
      </c>
      <c r="B21" s="42"/>
      <c r="C21" s="42"/>
      <c r="D21" s="42"/>
      <c r="E21" s="42"/>
      <c r="F21" s="42"/>
      <c r="G21" s="42"/>
      <c r="H21" s="42"/>
      <c r="I21" s="42"/>
      <c r="J21" s="42"/>
      <c r="K21" s="42"/>
      <c r="L21" s="42"/>
      <c r="M21" s="52"/>
    </row>
    <row r="22" spans="1:13" ht="25.5" x14ac:dyDescent="0.2">
      <c r="A22" s="6" t="s">
        <v>7</v>
      </c>
      <c r="B22" s="42"/>
      <c r="C22" s="42"/>
      <c r="D22" s="42"/>
      <c r="E22" s="42"/>
      <c r="F22" s="42"/>
      <c r="G22" s="42"/>
      <c r="H22" s="42"/>
      <c r="I22" s="42"/>
      <c r="J22" s="42"/>
      <c r="K22" s="42"/>
      <c r="L22" s="42"/>
      <c r="M22" s="52"/>
    </row>
    <row r="23" spans="1:13" x14ac:dyDescent="0.2">
      <c r="A23" s="6" t="s">
        <v>18</v>
      </c>
      <c r="B23" s="42"/>
      <c r="C23" s="42"/>
      <c r="D23" s="42">
        <v>1</v>
      </c>
      <c r="E23" s="42"/>
      <c r="F23" s="42">
        <v>1</v>
      </c>
      <c r="G23" s="42"/>
      <c r="H23" s="42"/>
      <c r="I23" s="42"/>
      <c r="J23" s="42"/>
      <c r="K23" s="42"/>
      <c r="L23" s="42"/>
      <c r="M23" s="52"/>
    </row>
    <row r="24" spans="1:13" x14ac:dyDescent="0.2">
      <c r="A24" s="6" t="s">
        <v>338</v>
      </c>
      <c r="B24" s="42">
        <v>1</v>
      </c>
      <c r="C24" s="42"/>
      <c r="D24" s="42"/>
      <c r="E24" s="42"/>
      <c r="F24" s="42"/>
      <c r="G24" s="42"/>
      <c r="H24" s="42"/>
      <c r="I24" s="42"/>
      <c r="J24" s="42"/>
      <c r="K24" s="42"/>
      <c r="L24" s="42"/>
      <c r="M24" s="52"/>
    </row>
    <row r="25" spans="1:13" ht="25.5" x14ac:dyDescent="0.2">
      <c r="A25" s="6" t="s">
        <v>351</v>
      </c>
      <c r="B25" s="42">
        <v>1</v>
      </c>
      <c r="C25" s="42">
        <v>1</v>
      </c>
      <c r="D25" s="42"/>
      <c r="E25" s="42"/>
      <c r="F25" s="42">
        <v>1</v>
      </c>
      <c r="G25" s="42">
        <v>1</v>
      </c>
      <c r="H25" s="42">
        <v>1</v>
      </c>
      <c r="I25" s="42"/>
      <c r="J25" s="42">
        <v>1</v>
      </c>
      <c r="K25" s="42"/>
      <c r="L25" s="42">
        <v>1</v>
      </c>
      <c r="M25" s="52">
        <v>1</v>
      </c>
    </row>
    <row r="26" spans="1:13" ht="38.25" x14ac:dyDescent="0.2">
      <c r="A26" s="6" t="s">
        <v>24</v>
      </c>
      <c r="B26" s="42">
        <v>0.5</v>
      </c>
      <c r="C26" s="42"/>
      <c r="D26" s="42"/>
      <c r="E26" s="42"/>
      <c r="F26" s="42"/>
      <c r="G26" s="42"/>
      <c r="H26" s="42"/>
      <c r="I26" s="42"/>
      <c r="J26" s="42"/>
      <c r="K26" s="42">
        <v>0.5</v>
      </c>
      <c r="L26" s="42"/>
      <c r="M26" s="52"/>
    </row>
    <row r="27" spans="1:13" x14ac:dyDescent="0.2">
      <c r="A27" s="56" t="s">
        <v>854</v>
      </c>
      <c r="B27" s="60">
        <f t="shared" ref="B27:M27" si="0">SUM(B2:B26)</f>
        <v>7.5</v>
      </c>
      <c r="C27" s="60">
        <f t="shared" si="0"/>
        <v>2</v>
      </c>
      <c r="D27" s="60">
        <f t="shared" si="0"/>
        <v>6</v>
      </c>
      <c r="E27" s="60">
        <f t="shared" si="0"/>
        <v>2</v>
      </c>
      <c r="F27" s="60">
        <f t="shared" si="0"/>
        <v>8</v>
      </c>
      <c r="G27" s="60">
        <f t="shared" si="0"/>
        <v>3</v>
      </c>
      <c r="H27" s="60">
        <f t="shared" si="0"/>
        <v>4</v>
      </c>
      <c r="I27" s="60">
        <f t="shared" si="0"/>
        <v>1</v>
      </c>
      <c r="J27" s="60">
        <f t="shared" si="0"/>
        <v>2</v>
      </c>
      <c r="K27" s="60">
        <f t="shared" si="0"/>
        <v>0.5</v>
      </c>
      <c r="L27" s="60">
        <f t="shared" si="0"/>
        <v>3.5</v>
      </c>
      <c r="M27" s="60">
        <f t="shared" si="0"/>
        <v>1</v>
      </c>
    </row>
  </sheetData>
  <pageMargins left="0.7" right="0.7" top="0.78740157499999996" bottom="0.78740157499999996" header="0.3" footer="0.3"/>
  <pageSetup paperSize="9" orientation="portrait" r:id="rId1"/>
  <legacyDrawing r:id="rId2"/>
  <tableParts count="1">
    <tablePart r:id="rId3"/>
  </tableParts>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442DD-7B00-4CF2-87AF-040A49C2B7BC}">
  <sheetPr codeName="Tabelle36">
    <tabColor theme="5" tint="0.79998168889431442"/>
  </sheetPr>
  <dimension ref="A1:M27"/>
  <sheetViews>
    <sheetView workbookViewId="0">
      <selection activeCell="J5" sqref="J5"/>
    </sheetView>
  </sheetViews>
  <sheetFormatPr baseColWidth="10" defaultColWidth="11" defaultRowHeight="12.75" x14ac:dyDescent="0.2"/>
  <cols>
    <col min="1" max="1" width="17.625" style="55" customWidth="1"/>
    <col min="2" max="13" width="5.875" style="57" customWidth="1"/>
    <col min="14" max="16384" width="11" style="55"/>
  </cols>
  <sheetData>
    <row r="1" spans="1:13" ht="165.75" customHeight="1" x14ac:dyDescent="0.2">
      <c r="A1" s="50" t="s">
        <v>1</v>
      </c>
      <c r="B1" s="53" t="s">
        <v>963</v>
      </c>
      <c r="C1" s="53" t="s">
        <v>1044</v>
      </c>
      <c r="D1" s="53" t="s">
        <v>1033</v>
      </c>
      <c r="E1" s="53" t="s">
        <v>1047</v>
      </c>
      <c r="F1" s="53" t="s">
        <v>1034</v>
      </c>
      <c r="G1" s="53" t="s">
        <v>1025</v>
      </c>
      <c r="H1" s="53" t="s">
        <v>1045</v>
      </c>
      <c r="I1" s="53" t="s">
        <v>389</v>
      </c>
      <c r="J1" s="53" t="s">
        <v>1027</v>
      </c>
      <c r="K1" s="53" t="s">
        <v>931</v>
      </c>
      <c r="L1" s="53" t="s">
        <v>1046</v>
      </c>
      <c r="M1" s="54" t="s">
        <v>1039</v>
      </c>
    </row>
    <row r="2" spans="1:13" x14ac:dyDescent="0.2">
      <c r="A2" s="6" t="s">
        <v>12</v>
      </c>
      <c r="B2" s="42" t="str">
        <f>VLOOKUP(Tabelle1521[[#This Row],[Druckluftanwendungen]],Dropdown!$A$2:$D$4,4,FALSE)</f>
        <v>(X)</v>
      </c>
      <c r="C2" s="42" t="str">
        <f>VLOOKUP(Tabelle1521[[#This Row],[Prozessdampf mittels 
KWK-Eigenerzeugung]],Dropdown!$A$2:$D$4,4,FALSE)</f>
        <v>X</v>
      </c>
      <c r="D2" s="42" t="str">
        <f>VLOOKUP(Tabelle1521[[#This Row],[Prozesskälte]],Dropdown!$A$2:$D$4,4,FALSE)</f>
        <v>-</v>
      </c>
      <c r="E2" s="42" t="str">
        <f>VLOOKUP(Tabelle1521[[#This Row],[Kühlung 
(Lebensmittelindustrie)]],Dropdown!$A$2:$D$4,4,FALSE)</f>
        <v>-</v>
      </c>
      <c r="F2" s="42" t="str">
        <f>VLOOKUP(Tabelle1521[[#This Row],[Belüftung]],Dropdown!$A$2:$D$4,4,FALSE)</f>
        <v>-</v>
      </c>
      <c r="G2" s="42" t="str">
        <f>VLOOKUP(Tabelle1521[[#This Row],[Beleuchtung]],Dropdown!$A$2:$D$4,4,FALSE)</f>
        <v>-</v>
      </c>
      <c r="H2" s="42" t="str">
        <f>VLOOKUP(Tabelle1521[[#This Row],[Pumpenanwendungen]],Dropdown!$A$2:$D$4,4,FALSE)</f>
        <v>-</v>
      </c>
      <c r="I2" s="42" t="str">
        <f>VLOOKUP(Tabelle1521[[#This Row],[Elektrodenheizkessel]],Dropdown!$A$2:$D$4,4,FALSE)</f>
        <v>-</v>
      </c>
      <c r="J2" s="42" t="str">
        <f>VLOOKUP(Tabelle1521[[#This Row],[Zerkleinerer]],Dropdown!$A$2:$D$4,4,FALSE)</f>
        <v>-</v>
      </c>
      <c r="K2" s="42" t="str">
        <f>VLOOKUP(Tabelle1521[[#This Row],[Fördertechnik]],Dropdown!$A$2:$D$4,4,FALSE)</f>
        <v>-</v>
      </c>
      <c r="L2" s="42" t="str">
        <f>VLOOKUP(Tabelle1521[[#This Row],[Klimakälte]],Dropdown!$A$2:$D$4,4,FALSE)</f>
        <v>-</v>
      </c>
      <c r="M2" s="42" t="str">
        <f>VLOOKUP(Tabelle1521[[#This Row],[Elektrische 
Wärmeerzeugung]],Dropdown!$A$2:$D$4,4,FALSE)</f>
        <v>-</v>
      </c>
    </row>
    <row r="3" spans="1:13" ht="25.5" x14ac:dyDescent="0.2">
      <c r="A3" s="6" t="s">
        <v>347</v>
      </c>
      <c r="B3" s="42" t="str">
        <f>VLOOKUP(Tabelle1521[[#This Row],[Druckluftanwendungen]],Dropdown!$A$2:$D$4,4,FALSE)</f>
        <v>-</v>
      </c>
      <c r="C3" s="42" t="str">
        <f>VLOOKUP(Tabelle1521[[#This Row],[Prozessdampf mittels 
KWK-Eigenerzeugung]],Dropdown!$A$2:$D$4,4,FALSE)</f>
        <v>-</v>
      </c>
      <c r="D3" s="42" t="str">
        <f>VLOOKUP(Tabelle1521[[#This Row],[Prozesskälte]],Dropdown!$A$2:$D$4,4,FALSE)</f>
        <v>-</v>
      </c>
      <c r="E3" s="42" t="str">
        <f>VLOOKUP(Tabelle1521[[#This Row],[Kühlung 
(Lebensmittelindustrie)]],Dropdown!$A$2:$D$4,4,FALSE)</f>
        <v>-</v>
      </c>
      <c r="F3" s="42" t="str">
        <f>VLOOKUP(Tabelle1521[[#This Row],[Belüftung]],Dropdown!$A$2:$D$4,4,FALSE)</f>
        <v>-</v>
      </c>
      <c r="G3" s="42" t="str">
        <f>VLOOKUP(Tabelle1521[[#This Row],[Beleuchtung]],Dropdown!$A$2:$D$4,4,FALSE)</f>
        <v>-</v>
      </c>
      <c r="H3" s="42" t="str">
        <f>VLOOKUP(Tabelle1521[[#This Row],[Pumpenanwendungen]],Dropdown!$A$2:$D$4,4,FALSE)</f>
        <v>-</v>
      </c>
      <c r="I3" s="42" t="str">
        <f>VLOOKUP(Tabelle1521[[#This Row],[Elektrodenheizkessel]],Dropdown!$A$2:$D$4,4,FALSE)</f>
        <v>-</v>
      </c>
      <c r="J3" s="42" t="str">
        <f>VLOOKUP(Tabelle1521[[#This Row],[Zerkleinerer]],Dropdown!$A$2:$D$4,4,FALSE)</f>
        <v>-</v>
      </c>
      <c r="K3" s="42" t="str">
        <f>VLOOKUP(Tabelle1521[[#This Row],[Fördertechnik]],Dropdown!$A$2:$D$4,4,FALSE)</f>
        <v>-</v>
      </c>
      <c r="L3" s="42" t="str">
        <f>VLOOKUP(Tabelle1521[[#This Row],[Klimakälte]],Dropdown!$A$2:$D$4,4,FALSE)</f>
        <v>-</v>
      </c>
      <c r="M3" s="42" t="str">
        <f>VLOOKUP(Tabelle1521[[#This Row],[Elektrische 
Wärmeerzeugung]],Dropdown!$A$2:$D$4,4,FALSE)</f>
        <v>-</v>
      </c>
    </row>
    <row r="4" spans="1:13" ht="25.5" x14ac:dyDescent="0.2">
      <c r="A4" s="6" t="s">
        <v>348</v>
      </c>
      <c r="B4" s="42" t="str">
        <f>VLOOKUP(Tabelle1521[[#This Row],[Druckluftanwendungen]],Dropdown!$A$2:$D$4,4,FALSE)</f>
        <v>-</v>
      </c>
      <c r="C4" s="42" t="str">
        <f>VLOOKUP(Tabelle1521[[#This Row],[Prozessdampf mittels 
KWK-Eigenerzeugung]],Dropdown!$A$2:$D$4,4,FALSE)</f>
        <v>-</v>
      </c>
      <c r="D4" s="42" t="str">
        <f>VLOOKUP(Tabelle1521[[#This Row],[Prozesskälte]],Dropdown!$A$2:$D$4,4,FALSE)</f>
        <v>-</v>
      </c>
      <c r="E4" s="42" t="str">
        <f>VLOOKUP(Tabelle1521[[#This Row],[Kühlung 
(Lebensmittelindustrie)]],Dropdown!$A$2:$D$4,4,FALSE)</f>
        <v>-</v>
      </c>
      <c r="F4" s="42" t="str">
        <f>VLOOKUP(Tabelle1521[[#This Row],[Belüftung]],Dropdown!$A$2:$D$4,4,FALSE)</f>
        <v>-</v>
      </c>
      <c r="G4" s="42" t="str">
        <f>VLOOKUP(Tabelle1521[[#This Row],[Beleuchtung]],Dropdown!$A$2:$D$4,4,FALSE)</f>
        <v>-</v>
      </c>
      <c r="H4" s="42" t="str">
        <f>VLOOKUP(Tabelle1521[[#This Row],[Pumpenanwendungen]],Dropdown!$A$2:$D$4,4,FALSE)</f>
        <v>-</v>
      </c>
      <c r="I4" s="42" t="str">
        <f>VLOOKUP(Tabelle1521[[#This Row],[Elektrodenheizkessel]],Dropdown!$A$2:$D$4,4,FALSE)</f>
        <v>-</v>
      </c>
      <c r="J4" s="42" t="str">
        <f>VLOOKUP(Tabelle1521[[#This Row],[Zerkleinerer]],Dropdown!$A$2:$D$4,4,FALSE)</f>
        <v>-</v>
      </c>
      <c r="K4" s="42" t="str">
        <f>VLOOKUP(Tabelle1521[[#This Row],[Fördertechnik]],Dropdown!$A$2:$D$4,4,FALSE)</f>
        <v>-</v>
      </c>
      <c r="L4" s="42" t="str">
        <f>VLOOKUP(Tabelle1521[[#This Row],[Klimakälte]],Dropdown!$A$2:$D$4,4,FALSE)</f>
        <v>-</v>
      </c>
      <c r="M4" s="42" t="str">
        <f>VLOOKUP(Tabelle1521[[#This Row],[Elektrische 
Wärmeerzeugung]],Dropdown!$A$2:$D$4,4,FALSE)</f>
        <v>-</v>
      </c>
    </row>
    <row r="5" spans="1:13" x14ac:dyDescent="0.2">
      <c r="A5" s="6" t="s">
        <v>183</v>
      </c>
      <c r="B5" s="42" t="str">
        <f>VLOOKUP(Tabelle1521[[#This Row],[Druckluftanwendungen]],Dropdown!$A$2:$D$4,4,FALSE)</f>
        <v>-</v>
      </c>
      <c r="C5" s="42" t="str">
        <f>VLOOKUP(Tabelle1521[[#This Row],[Prozessdampf mittels 
KWK-Eigenerzeugung]],Dropdown!$A$2:$D$4,4,FALSE)</f>
        <v>-</v>
      </c>
      <c r="D5" s="42" t="str">
        <f>VLOOKUP(Tabelle1521[[#This Row],[Prozesskälte]],Dropdown!$A$2:$D$4,4,FALSE)</f>
        <v>-</v>
      </c>
      <c r="E5" s="42" t="str">
        <f>VLOOKUP(Tabelle1521[[#This Row],[Kühlung 
(Lebensmittelindustrie)]],Dropdown!$A$2:$D$4,4,FALSE)</f>
        <v>-</v>
      </c>
      <c r="F5" s="42" t="str">
        <f>VLOOKUP(Tabelle1521[[#This Row],[Belüftung]],Dropdown!$A$2:$D$4,4,FALSE)</f>
        <v>-</v>
      </c>
      <c r="G5" s="42" t="str">
        <f>VLOOKUP(Tabelle1521[[#This Row],[Beleuchtung]],Dropdown!$A$2:$D$4,4,FALSE)</f>
        <v>-</v>
      </c>
      <c r="H5" s="42" t="str">
        <f>VLOOKUP(Tabelle1521[[#This Row],[Pumpenanwendungen]],Dropdown!$A$2:$D$4,4,FALSE)</f>
        <v>-</v>
      </c>
      <c r="I5" s="42" t="str">
        <f>VLOOKUP(Tabelle1521[[#This Row],[Elektrodenheizkessel]],Dropdown!$A$2:$D$4,4,FALSE)</f>
        <v>-</v>
      </c>
      <c r="J5" s="42" t="str">
        <f>VLOOKUP(Tabelle1521[[#This Row],[Zerkleinerer]],Dropdown!$A$2:$D$4,4,FALSE)</f>
        <v>X</v>
      </c>
      <c r="K5" s="42" t="str">
        <f>VLOOKUP(Tabelle1521[[#This Row],[Fördertechnik]],Dropdown!$A$2:$D$4,4,FALSE)</f>
        <v>-</v>
      </c>
      <c r="L5" s="42" t="str">
        <f>VLOOKUP(Tabelle1521[[#This Row],[Klimakälte]],Dropdown!$A$2:$D$4,4,FALSE)</f>
        <v>-</v>
      </c>
      <c r="M5" s="42" t="str">
        <f>VLOOKUP(Tabelle1521[[#This Row],[Elektrische 
Wärmeerzeugung]],Dropdown!$A$2:$D$4,4,FALSE)</f>
        <v>-</v>
      </c>
    </row>
    <row r="6" spans="1:13" ht="25.5" x14ac:dyDescent="0.2">
      <c r="A6" s="6" t="s">
        <v>258</v>
      </c>
      <c r="B6" s="42" t="str">
        <f>VLOOKUP(Tabelle1521[[#This Row],[Druckluftanwendungen]],Dropdown!$A$2:$D$4,4,FALSE)</f>
        <v>-</v>
      </c>
      <c r="C6" s="42" t="str">
        <f>VLOOKUP(Tabelle1521[[#This Row],[Prozessdampf mittels 
KWK-Eigenerzeugung]],Dropdown!$A$2:$D$4,4,FALSE)</f>
        <v>-</v>
      </c>
      <c r="D6" s="42" t="str">
        <f>VLOOKUP(Tabelle1521[[#This Row],[Prozesskälte]],Dropdown!$A$2:$D$4,4,FALSE)</f>
        <v>-</v>
      </c>
      <c r="E6" s="42" t="str">
        <f>VLOOKUP(Tabelle1521[[#This Row],[Kühlung 
(Lebensmittelindustrie)]],Dropdown!$A$2:$D$4,4,FALSE)</f>
        <v>X</v>
      </c>
      <c r="F6" s="42" t="str">
        <f>VLOOKUP(Tabelle1521[[#This Row],[Belüftung]],Dropdown!$A$2:$D$4,4,FALSE)</f>
        <v>X</v>
      </c>
      <c r="G6" s="42" t="str">
        <f>VLOOKUP(Tabelle1521[[#This Row],[Beleuchtung]],Dropdown!$A$2:$D$4,4,FALSE)</f>
        <v>-</v>
      </c>
      <c r="H6" s="42" t="str">
        <f>VLOOKUP(Tabelle1521[[#This Row],[Pumpenanwendungen]],Dropdown!$A$2:$D$4,4,FALSE)</f>
        <v>-</v>
      </c>
      <c r="I6" s="42" t="str">
        <f>VLOOKUP(Tabelle1521[[#This Row],[Elektrodenheizkessel]],Dropdown!$A$2:$D$4,4,FALSE)</f>
        <v>-</v>
      </c>
      <c r="J6" s="42" t="str">
        <f>VLOOKUP(Tabelle1521[[#This Row],[Zerkleinerer]],Dropdown!$A$2:$D$4,4,FALSE)</f>
        <v>-</v>
      </c>
      <c r="K6" s="42" t="str">
        <f>VLOOKUP(Tabelle1521[[#This Row],[Fördertechnik]],Dropdown!$A$2:$D$4,4,FALSE)</f>
        <v>-</v>
      </c>
      <c r="L6" s="42" t="str">
        <f>VLOOKUP(Tabelle1521[[#This Row],[Klimakälte]],Dropdown!$A$2:$D$4,4,FALSE)</f>
        <v>-</v>
      </c>
      <c r="M6" s="42" t="str">
        <f>VLOOKUP(Tabelle1521[[#This Row],[Elektrische 
Wärmeerzeugung]],Dropdown!$A$2:$D$4,4,FALSE)</f>
        <v>-</v>
      </c>
    </row>
    <row r="7" spans="1:13" x14ac:dyDescent="0.2">
      <c r="A7" s="18" t="s">
        <v>355</v>
      </c>
      <c r="B7" s="42" t="str">
        <f>VLOOKUP(Tabelle1521[[#This Row],[Druckluftanwendungen]],Dropdown!$A$2:$D$4,4,FALSE)</f>
        <v>-</v>
      </c>
      <c r="C7" s="42" t="str">
        <f>VLOOKUP(Tabelle1521[[#This Row],[Prozessdampf mittels 
KWK-Eigenerzeugung]],Dropdown!$A$2:$D$4,4,FALSE)</f>
        <v>-</v>
      </c>
      <c r="D7" s="42" t="str">
        <f>VLOOKUP(Tabelle1521[[#This Row],[Prozesskälte]],Dropdown!$A$2:$D$4,4,FALSE)</f>
        <v>-</v>
      </c>
      <c r="E7" s="42" t="str">
        <f>VLOOKUP(Tabelle1521[[#This Row],[Kühlung 
(Lebensmittelindustrie)]],Dropdown!$A$2:$D$4,4,FALSE)</f>
        <v>-</v>
      </c>
      <c r="F7" s="42" t="str">
        <f>VLOOKUP(Tabelle1521[[#This Row],[Belüftung]],Dropdown!$A$2:$D$4,4,FALSE)</f>
        <v>-</v>
      </c>
      <c r="G7" s="42" t="str">
        <f>VLOOKUP(Tabelle1521[[#This Row],[Beleuchtung]],Dropdown!$A$2:$D$4,4,FALSE)</f>
        <v>-</v>
      </c>
      <c r="H7" s="42" t="str">
        <f>VLOOKUP(Tabelle1521[[#This Row],[Pumpenanwendungen]],Dropdown!$A$2:$D$4,4,FALSE)</f>
        <v>-</v>
      </c>
      <c r="I7" s="42" t="str">
        <f>VLOOKUP(Tabelle1521[[#This Row],[Elektrodenheizkessel]],Dropdown!$A$2:$D$4,4,FALSE)</f>
        <v>-</v>
      </c>
      <c r="J7" s="42" t="str">
        <f>VLOOKUP(Tabelle1521[[#This Row],[Zerkleinerer]],Dropdown!$A$2:$D$4,4,FALSE)</f>
        <v>-</v>
      </c>
      <c r="K7" s="42" t="str">
        <f>VLOOKUP(Tabelle1521[[#This Row],[Fördertechnik]],Dropdown!$A$2:$D$4,4,FALSE)</f>
        <v>-</v>
      </c>
      <c r="L7" s="42" t="str">
        <f>VLOOKUP(Tabelle1521[[#This Row],[Klimakälte]],Dropdown!$A$2:$D$4,4,FALSE)</f>
        <v>-</v>
      </c>
      <c r="M7" s="42" t="str">
        <f>VLOOKUP(Tabelle1521[[#This Row],[Elektrische 
Wärmeerzeugung]],Dropdown!$A$2:$D$4,4,FALSE)</f>
        <v>-</v>
      </c>
    </row>
    <row r="8" spans="1:13" x14ac:dyDescent="0.2">
      <c r="A8" s="18" t="s">
        <v>431</v>
      </c>
      <c r="B8" s="42" t="str">
        <f>VLOOKUP(Tabelle1521[[#This Row],[Druckluftanwendungen]],Dropdown!$A$2:$D$4,4,FALSE)</f>
        <v>-</v>
      </c>
      <c r="C8" s="42" t="str">
        <f>VLOOKUP(Tabelle1521[[#This Row],[Prozessdampf mittels 
KWK-Eigenerzeugung]],Dropdown!$A$2:$D$4,4,FALSE)</f>
        <v>-</v>
      </c>
      <c r="D8" s="42" t="str">
        <f>VLOOKUP(Tabelle1521[[#This Row],[Prozesskälte]],Dropdown!$A$2:$D$4,4,FALSE)</f>
        <v>X</v>
      </c>
      <c r="E8" s="42" t="str">
        <f>VLOOKUP(Tabelle1521[[#This Row],[Kühlung 
(Lebensmittelindustrie)]],Dropdown!$A$2:$D$4,4,FALSE)</f>
        <v>-</v>
      </c>
      <c r="F8" s="42" t="str">
        <f>VLOOKUP(Tabelle1521[[#This Row],[Belüftung]],Dropdown!$A$2:$D$4,4,FALSE)</f>
        <v>-</v>
      </c>
      <c r="G8" s="42" t="str">
        <f>VLOOKUP(Tabelle1521[[#This Row],[Beleuchtung]],Dropdown!$A$2:$D$4,4,FALSE)</f>
        <v>-</v>
      </c>
      <c r="H8" s="42" t="str">
        <f>VLOOKUP(Tabelle1521[[#This Row],[Pumpenanwendungen]],Dropdown!$A$2:$D$4,4,FALSE)</f>
        <v>-</v>
      </c>
      <c r="I8" s="42" t="str">
        <f>VLOOKUP(Tabelle1521[[#This Row],[Elektrodenheizkessel]],Dropdown!$A$2:$D$4,4,FALSE)</f>
        <v>-</v>
      </c>
      <c r="J8" s="42" t="str">
        <f>VLOOKUP(Tabelle1521[[#This Row],[Zerkleinerer]],Dropdown!$A$2:$D$4,4,FALSE)</f>
        <v>-</v>
      </c>
      <c r="K8" s="42" t="str">
        <f>VLOOKUP(Tabelle1521[[#This Row],[Fördertechnik]],Dropdown!$A$2:$D$4,4,FALSE)</f>
        <v>-</v>
      </c>
      <c r="L8" s="42" t="str">
        <f>VLOOKUP(Tabelle1521[[#This Row],[Klimakälte]],Dropdown!$A$2:$D$4,4,FALSE)</f>
        <v>X</v>
      </c>
      <c r="M8" s="42" t="str">
        <f>VLOOKUP(Tabelle1521[[#This Row],[Elektrische 
Wärmeerzeugung]],Dropdown!$A$2:$D$4,4,FALSE)</f>
        <v>-</v>
      </c>
    </row>
    <row r="9" spans="1:13" x14ac:dyDescent="0.2">
      <c r="A9" s="6" t="s">
        <v>410</v>
      </c>
      <c r="B9" s="42" t="str">
        <f>VLOOKUP(Tabelle1521[[#This Row],[Druckluftanwendungen]],Dropdown!$A$2:$D$4,4,FALSE)</f>
        <v>X</v>
      </c>
      <c r="C9" s="42" t="str">
        <f>VLOOKUP(Tabelle1521[[#This Row],[Prozessdampf mittels 
KWK-Eigenerzeugung]],Dropdown!$A$2:$D$4,4,FALSE)</f>
        <v>-</v>
      </c>
      <c r="D9" s="42" t="str">
        <f>VLOOKUP(Tabelle1521[[#This Row],[Prozesskälte]],Dropdown!$A$2:$D$4,4,FALSE)</f>
        <v>X</v>
      </c>
      <c r="E9" s="42" t="str">
        <f>VLOOKUP(Tabelle1521[[#This Row],[Kühlung 
(Lebensmittelindustrie)]],Dropdown!$A$2:$D$4,4,FALSE)</f>
        <v>-</v>
      </c>
      <c r="F9" s="42" t="str">
        <f>VLOOKUP(Tabelle1521[[#This Row],[Belüftung]],Dropdown!$A$2:$D$4,4,FALSE)</f>
        <v>X</v>
      </c>
      <c r="G9" s="42" t="str">
        <f>VLOOKUP(Tabelle1521[[#This Row],[Beleuchtung]],Dropdown!$A$2:$D$4,4,FALSE)</f>
        <v>X</v>
      </c>
      <c r="H9" s="42" t="str">
        <f>VLOOKUP(Tabelle1521[[#This Row],[Pumpenanwendungen]],Dropdown!$A$2:$D$4,4,FALSE)</f>
        <v>X</v>
      </c>
      <c r="I9" s="42" t="str">
        <f>VLOOKUP(Tabelle1521[[#This Row],[Elektrodenheizkessel]],Dropdown!$A$2:$D$4,4,FALSE)</f>
        <v>-</v>
      </c>
      <c r="J9" s="42" t="str">
        <f>VLOOKUP(Tabelle1521[[#This Row],[Zerkleinerer]],Dropdown!$A$2:$D$4,4,FALSE)</f>
        <v>-</v>
      </c>
      <c r="K9" s="42" t="str">
        <f>VLOOKUP(Tabelle1521[[#This Row],[Fördertechnik]],Dropdown!$A$2:$D$4,4,FALSE)</f>
        <v>-</v>
      </c>
      <c r="L9" s="42" t="str">
        <f>VLOOKUP(Tabelle1521[[#This Row],[Klimakälte]],Dropdown!$A$2:$D$4,4,FALSE)</f>
        <v>-</v>
      </c>
      <c r="M9" s="42" t="str">
        <f>VLOOKUP(Tabelle1521[[#This Row],[Elektrische 
Wärmeerzeugung]],Dropdown!$A$2:$D$4,4,FALSE)</f>
        <v>-</v>
      </c>
    </row>
    <row r="10" spans="1:13" x14ac:dyDescent="0.2">
      <c r="A10" s="6" t="s">
        <v>393</v>
      </c>
      <c r="B10" s="42" t="str">
        <f>VLOOKUP(Tabelle1521[[#This Row],[Druckluftanwendungen]],Dropdown!$A$2:$D$4,4,FALSE)</f>
        <v>-</v>
      </c>
      <c r="C10" s="42" t="str">
        <f>VLOOKUP(Tabelle1521[[#This Row],[Prozessdampf mittels 
KWK-Eigenerzeugung]],Dropdown!$A$2:$D$4,4,FALSE)</f>
        <v>-</v>
      </c>
      <c r="D10" s="42" t="str">
        <f>VLOOKUP(Tabelle1521[[#This Row],[Prozesskälte]],Dropdown!$A$2:$D$4,4,FALSE)</f>
        <v>-</v>
      </c>
      <c r="E10" s="42" t="str">
        <f>VLOOKUP(Tabelle1521[[#This Row],[Kühlung 
(Lebensmittelindustrie)]],Dropdown!$A$2:$D$4,4,FALSE)</f>
        <v>-</v>
      </c>
      <c r="F10" s="42" t="str">
        <f>VLOOKUP(Tabelle1521[[#This Row],[Belüftung]],Dropdown!$A$2:$D$4,4,FALSE)</f>
        <v>-</v>
      </c>
      <c r="G10" s="42" t="str">
        <f>VLOOKUP(Tabelle1521[[#This Row],[Beleuchtung]],Dropdown!$A$2:$D$4,4,FALSE)</f>
        <v>-</v>
      </c>
      <c r="H10" s="42" t="str">
        <f>VLOOKUP(Tabelle1521[[#This Row],[Pumpenanwendungen]],Dropdown!$A$2:$D$4,4,FALSE)</f>
        <v>-</v>
      </c>
      <c r="I10" s="42" t="str">
        <f>VLOOKUP(Tabelle1521[[#This Row],[Elektrodenheizkessel]],Dropdown!$A$2:$D$4,4,FALSE)</f>
        <v>-</v>
      </c>
      <c r="J10" s="42" t="str">
        <f>VLOOKUP(Tabelle1521[[#This Row],[Zerkleinerer]],Dropdown!$A$2:$D$4,4,FALSE)</f>
        <v>-</v>
      </c>
      <c r="K10" s="42" t="str">
        <f>VLOOKUP(Tabelle1521[[#This Row],[Fördertechnik]],Dropdown!$A$2:$D$4,4,FALSE)</f>
        <v>-</v>
      </c>
      <c r="L10" s="42" t="str">
        <f>VLOOKUP(Tabelle1521[[#This Row],[Klimakälte]],Dropdown!$A$2:$D$4,4,FALSE)</f>
        <v>-</v>
      </c>
      <c r="M10" s="42" t="str">
        <f>VLOOKUP(Tabelle1521[[#This Row],[Elektrische 
Wärmeerzeugung]],Dropdown!$A$2:$D$4,4,FALSE)</f>
        <v>-</v>
      </c>
    </row>
    <row r="11" spans="1:13" ht="38.25" x14ac:dyDescent="0.2">
      <c r="A11" s="6" t="s">
        <v>380</v>
      </c>
      <c r="B11" s="42" t="str">
        <f>VLOOKUP(Tabelle1521[[#This Row],[Druckluftanwendungen]],Dropdown!$A$2:$D$4,4,FALSE)</f>
        <v>-</v>
      </c>
      <c r="C11" s="42" t="str">
        <f>VLOOKUP(Tabelle1521[[#This Row],[Prozessdampf mittels 
KWK-Eigenerzeugung]],Dropdown!$A$2:$D$4,4,FALSE)</f>
        <v>-</v>
      </c>
      <c r="D11" s="42" t="str">
        <f>VLOOKUP(Tabelle1521[[#This Row],[Prozesskälte]],Dropdown!$A$2:$D$4,4,FALSE)</f>
        <v>-</v>
      </c>
      <c r="E11" s="42" t="str">
        <f>VLOOKUP(Tabelle1521[[#This Row],[Kühlung 
(Lebensmittelindustrie)]],Dropdown!$A$2:$D$4,4,FALSE)</f>
        <v>-</v>
      </c>
      <c r="F11" s="42" t="str">
        <f>VLOOKUP(Tabelle1521[[#This Row],[Belüftung]],Dropdown!$A$2:$D$4,4,FALSE)</f>
        <v>-</v>
      </c>
      <c r="G11" s="42" t="str">
        <f>VLOOKUP(Tabelle1521[[#This Row],[Beleuchtung]],Dropdown!$A$2:$D$4,4,FALSE)</f>
        <v>-</v>
      </c>
      <c r="H11" s="42" t="str">
        <f>VLOOKUP(Tabelle1521[[#This Row],[Pumpenanwendungen]],Dropdown!$A$2:$D$4,4,FALSE)</f>
        <v>-</v>
      </c>
      <c r="I11" s="42" t="str">
        <f>VLOOKUP(Tabelle1521[[#This Row],[Elektrodenheizkessel]],Dropdown!$A$2:$D$4,4,FALSE)</f>
        <v>X</v>
      </c>
      <c r="J11" s="42" t="str">
        <f>VLOOKUP(Tabelle1521[[#This Row],[Zerkleinerer]],Dropdown!$A$2:$D$4,4,FALSE)</f>
        <v>-</v>
      </c>
      <c r="K11" s="42" t="str">
        <f>VLOOKUP(Tabelle1521[[#This Row],[Fördertechnik]],Dropdown!$A$2:$D$4,4,FALSE)</f>
        <v>-</v>
      </c>
      <c r="L11" s="42" t="str">
        <f>VLOOKUP(Tabelle1521[[#This Row],[Klimakälte]],Dropdown!$A$2:$D$4,4,FALSE)</f>
        <v>-</v>
      </c>
      <c r="M11" s="42" t="str">
        <f>VLOOKUP(Tabelle1521[[#This Row],[Elektrische 
Wärmeerzeugung]],Dropdown!$A$2:$D$4,4,FALSE)</f>
        <v>-</v>
      </c>
    </row>
    <row r="12" spans="1:13" ht="25.5" x14ac:dyDescent="0.2">
      <c r="A12" s="6" t="s">
        <v>95</v>
      </c>
      <c r="B12" s="42" t="str">
        <f>VLOOKUP(Tabelle1521[[#This Row],[Druckluftanwendungen]],Dropdown!$A$2:$D$4,4,FALSE)</f>
        <v>(X)</v>
      </c>
      <c r="C12" s="42" t="str">
        <f>VLOOKUP(Tabelle1521[[#This Row],[Prozessdampf mittels 
KWK-Eigenerzeugung]],Dropdown!$A$2:$D$4,4,FALSE)</f>
        <v>-</v>
      </c>
      <c r="D12" s="42" t="str">
        <f>VLOOKUP(Tabelle1521[[#This Row],[Prozesskälte]],Dropdown!$A$2:$D$4,4,FALSE)</f>
        <v>-</v>
      </c>
      <c r="E12" s="42" t="str">
        <f>VLOOKUP(Tabelle1521[[#This Row],[Kühlung 
(Lebensmittelindustrie)]],Dropdown!$A$2:$D$4,4,FALSE)</f>
        <v>X</v>
      </c>
      <c r="F12" s="42" t="str">
        <f>VLOOKUP(Tabelle1521[[#This Row],[Belüftung]],Dropdown!$A$2:$D$4,4,FALSE)</f>
        <v>X</v>
      </c>
      <c r="G12" s="42" t="str">
        <f>VLOOKUP(Tabelle1521[[#This Row],[Beleuchtung]],Dropdown!$A$2:$D$4,4,FALSE)</f>
        <v>-</v>
      </c>
      <c r="H12" s="42" t="str">
        <f>VLOOKUP(Tabelle1521[[#This Row],[Pumpenanwendungen]],Dropdown!$A$2:$D$4,4,FALSE)</f>
        <v>-</v>
      </c>
      <c r="I12" s="42" t="str">
        <f>VLOOKUP(Tabelle1521[[#This Row],[Elektrodenheizkessel]],Dropdown!$A$2:$D$4,4,FALSE)</f>
        <v>-</v>
      </c>
      <c r="J12" s="42" t="str">
        <f>VLOOKUP(Tabelle1521[[#This Row],[Zerkleinerer]],Dropdown!$A$2:$D$4,4,FALSE)</f>
        <v>-</v>
      </c>
      <c r="K12" s="42" t="str">
        <f>VLOOKUP(Tabelle1521[[#This Row],[Fördertechnik]],Dropdown!$A$2:$D$4,4,FALSE)</f>
        <v>-</v>
      </c>
      <c r="L12" s="42" t="str">
        <f>VLOOKUP(Tabelle1521[[#This Row],[Klimakälte]],Dropdown!$A$2:$D$4,4,FALSE)</f>
        <v>(X)</v>
      </c>
      <c r="M12" s="42" t="str">
        <f>VLOOKUP(Tabelle1521[[#This Row],[Elektrische 
Wärmeerzeugung]],Dropdown!$A$2:$D$4,4,FALSE)</f>
        <v>-</v>
      </c>
    </row>
    <row r="13" spans="1:13" ht="38.25" x14ac:dyDescent="0.2">
      <c r="A13" s="6" t="s">
        <v>1709</v>
      </c>
      <c r="B13" s="42" t="str">
        <f>VLOOKUP(Tabelle1521[[#This Row],[Druckluftanwendungen]],Dropdown!$A$2:$D$4,4,FALSE)</f>
        <v>X</v>
      </c>
      <c r="C13" s="42" t="str">
        <f>VLOOKUP(Tabelle1521[[#This Row],[Prozessdampf mittels 
KWK-Eigenerzeugung]],Dropdown!$A$2:$D$4,4,FALSE)</f>
        <v>-</v>
      </c>
      <c r="D13" s="42" t="str">
        <f>VLOOKUP(Tabelle1521[[#This Row],[Prozesskälte]],Dropdown!$A$2:$D$4,4,FALSE)</f>
        <v>X</v>
      </c>
      <c r="E13" s="42" t="str">
        <f>VLOOKUP(Tabelle1521[[#This Row],[Kühlung 
(Lebensmittelindustrie)]],Dropdown!$A$2:$D$4,4,FALSE)</f>
        <v>-</v>
      </c>
      <c r="F13" s="42" t="str">
        <f>VLOOKUP(Tabelle1521[[#This Row],[Belüftung]],Dropdown!$A$2:$D$4,4,FALSE)</f>
        <v>X</v>
      </c>
      <c r="G13" s="42" t="str">
        <f>VLOOKUP(Tabelle1521[[#This Row],[Beleuchtung]],Dropdown!$A$2:$D$4,4,FALSE)</f>
        <v>-</v>
      </c>
      <c r="H13" s="42" t="str">
        <f>VLOOKUP(Tabelle1521[[#This Row],[Pumpenanwendungen]],Dropdown!$A$2:$D$4,4,FALSE)</f>
        <v>X</v>
      </c>
      <c r="I13" s="42" t="str">
        <f>VLOOKUP(Tabelle1521[[#This Row],[Elektrodenheizkessel]],Dropdown!$A$2:$D$4,4,FALSE)</f>
        <v>-</v>
      </c>
      <c r="J13" s="42" t="str">
        <f>VLOOKUP(Tabelle1521[[#This Row],[Zerkleinerer]],Dropdown!$A$2:$D$4,4,FALSE)</f>
        <v>-</v>
      </c>
      <c r="K13" s="42" t="str">
        <f>VLOOKUP(Tabelle1521[[#This Row],[Fördertechnik]],Dropdown!$A$2:$D$4,4,FALSE)</f>
        <v>-</v>
      </c>
      <c r="L13" s="42" t="str">
        <f>VLOOKUP(Tabelle1521[[#This Row],[Klimakälte]],Dropdown!$A$2:$D$4,4,FALSE)</f>
        <v>X</v>
      </c>
      <c r="M13" s="42" t="str">
        <f>VLOOKUP(Tabelle1521[[#This Row],[Elektrische 
Wärmeerzeugung]],Dropdown!$A$2:$D$4,4,FALSE)</f>
        <v>-</v>
      </c>
    </row>
    <row r="14" spans="1:13" x14ac:dyDescent="0.2">
      <c r="A14" s="6" t="s">
        <v>179</v>
      </c>
      <c r="B14" s="42" t="str">
        <f>VLOOKUP(Tabelle1521[[#This Row],[Druckluftanwendungen]],Dropdown!$A$2:$D$4,4,FALSE)</f>
        <v>-</v>
      </c>
      <c r="C14" s="42" t="str">
        <f>VLOOKUP(Tabelle1521[[#This Row],[Prozessdampf mittels 
KWK-Eigenerzeugung]],Dropdown!$A$2:$D$4,4,FALSE)</f>
        <v>-</v>
      </c>
      <c r="D14" s="42" t="str">
        <f>VLOOKUP(Tabelle1521[[#This Row],[Prozesskälte]],Dropdown!$A$2:$D$4,4,FALSE)</f>
        <v>-</v>
      </c>
      <c r="E14" s="42" t="str">
        <f>VLOOKUP(Tabelle1521[[#This Row],[Kühlung 
(Lebensmittelindustrie)]],Dropdown!$A$2:$D$4,4,FALSE)</f>
        <v>-</v>
      </c>
      <c r="F14" s="42" t="str">
        <f>VLOOKUP(Tabelle1521[[#This Row],[Belüftung]],Dropdown!$A$2:$D$4,4,FALSE)</f>
        <v>-</v>
      </c>
      <c r="G14" s="42" t="str">
        <f>VLOOKUP(Tabelle1521[[#This Row],[Beleuchtung]],Dropdown!$A$2:$D$4,4,FALSE)</f>
        <v>-</v>
      </c>
      <c r="H14" s="42" t="str">
        <f>VLOOKUP(Tabelle1521[[#This Row],[Pumpenanwendungen]],Dropdown!$A$2:$D$4,4,FALSE)</f>
        <v>-</v>
      </c>
      <c r="I14" s="42" t="str">
        <f>VLOOKUP(Tabelle1521[[#This Row],[Elektrodenheizkessel]],Dropdown!$A$2:$D$4,4,FALSE)</f>
        <v>-</v>
      </c>
      <c r="J14" s="42" t="str">
        <f>VLOOKUP(Tabelle1521[[#This Row],[Zerkleinerer]],Dropdown!$A$2:$D$4,4,FALSE)</f>
        <v>-</v>
      </c>
      <c r="K14" s="42" t="str">
        <f>VLOOKUP(Tabelle1521[[#This Row],[Fördertechnik]],Dropdown!$A$2:$D$4,4,FALSE)</f>
        <v>-</v>
      </c>
      <c r="L14" s="42" t="str">
        <f>VLOOKUP(Tabelle1521[[#This Row],[Klimakälte]],Dropdown!$A$2:$D$4,4,FALSE)</f>
        <v>-</v>
      </c>
      <c r="M14" s="42" t="str">
        <f>VLOOKUP(Tabelle1521[[#This Row],[Elektrische 
Wärmeerzeugung]],Dropdown!$A$2:$D$4,4,FALSE)</f>
        <v>-</v>
      </c>
    </row>
    <row r="15" spans="1:13" x14ac:dyDescent="0.2">
      <c r="A15" s="6" t="s">
        <v>341</v>
      </c>
      <c r="B15" s="42" t="str">
        <f>VLOOKUP(Tabelle1521[[#This Row],[Druckluftanwendungen]],Dropdown!$A$2:$D$4,4,FALSE)</f>
        <v>-</v>
      </c>
      <c r="C15" s="42" t="str">
        <f>VLOOKUP(Tabelle1521[[#This Row],[Prozessdampf mittels 
KWK-Eigenerzeugung]],Dropdown!$A$2:$D$4,4,FALSE)</f>
        <v>-</v>
      </c>
      <c r="D15" s="42" t="str">
        <f>VLOOKUP(Tabelle1521[[#This Row],[Prozesskälte]],Dropdown!$A$2:$D$4,4,FALSE)</f>
        <v>-</v>
      </c>
      <c r="E15" s="42" t="str">
        <f>VLOOKUP(Tabelle1521[[#This Row],[Kühlung 
(Lebensmittelindustrie)]],Dropdown!$A$2:$D$4,4,FALSE)</f>
        <v>-</v>
      </c>
      <c r="F15" s="42" t="str">
        <f>VLOOKUP(Tabelle1521[[#This Row],[Belüftung]],Dropdown!$A$2:$D$4,4,FALSE)</f>
        <v>-</v>
      </c>
      <c r="G15" s="42" t="str">
        <f>VLOOKUP(Tabelle1521[[#This Row],[Beleuchtung]],Dropdown!$A$2:$D$4,4,FALSE)</f>
        <v>-</v>
      </c>
      <c r="H15" s="42" t="str">
        <f>VLOOKUP(Tabelle1521[[#This Row],[Pumpenanwendungen]],Dropdown!$A$2:$D$4,4,FALSE)</f>
        <v>-</v>
      </c>
      <c r="I15" s="42" t="str">
        <f>VLOOKUP(Tabelle1521[[#This Row],[Elektrodenheizkessel]],Dropdown!$A$2:$D$4,4,FALSE)</f>
        <v>-</v>
      </c>
      <c r="J15" s="42" t="str">
        <f>VLOOKUP(Tabelle1521[[#This Row],[Zerkleinerer]],Dropdown!$A$2:$D$4,4,FALSE)</f>
        <v>-</v>
      </c>
      <c r="K15" s="42" t="str">
        <f>VLOOKUP(Tabelle1521[[#This Row],[Fördertechnik]],Dropdown!$A$2:$D$4,4,FALSE)</f>
        <v>-</v>
      </c>
      <c r="L15" s="42" t="str">
        <f>VLOOKUP(Tabelle1521[[#This Row],[Klimakälte]],Dropdown!$A$2:$D$4,4,FALSE)</f>
        <v>-</v>
      </c>
      <c r="M15" s="42" t="str">
        <f>VLOOKUP(Tabelle1521[[#This Row],[Elektrische 
Wärmeerzeugung]],Dropdown!$A$2:$D$4,4,FALSE)</f>
        <v>-</v>
      </c>
    </row>
    <row r="16" spans="1:13" x14ac:dyDescent="0.2">
      <c r="A16" s="6" t="s">
        <v>22</v>
      </c>
      <c r="B16" s="42" t="str">
        <f>VLOOKUP(Tabelle1521[[#This Row],[Druckluftanwendungen]],Dropdown!$A$2:$D$4,4,FALSE)</f>
        <v>-</v>
      </c>
      <c r="C16" s="42" t="str">
        <f>VLOOKUP(Tabelle1521[[#This Row],[Prozessdampf mittels 
KWK-Eigenerzeugung]],Dropdown!$A$2:$D$4,4,FALSE)</f>
        <v>-</v>
      </c>
      <c r="D16" s="42" t="str">
        <f>VLOOKUP(Tabelle1521[[#This Row],[Prozesskälte]],Dropdown!$A$2:$D$4,4,FALSE)</f>
        <v>-</v>
      </c>
      <c r="E16" s="42" t="str">
        <f>VLOOKUP(Tabelle1521[[#This Row],[Kühlung 
(Lebensmittelindustrie)]],Dropdown!$A$2:$D$4,4,FALSE)</f>
        <v>-</v>
      </c>
      <c r="F16" s="42" t="str">
        <f>VLOOKUP(Tabelle1521[[#This Row],[Belüftung]],Dropdown!$A$2:$D$4,4,FALSE)</f>
        <v>-</v>
      </c>
      <c r="G16" s="42" t="str">
        <f>VLOOKUP(Tabelle1521[[#This Row],[Beleuchtung]],Dropdown!$A$2:$D$4,4,FALSE)</f>
        <v>-</v>
      </c>
      <c r="H16" s="42" t="str">
        <f>VLOOKUP(Tabelle1521[[#This Row],[Pumpenanwendungen]],Dropdown!$A$2:$D$4,4,FALSE)</f>
        <v>-</v>
      </c>
      <c r="I16" s="42" t="str">
        <f>VLOOKUP(Tabelle1521[[#This Row],[Elektrodenheizkessel]],Dropdown!$A$2:$D$4,4,FALSE)</f>
        <v>-</v>
      </c>
      <c r="J16" s="42" t="str">
        <f>VLOOKUP(Tabelle1521[[#This Row],[Zerkleinerer]],Dropdown!$A$2:$D$4,4,FALSE)</f>
        <v>-</v>
      </c>
      <c r="K16" s="42" t="str">
        <f>VLOOKUP(Tabelle1521[[#This Row],[Fördertechnik]],Dropdown!$A$2:$D$4,4,FALSE)</f>
        <v>-</v>
      </c>
      <c r="L16" s="42" t="str">
        <f>VLOOKUP(Tabelle1521[[#This Row],[Klimakälte]],Dropdown!$A$2:$D$4,4,FALSE)</f>
        <v>-</v>
      </c>
      <c r="M16" s="42" t="str">
        <f>VLOOKUP(Tabelle1521[[#This Row],[Elektrische 
Wärmeerzeugung]],Dropdown!$A$2:$D$4,4,FALSE)</f>
        <v>-</v>
      </c>
    </row>
    <row r="17" spans="1:13" ht="25.5" x14ac:dyDescent="0.2">
      <c r="A17" s="6" t="s">
        <v>188</v>
      </c>
      <c r="B17" s="42" t="str">
        <f>VLOOKUP(Tabelle1521[[#This Row],[Druckluftanwendungen]],Dropdown!$A$2:$D$4,4,FALSE)</f>
        <v>-</v>
      </c>
      <c r="C17" s="42" t="str">
        <f>VLOOKUP(Tabelle1521[[#This Row],[Prozessdampf mittels 
KWK-Eigenerzeugung]],Dropdown!$A$2:$D$4,4,FALSE)</f>
        <v>-</v>
      </c>
      <c r="D17" s="42" t="str">
        <f>VLOOKUP(Tabelle1521[[#This Row],[Prozesskälte]],Dropdown!$A$2:$D$4,4,FALSE)</f>
        <v>-</v>
      </c>
      <c r="E17" s="42" t="str">
        <f>VLOOKUP(Tabelle1521[[#This Row],[Kühlung 
(Lebensmittelindustrie)]],Dropdown!$A$2:$D$4,4,FALSE)</f>
        <v>-</v>
      </c>
      <c r="F17" s="42" t="str">
        <f>VLOOKUP(Tabelle1521[[#This Row],[Belüftung]],Dropdown!$A$2:$D$4,4,FALSE)</f>
        <v>-</v>
      </c>
      <c r="G17" s="42" t="str">
        <f>VLOOKUP(Tabelle1521[[#This Row],[Beleuchtung]],Dropdown!$A$2:$D$4,4,FALSE)</f>
        <v>-</v>
      </c>
      <c r="H17" s="42" t="str">
        <f>VLOOKUP(Tabelle1521[[#This Row],[Pumpenanwendungen]],Dropdown!$A$2:$D$4,4,FALSE)</f>
        <v>-</v>
      </c>
      <c r="I17" s="42" t="str">
        <f>VLOOKUP(Tabelle1521[[#This Row],[Elektrodenheizkessel]],Dropdown!$A$2:$D$4,4,FALSE)</f>
        <v>-</v>
      </c>
      <c r="J17" s="42" t="str">
        <f>VLOOKUP(Tabelle1521[[#This Row],[Zerkleinerer]],Dropdown!$A$2:$D$4,4,FALSE)</f>
        <v>-</v>
      </c>
      <c r="K17" s="42" t="str">
        <f>VLOOKUP(Tabelle1521[[#This Row],[Fördertechnik]],Dropdown!$A$2:$D$4,4,FALSE)</f>
        <v>-</v>
      </c>
      <c r="L17" s="42" t="str">
        <f>VLOOKUP(Tabelle1521[[#This Row],[Klimakälte]],Dropdown!$A$2:$D$4,4,FALSE)</f>
        <v>-</v>
      </c>
      <c r="M17" s="42" t="str">
        <f>VLOOKUP(Tabelle1521[[#This Row],[Elektrische 
Wärmeerzeugung]],Dropdown!$A$2:$D$4,4,FALSE)</f>
        <v>-</v>
      </c>
    </row>
    <row r="18" spans="1:13" ht="25.5" x14ac:dyDescent="0.2">
      <c r="A18" s="6" t="s">
        <v>133</v>
      </c>
      <c r="B18" s="42" t="str">
        <f>VLOOKUP(Tabelle1521[[#This Row],[Druckluftanwendungen]],Dropdown!$A$2:$D$4,4,FALSE)</f>
        <v>X</v>
      </c>
      <c r="C18" s="42" t="str">
        <f>VLOOKUP(Tabelle1521[[#This Row],[Prozessdampf mittels 
KWK-Eigenerzeugung]],Dropdown!$A$2:$D$4,4,FALSE)</f>
        <v>-</v>
      </c>
      <c r="D18" s="42" t="str">
        <f>VLOOKUP(Tabelle1521[[#This Row],[Prozesskälte]],Dropdown!$A$2:$D$4,4,FALSE)</f>
        <v>X</v>
      </c>
      <c r="E18" s="42" t="str">
        <f>VLOOKUP(Tabelle1521[[#This Row],[Kühlung 
(Lebensmittelindustrie)]],Dropdown!$A$2:$D$4,4,FALSE)</f>
        <v>-</v>
      </c>
      <c r="F18" s="42" t="str">
        <f>VLOOKUP(Tabelle1521[[#This Row],[Belüftung]],Dropdown!$A$2:$D$4,4,FALSE)</f>
        <v>X</v>
      </c>
      <c r="G18" s="42" t="str">
        <f>VLOOKUP(Tabelle1521[[#This Row],[Beleuchtung]],Dropdown!$A$2:$D$4,4,FALSE)</f>
        <v>-</v>
      </c>
      <c r="H18" s="42" t="str">
        <f>VLOOKUP(Tabelle1521[[#This Row],[Pumpenanwendungen]],Dropdown!$A$2:$D$4,4,FALSE)</f>
        <v>-</v>
      </c>
      <c r="I18" s="42" t="str">
        <f>VLOOKUP(Tabelle1521[[#This Row],[Elektrodenheizkessel]],Dropdown!$A$2:$D$4,4,FALSE)</f>
        <v>-</v>
      </c>
      <c r="J18" s="42" t="str">
        <f>VLOOKUP(Tabelle1521[[#This Row],[Zerkleinerer]],Dropdown!$A$2:$D$4,4,FALSE)</f>
        <v>-</v>
      </c>
      <c r="K18" s="42" t="str">
        <f>VLOOKUP(Tabelle1521[[#This Row],[Fördertechnik]],Dropdown!$A$2:$D$4,4,FALSE)</f>
        <v>-</v>
      </c>
      <c r="L18" s="42" t="str">
        <f>VLOOKUP(Tabelle1521[[#This Row],[Klimakälte]],Dropdown!$A$2:$D$4,4,FALSE)</f>
        <v>-</v>
      </c>
      <c r="M18" s="42" t="str">
        <f>VLOOKUP(Tabelle1521[[#This Row],[Elektrische 
Wärmeerzeugung]],Dropdown!$A$2:$D$4,4,FALSE)</f>
        <v>-</v>
      </c>
    </row>
    <row r="19" spans="1:13" ht="25.5" x14ac:dyDescent="0.2">
      <c r="A19" s="6" t="s">
        <v>10</v>
      </c>
      <c r="B19" s="42" t="str">
        <f>VLOOKUP(Tabelle1521[[#This Row],[Druckluftanwendungen]],Dropdown!$A$2:$D$4,4,FALSE)</f>
        <v>-</v>
      </c>
      <c r="C19" s="42" t="str">
        <f>VLOOKUP(Tabelle1521[[#This Row],[Prozessdampf mittels 
KWK-Eigenerzeugung]],Dropdown!$A$2:$D$4,4,FALSE)</f>
        <v>-</v>
      </c>
      <c r="D19" s="42" t="str">
        <f>VLOOKUP(Tabelle1521[[#This Row],[Prozesskälte]],Dropdown!$A$2:$D$4,4,FALSE)</f>
        <v>-</v>
      </c>
      <c r="E19" s="42" t="str">
        <f>VLOOKUP(Tabelle1521[[#This Row],[Kühlung 
(Lebensmittelindustrie)]],Dropdown!$A$2:$D$4,4,FALSE)</f>
        <v>-</v>
      </c>
      <c r="F19" s="42" t="str">
        <f>VLOOKUP(Tabelle1521[[#This Row],[Belüftung]],Dropdown!$A$2:$D$4,4,FALSE)</f>
        <v>-</v>
      </c>
      <c r="G19" s="42" t="str">
        <f>VLOOKUP(Tabelle1521[[#This Row],[Beleuchtung]],Dropdown!$A$2:$D$4,4,FALSE)</f>
        <v>-</v>
      </c>
      <c r="H19" s="42" t="str">
        <f>VLOOKUP(Tabelle1521[[#This Row],[Pumpenanwendungen]],Dropdown!$A$2:$D$4,4,FALSE)</f>
        <v>-</v>
      </c>
      <c r="I19" s="42" t="str">
        <f>VLOOKUP(Tabelle1521[[#This Row],[Elektrodenheizkessel]],Dropdown!$A$2:$D$4,4,FALSE)</f>
        <v>-</v>
      </c>
      <c r="J19" s="42" t="str">
        <f>VLOOKUP(Tabelle1521[[#This Row],[Zerkleinerer]],Dropdown!$A$2:$D$4,4,FALSE)</f>
        <v>-</v>
      </c>
      <c r="K19" s="42" t="str">
        <f>VLOOKUP(Tabelle1521[[#This Row],[Fördertechnik]],Dropdown!$A$2:$D$4,4,FALSE)</f>
        <v>-</v>
      </c>
      <c r="L19" s="42" t="str">
        <f>VLOOKUP(Tabelle1521[[#This Row],[Klimakälte]],Dropdown!$A$2:$D$4,4,FALSE)</f>
        <v>-</v>
      </c>
      <c r="M19" s="42" t="str">
        <f>VLOOKUP(Tabelle1521[[#This Row],[Elektrische 
Wärmeerzeugung]],Dropdown!$A$2:$D$4,4,FALSE)</f>
        <v>-</v>
      </c>
    </row>
    <row r="20" spans="1:13" ht="38.25" x14ac:dyDescent="0.2">
      <c r="A20" s="6" t="s">
        <v>832</v>
      </c>
      <c r="B20" s="42" t="str">
        <f>VLOOKUP(Tabelle1521[[#This Row],[Druckluftanwendungen]],Dropdown!$A$2:$D$4,4,FALSE)</f>
        <v>X</v>
      </c>
      <c r="C20" s="42" t="str">
        <f>VLOOKUP(Tabelle1521[[#This Row],[Prozessdampf mittels 
KWK-Eigenerzeugung]],Dropdown!$A$2:$D$4,4,FALSE)</f>
        <v>-</v>
      </c>
      <c r="D20" s="42" t="str">
        <f>VLOOKUP(Tabelle1521[[#This Row],[Prozesskälte]],Dropdown!$A$2:$D$4,4,FALSE)</f>
        <v>X</v>
      </c>
      <c r="E20" s="42" t="str">
        <f>VLOOKUP(Tabelle1521[[#This Row],[Kühlung 
(Lebensmittelindustrie)]],Dropdown!$A$2:$D$4,4,FALSE)</f>
        <v>-</v>
      </c>
      <c r="F20" s="42" t="str">
        <f>VLOOKUP(Tabelle1521[[#This Row],[Belüftung]],Dropdown!$A$2:$D$4,4,FALSE)</f>
        <v>X</v>
      </c>
      <c r="G20" s="42" t="str">
        <f>VLOOKUP(Tabelle1521[[#This Row],[Beleuchtung]],Dropdown!$A$2:$D$4,4,FALSE)</f>
        <v>X</v>
      </c>
      <c r="H20" s="42" t="str">
        <f>VLOOKUP(Tabelle1521[[#This Row],[Pumpenanwendungen]],Dropdown!$A$2:$D$4,4,FALSE)</f>
        <v>X</v>
      </c>
      <c r="I20" s="42" t="str">
        <f>VLOOKUP(Tabelle1521[[#This Row],[Elektrodenheizkessel]],Dropdown!$A$2:$D$4,4,FALSE)</f>
        <v>-</v>
      </c>
      <c r="J20" s="42" t="str">
        <f>VLOOKUP(Tabelle1521[[#This Row],[Zerkleinerer]],Dropdown!$A$2:$D$4,4,FALSE)</f>
        <v>-</v>
      </c>
      <c r="K20" s="42" t="str">
        <f>VLOOKUP(Tabelle1521[[#This Row],[Fördertechnik]],Dropdown!$A$2:$D$4,4,FALSE)</f>
        <v>-</v>
      </c>
      <c r="L20" s="42" t="str">
        <f>VLOOKUP(Tabelle1521[[#This Row],[Klimakälte]],Dropdown!$A$2:$D$4,4,FALSE)</f>
        <v>-</v>
      </c>
      <c r="M20" s="42" t="str">
        <f>VLOOKUP(Tabelle1521[[#This Row],[Elektrische 
Wärmeerzeugung]],Dropdown!$A$2:$D$4,4,FALSE)</f>
        <v>-</v>
      </c>
    </row>
    <row r="21" spans="1:13" x14ac:dyDescent="0.2">
      <c r="A21" s="6" t="s">
        <v>16</v>
      </c>
      <c r="B21" s="42" t="str">
        <f>VLOOKUP(Tabelle1521[[#This Row],[Druckluftanwendungen]],Dropdown!$A$2:$D$4,4,FALSE)</f>
        <v>-</v>
      </c>
      <c r="C21" s="42" t="str">
        <f>VLOOKUP(Tabelle1521[[#This Row],[Prozessdampf mittels 
KWK-Eigenerzeugung]],Dropdown!$A$2:$D$4,4,FALSE)</f>
        <v>-</v>
      </c>
      <c r="D21" s="42" t="str">
        <f>VLOOKUP(Tabelle1521[[#This Row],[Prozesskälte]],Dropdown!$A$2:$D$4,4,FALSE)</f>
        <v>-</v>
      </c>
      <c r="E21" s="42" t="str">
        <f>VLOOKUP(Tabelle1521[[#This Row],[Kühlung 
(Lebensmittelindustrie)]],Dropdown!$A$2:$D$4,4,FALSE)</f>
        <v>-</v>
      </c>
      <c r="F21" s="42" t="str">
        <f>VLOOKUP(Tabelle1521[[#This Row],[Belüftung]],Dropdown!$A$2:$D$4,4,FALSE)</f>
        <v>-</v>
      </c>
      <c r="G21" s="42" t="str">
        <f>VLOOKUP(Tabelle1521[[#This Row],[Beleuchtung]],Dropdown!$A$2:$D$4,4,FALSE)</f>
        <v>-</v>
      </c>
      <c r="H21" s="42" t="str">
        <f>VLOOKUP(Tabelle1521[[#This Row],[Pumpenanwendungen]],Dropdown!$A$2:$D$4,4,FALSE)</f>
        <v>-</v>
      </c>
      <c r="I21" s="42" t="str">
        <f>VLOOKUP(Tabelle1521[[#This Row],[Elektrodenheizkessel]],Dropdown!$A$2:$D$4,4,FALSE)</f>
        <v>-</v>
      </c>
      <c r="J21" s="42" t="str">
        <f>VLOOKUP(Tabelle1521[[#This Row],[Zerkleinerer]],Dropdown!$A$2:$D$4,4,FALSE)</f>
        <v>-</v>
      </c>
      <c r="K21" s="42" t="str">
        <f>VLOOKUP(Tabelle1521[[#This Row],[Fördertechnik]],Dropdown!$A$2:$D$4,4,FALSE)</f>
        <v>-</v>
      </c>
      <c r="L21" s="42" t="str">
        <f>VLOOKUP(Tabelle1521[[#This Row],[Klimakälte]],Dropdown!$A$2:$D$4,4,FALSE)</f>
        <v>-</v>
      </c>
      <c r="M21" s="42" t="str">
        <f>VLOOKUP(Tabelle1521[[#This Row],[Elektrische 
Wärmeerzeugung]],Dropdown!$A$2:$D$4,4,FALSE)</f>
        <v>-</v>
      </c>
    </row>
    <row r="22" spans="1:13" ht="25.5" x14ac:dyDescent="0.2">
      <c r="A22" s="6" t="s">
        <v>7</v>
      </c>
      <c r="B22" s="42" t="str">
        <f>VLOOKUP(Tabelle1521[[#This Row],[Druckluftanwendungen]],Dropdown!$A$2:$D$4,4,FALSE)</f>
        <v>-</v>
      </c>
      <c r="C22" s="42" t="str">
        <f>VLOOKUP(Tabelle1521[[#This Row],[Prozessdampf mittels 
KWK-Eigenerzeugung]],Dropdown!$A$2:$D$4,4,FALSE)</f>
        <v>-</v>
      </c>
      <c r="D22" s="42" t="str">
        <f>VLOOKUP(Tabelle1521[[#This Row],[Prozesskälte]],Dropdown!$A$2:$D$4,4,FALSE)</f>
        <v>-</v>
      </c>
      <c r="E22" s="42" t="str">
        <f>VLOOKUP(Tabelle1521[[#This Row],[Kühlung 
(Lebensmittelindustrie)]],Dropdown!$A$2:$D$4,4,FALSE)</f>
        <v>-</v>
      </c>
      <c r="F22" s="42" t="str">
        <f>VLOOKUP(Tabelle1521[[#This Row],[Belüftung]],Dropdown!$A$2:$D$4,4,FALSE)</f>
        <v>-</v>
      </c>
      <c r="G22" s="42" t="str">
        <f>VLOOKUP(Tabelle1521[[#This Row],[Beleuchtung]],Dropdown!$A$2:$D$4,4,FALSE)</f>
        <v>-</v>
      </c>
      <c r="H22" s="42" t="str">
        <f>VLOOKUP(Tabelle1521[[#This Row],[Pumpenanwendungen]],Dropdown!$A$2:$D$4,4,FALSE)</f>
        <v>-</v>
      </c>
      <c r="I22" s="42" t="str">
        <f>VLOOKUP(Tabelle1521[[#This Row],[Elektrodenheizkessel]],Dropdown!$A$2:$D$4,4,FALSE)</f>
        <v>-</v>
      </c>
      <c r="J22" s="42" t="str">
        <f>VLOOKUP(Tabelle1521[[#This Row],[Zerkleinerer]],Dropdown!$A$2:$D$4,4,FALSE)</f>
        <v>-</v>
      </c>
      <c r="K22" s="42" t="str">
        <f>VLOOKUP(Tabelle1521[[#This Row],[Fördertechnik]],Dropdown!$A$2:$D$4,4,FALSE)</f>
        <v>-</v>
      </c>
      <c r="L22" s="42" t="str">
        <f>VLOOKUP(Tabelle1521[[#This Row],[Klimakälte]],Dropdown!$A$2:$D$4,4,FALSE)</f>
        <v>-</v>
      </c>
      <c r="M22" s="42" t="str">
        <f>VLOOKUP(Tabelle1521[[#This Row],[Elektrische 
Wärmeerzeugung]],Dropdown!$A$2:$D$4,4,FALSE)</f>
        <v>-</v>
      </c>
    </row>
    <row r="23" spans="1:13" x14ac:dyDescent="0.2">
      <c r="A23" s="6" t="s">
        <v>18</v>
      </c>
      <c r="B23" s="42" t="str">
        <f>VLOOKUP(Tabelle1521[[#This Row],[Druckluftanwendungen]],Dropdown!$A$2:$D$4,4,FALSE)</f>
        <v>-</v>
      </c>
      <c r="C23" s="42" t="str">
        <f>VLOOKUP(Tabelle1521[[#This Row],[Prozessdampf mittels 
KWK-Eigenerzeugung]],Dropdown!$A$2:$D$4,4,FALSE)</f>
        <v>-</v>
      </c>
      <c r="D23" s="42" t="str">
        <f>VLOOKUP(Tabelle1521[[#This Row],[Prozesskälte]],Dropdown!$A$2:$D$4,4,FALSE)</f>
        <v>X</v>
      </c>
      <c r="E23" s="42" t="str">
        <f>VLOOKUP(Tabelle1521[[#This Row],[Kühlung 
(Lebensmittelindustrie)]],Dropdown!$A$2:$D$4,4,FALSE)</f>
        <v>-</v>
      </c>
      <c r="F23" s="42" t="str">
        <f>VLOOKUP(Tabelle1521[[#This Row],[Belüftung]],Dropdown!$A$2:$D$4,4,FALSE)</f>
        <v>X</v>
      </c>
      <c r="G23" s="42" t="str">
        <f>VLOOKUP(Tabelle1521[[#This Row],[Beleuchtung]],Dropdown!$A$2:$D$4,4,FALSE)</f>
        <v>-</v>
      </c>
      <c r="H23" s="42" t="str">
        <f>VLOOKUP(Tabelle1521[[#This Row],[Pumpenanwendungen]],Dropdown!$A$2:$D$4,4,FALSE)</f>
        <v>-</v>
      </c>
      <c r="I23" s="42" t="str">
        <f>VLOOKUP(Tabelle1521[[#This Row],[Elektrodenheizkessel]],Dropdown!$A$2:$D$4,4,FALSE)</f>
        <v>-</v>
      </c>
      <c r="J23" s="42" t="str">
        <f>VLOOKUP(Tabelle1521[[#This Row],[Zerkleinerer]],Dropdown!$A$2:$D$4,4,FALSE)</f>
        <v>-</v>
      </c>
      <c r="K23" s="42" t="str">
        <f>VLOOKUP(Tabelle1521[[#This Row],[Fördertechnik]],Dropdown!$A$2:$D$4,4,FALSE)</f>
        <v>-</v>
      </c>
      <c r="L23" s="42" t="str">
        <f>VLOOKUP(Tabelle1521[[#This Row],[Klimakälte]],Dropdown!$A$2:$D$4,4,FALSE)</f>
        <v>-</v>
      </c>
      <c r="M23" s="42" t="str">
        <f>VLOOKUP(Tabelle1521[[#This Row],[Elektrische 
Wärmeerzeugung]],Dropdown!$A$2:$D$4,4,FALSE)</f>
        <v>-</v>
      </c>
    </row>
    <row r="24" spans="1:13" x14ac:dyDescent="0.2">
      <c r="A24" s="6" t="s">
        <v>338</v>
      </c>
      <c r="B24" s="42" t="str">
        <f>VLOOKUP(Tabelle1521[[#This Row],[Druckluftanwendungen]],Dropdown!$A$2:$D$4,4,FALSE)</f>
        <v>X</v>
      </c>
      <c r="C24" s="42" t="str">
        <f>VLOOKUP(Tabelle1521[[#This Row],[Prozessdampf mittels 
KWK-Eigenerzeugung]],Dropdown!$A$2:$D$4,4,FALSE)</f>
        <v>-</v>
      </c>
      <c r="D24" s="42" t="str">
        <f>VLOOKUP(Tabelle1521[[#This Row],[Prozesskälte]],Dropdown!$A$2:$D$4,4,FALSE)</f>
        <v>-</v>
      </c>
      <c r="E24" s="42" t="str">
        <f>VLOOKUP(Tabelle1521[[#This Row],[Kühlung 
(Lebensmittelindustrie)]],Dropdown!$A$2:$D$4,4,FALSE)</f>
        <v>-</v>
      </c>
      <c r="F24" s="42" t="str">
        <f>VLOOKUP(Tabelle1521[[#This Row],[Belüftung]],Dropdown!$A$2:$D$4,4,FALSE)</f>
        <v>-</v>
      </c>
      <c r="G24" s="42" t="str">
        <f>VLOOKUP(Tabelle1521[[#This Row],[Beleuchtung]],Dropdown!$A$2:$D$4,4,FALSE)</f>
        <v>-</v>
      </c>
      <c r="H24" s="42" t="str">
        <f>VLOOKUP(Tabelle1521[[#This Row],[Pumpenanwendungen]],Dropdown!$A$2:$D$4,4,FALSE)</f>
        <v>-</v>
      </c>
      <c r="I24" s="42" t="str">
        <f>VLOOKUP(Tabelle1521[[#This Row],[Elektrodenheizkessel]],Dropdown!$A$2:$D$4,4,FALSE)</f>
        <v>-</v>
      </c>
      <c r="J24" s="42" t="str">
        <f>VLOOKUP(Tabelle1521[[#This Row],[Zerkleinerer]],Dropdown!$A$2:$D$4,4,FALSE)</f>
        <v>-</v>
      </c>
      <c r="K24" s="42" t="str">
        <f>VLOOKUP(Tabelle1521[[#This Row],[Fördertechnik]],Dropdown!$A$2:$D$4,4,FALSE)</f>
        <v>-</v>
      </c>
      <c r="L24" s="42" t="str">
        <f>VLOOKUP(Tabelle1521[[#This Row],[Klimakälte]],Dropdown!$A$2:$D$4,4,FALSE)</f>
        <v>-</v>
      </c>
      <c r="M24" s="42" t="str">
        <f>VLOOKUP(Tabelle1521[[#This Row],[Elektrische 
Wärmeerzeugung]],Dropdown!$A$2:$D$4,4,FALSE)</f>
        <v>-</v>
      </c>
    </row>
    <row r="25" spans="1:13" ht="25.5" x14ac:dyDescent="0.2">
      <c r="A25" s="6" t="s">
        <v>351</v>
      </c>
      <c r="B25" s="42" t="str">
        <f>VLOOKUP(Tabelle1521[[#This Row],[Druckluftanwendungen]],Dropdown!$A$2:$D$4,4,FALSE)</f>
        <v>X</v>
      </c>
      <c r="C25" s="42" t="str">
        <f>VLOOKUP(Tabelle1521[[#This Row],[Prozessdampf mittels 
KWK-Eigenerzeugung]],Dropdown!$A$2:$D$4,4,FALSE)</f>
        <v>X</v>
      </c>
      <c r="D25" s="42" t="str">
        <f>VLOOKUP(Tabelle1521[[#This Row],[Prozesskälte]],Dropdown!$A$2:$D$4,4,FALSE)</f>
        <v>-</v>
      </c>
      <c r="E25" s="42" t="str">
        <f>VLOOKUP(Tabelle1521[[#This Row],[Kühlung 
(Lebensmittelindustrie)]],Dropdown!$A$2:$D$4,4,FALSE)</f>
        <v>-</v>
      </c>
      <c r="F25" s="42" t="str">
        <f>VLOOKUP(Tabelle1521[[#This Row],[Belüftung]],Dropdown!$A$2:$D$4,4,FALSE)</f>
        <v>X</v>
      </c>
      <c r="G25" s="42" t="str">
        <f>VLOOKUP(Tabelle1521[[#This Row],[Beleuchtung]],Dropdown!$A$2:$D$4,4,FALSE)</f>
        <v>X</v>
      </c>
      <c r="H25" s="42" t="str">
        <f>VLOOKUP(Tabelle1521[[#This Row],[Pumpenanwendungen]],Dropdown!$A$2:$D$4,4,FALSE)</f>
        <v>X</v>
      </c>
      <c r="I25" s="42" t="str">
        <f>VLOOKUP(Tabelle1521[[#This Row],[Elektrodenheizkessel]],Dropdown!$A$2:$D$4,4,FALSE)</f>
        <v>-</v>
      </c>
      <c r="J25" s="42" t="str">
        <f>VLOOKUP(Tabelle1521[[#This Row],[Zerkleinerer]],Dropdown!$A$2:$D$4,4,FALSE)</f>
        <v>X</v>
      </c>
      <c r="K25" s="42" t="str">
        <f>VLOOKUP(Tabelle1521[[#This Row],[Fördertechnik]],Dropdown!$A$2:$D$4,4,FALSE)</f>
        <v>-</v>
      </c>
      <c r="L25" s="42" t="str">
        <f>VLOOKUP(Tabelle1521[[#This Row],[Klimakälte]],Dropdown!$A$2:$D$4,4,FALSE)</f>
        <v>X</v>
      </c>
      <c r="M25" s="42" t="str">
        <f>VLOOKUP(Tabelle1521[[#This Row],[Elektrische 
Wärmeerzeugung]],Dropdown!$A$2:$D$4,4,FALSE)</f>
        <v>X</v>
      </c>
    </row>
    <row r="26" spans="1:13" ht="38.25" x14ac:dyDescent="0.2">
      <c r="A26" s="6" t="s">
        <v>24</v>
      </c>
      <c r="B26" s="42" t="str">
        <f>VLOOKUP(Tabelle1521[[#This Row],[Druckluftanwendungen]],Dropdown!$A$2:$D$4,4,FALSE)</f>
        <v>(X)</v>
      </c>
      <c r="C26" s="42" t="str">
        <f>VLOOKUP(Tabelle1521[[#This Row],[Prozessdampf mittels 
KWK-Eigenerzeugung]],Dropdown!$A$2:$D$4,4,FALSE)</f>
        <v>-</v>
      </c>
      <c r="D26" s="42" t="str">
        <f>VLOOKUP(Tabelle1521[[#This Row],[Prozesskälte]],Dropdown!$A$2:$D$4,4,FALSE)</f>
        <v>-</v>
      </c>
      <c r="E26" s="42" t="str">
        <f>VLOOKUP(Tabelle1521[[#This Row],[Kühlung 
(Lebensmittelindustrie)]],Dropdown!$A$2:$D$4,4,FALSE)</f>
        <v>-</v>
      </c>
      <c r="F26" s="42" t="str">
        <f>VLOOKUP(Tabelle1521[[#This Row],[Belüftung]],Dropdown!$A$2:$D$4,4,FALSE)</f>
        <v>-</v>
      </c>
      <c r="G26" s="42" t="str">
        <f>VLOOKUP(Tabelle1521[[#This Row],[Beleuchtung]],Dropdown!$A$2:$D$4,4,FALSE)</f>
        <v>-</v>
      </c>
      <c r="H26" s="42" t="str">
        <f>VLOOKUP(Tabelle1521[[#This Row],[Pumpenanwendungen]],Dropdown!$A$2:$D$4,4,FALSE)</f>
        <v>-</v>
      </c>
      <c r="I26" s="42" t="str">
        <f>VLOOKUP(Tabelle1521[[#This Row],[Elektrodenheizkessel]],Dropdown!$A$2:$D$4,4,FALSE)</f>
        <v>-</v>
      </c>
      <c r="J26" s="42" t="str">
        <f>VLOOKUP(Tabelle1521[[#This Row],[Zerkleinerer]],Dropdown!$A$2:$D$4,4,FALSE)</f>
        <v>-</v>
      </c>
      <c r="K26" s="42" t="str">
        <f>VLOOKUP(Tabelle1521[[#This Row],[Fördertechnik]],Dropdown!$A$2:$D$4,4,FALSE)</f>
        <v>(X)</v>
      </c>
      <c r="L26" s="42" t="str">
        <f>VLOOKUP(Tabelle1521[[#This Row],[Klimakälte]],Dropdown!$A$2:$D$4,4,FALSE)</f>
        <v>-</v>
      </c>
      <c r="M26" s="42" t="str">
        <f>VLOOKUP(Tabelle1521[[#This Row],[Elektrische 
Wärmeerzeugung]],Dropdown!$A$2:$D$4,4,FALSE)</f>
        <v>-</v>
      </c>
    </row>
    <row r="27" spans="1:13" x14ac:dyDescent="0.2">
      <c r="A27" s="56" t="s">
        <v>854</v>
      </c>
      <c r="B27" s="60">
        <f>Tabelle1521[[#This Row],[Druckluftanwendungen]]</f>
        <v>7.5</v>
      </c>
      <c r="C27" s="60">
        <f>Tabelle1521[[#This Row],[Prozessdampf mittels 
KWK-Eigenerzeugung]]</f>
        <v>2</v>
      </c>
      <c r="D27" s="60">
        <f>Tabelle1521[[#This Row],[Prozesskälte]]</f>
        <v>6</v>
      </c>
      <c r="E27" s="60">
        <f>Tabelle1521[[#This Row],[Kühlung 
(Lebensmittelindustrie)]]</f>
        <v>2</v>
      </c>
      <c r="F27" s="60">
        <f>Tabelle1521[[#This Row],[Belüftung]]</f>
        <v>8</v>
      </c>
      <c r="G27" s="60">
        <f>Tabelle1521[[#This Row],[Beleuchtung]]</f>
        <v>3</v>
      </c>
      <c r="H27" s="60">
        <f>Tabelle1521[[#This Row],[Pumpenanwendungen]]</f>
        <v>4</v>
      </c>
      <c r="I27" s="60">
        <f>Tabelle1521[[#This Row],[Elektrodenheizkessel]]</f>
        <v>1</v>
      </c>
      <c r="J27" s="60">
        <f>Tabelle1521[[#This Row],[Zerkleinerer]]</f>
        <v>2</v>
      </c>
      <c r="K27" s="60">
        <f>Tabelle1521[[#This Row],[Fördertechnik]]</f>
        <v>0.5</v>
      </c>
      <c r="L27" s="60">
        <f>Tabelle1521[[#This Row],[Klimakälte]]</f>
        <v>3.5</v>
      </c>
      <c r="M27" s="60">
        <f>Tabelle1521[[#This Row],[Elektrische 
Wärmeerzeugung]]</f>
        <v>1</v>
      </c>
    </row>
  </sheetData>
  <pageMargins left="0.7" right="0.7" top="0.78740157499999996" bottom="0.78740157499999996" header="0.3" footer="0.3"/>
  <pageSetup paperSize="9" orientation="portrait" r:id="rId1"/>
  <legacyDrawing r:id="rId2"/>
  <tableParts count="1">
    <tablePart r:id="rId3"/>
  </tablePart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C034A-585D-421D-85C9-CD2AA620534A}">
  <sheetPr codeName="Tabelle37">
    <tabColor theme="5" tint="0.79998168889431442"/>
  </sheetPr>
  <dimension ref="A1:M27"/>
  <sheetViews>
    <sheetView workbookViewId="0">
      <selection activeCell="U23" sqref="U23"/>
    </sheetView>
  </sheetViews>
  <sheetFormatPr baseColWidth="10" defaultColWidth="11" defaultRowHeight="12.75" x14ac:dyDescent="0.2"/>
  <cols>
    <col min="1" max="1" width="17.625" style="55" customWidth="1"/>
    <col min="2" max="13" width="5.875" style="57" customWidth="1"/>
    <col min="14" max="16384" width="11" style="55"/>
  </cols>
  <sheetData>
    <row r="1" spans="1:13" ht="165.75" customHeight="1" x14ac:dyDescent="0.2">
      <c r="A1" s="50" t="s">
        <v>1168</v>
      </c>
      <c r="B1" s="53" t="s">
        <v>963</v>
      </c>
      <c r="C1" s="53" t="s">
        <v>1044</v>
      </c>
      <c r="D1" s="53" t="s">
        <v>1033</v>
      </c>
      <c r="E1" s="53" t="s">
        <v>1047</v>
      </c>
      <c r="F1" s="53" t="s">
        <v>1034</v>
      </c>
      <c r="G1" s="53" t="s">
        <v>1025</v>
      </c>
      <c r="H1" s="53" t="s">
        <v>1045</v>
      </c>
      <c r="I1" s="53" t="s">
        <v>389</v>
      </c>
      <c r="J1" s="53" t="s">
        <v>1027</v>
      </c>
      <c r="K1" s="53" t="s">
        <v>931</v>
      </c>
      <c r="L1" s="53" t="s">
        <v>1046</v>
      </c>
      <c r="M1" s="54" t="s">
        <v>1039</v>
      </c>
    </row>
    <row r="2" spans="1:13" x14ac:dyDescent="0.2">
      <c r="A2" s="6">
        <v>1</v>
      </c>
      <c r="B2" s="42" t="str">
        <f>VLOOKUP(Tabelle1521[[#This Row],[Druckluftanwendungen]],Dropdown!$A$2:$D$4,4,FALSE)</f>
        <v>(X)</v>
      </c>
      <c r="C2" s="42" t="str">
        <f>VLOOKUP(Tabelle1521[[#This Row],[Prozessdampf mittels 
KWK-Eigenerzeugung]],Dropdown!$A$2:$D$4,4,FALSE)</f>
        <v>X</v>
      </c>
      <c r="D2" s="42" t="str">
        <f>VLOOKUP(Tabelle1521[[#This Row],[Prozesskälte]],Dropdown!$A$2:$D$4,4,FALSE)</f>
        <v>-</v>
      </c>
      <c r="E2" s="42" t="str">
        <f>VLOOKUP(Tabelle1521[[#This Row],[Kühlung 
(Lebensmittelindustrie)]],Dropdown!$A$2:$D$4,4,FALSE)</f>
        <v>-</v>
      </c>
      <c r="F2" s="42" t="str">
        <f>VLOOKUP(Tabelle1521[[#This Row],[Belüftung]],Dropdown!$A$2:$D$4,4,FALSE)</f>
        <v>-</v>
      </c>
      <c r="G2" s="42" t="str">
        <f>VLOOKUP(Tabelle1521[[#This Row],[Beleuchtung]],Dropdown!$A$2:$D$4,4,FALSE)</f>
        <v>-</v>
      </c>
      <c r="H2" s="42" t="str">
        <f>VLOOKUP(Tabelle1521[[#This Row],[Pumpenanwendungen]],Dropdown!$A$2:$D$4,4,FALSE)</f>
        <v>-</v>
      </c>
      <c r="I2" s="42" t="str">
        <f>VLOOKUP(Tabelle1521[[#This Row],[Elektrodenheizkessel]],Dropdown!$A$2:$D$4,4,FALSE)</f>
        <v>-</v>
      </c>
      <c r="J2" s="42" t="str">
        <f>VLOOKUP(Tabelle1521[[#This Row],[Zerkleinerer]],Dropdown!$A$2:$D$4,4,FALSE)</f>
        <v>-</v>
      </c>
      <c r="K2" s="42" t="str">
        <f>VLOOKUP(Tabelle1521[[#This Row],[Fördertechnik]],Dropdown!$A$2:$D$4,4,FALSE)</f>
        <v>-</v>
      </c>
      <c r="L2" s="42" t="str">
        <f>VLOOKUP(Tabelle1521[[#This Row],[Klimakälte]],Dropdown!$A$2:$D$4,4,FALSE)</f>
        <v>-</v>
      </c>
      <c r="M2" s="42" t="str">
        <f>VLOOKUP(Tabelle1521[[#This Row],[Elektrische 
Wärmeerzeugung]],Dropdown!$A$2:$D$4,4,FALSE)</f>
        <v>-</v>
      </c>
    </row>
    <row r="3" spans="1:13" x14ac:dyDescent="0.2">
      <c r="A3" s="6">
        <v>2</v>
      </c>
      <c r="B3" s="42" t="str">
        <f>VLOOKUP(Tabelle1521[[#This Row],[Druckluftanwendungen]],Dropdown!$A$2:$D$4,4,FALSE)</f>
        <v>-</v>
      </c>
      <c r="C3" s="42" t="str">
        <f>VLOOKUP(Tabelle1521[[#This Row],[Prozessdampf mittels 
KWK-Eigenerzeugung]],Dropdown!$A$2:$D$4,4,FALSE)</f>
        <v>-</v>
      </c>
      <c r="D3" s="42" t="str">
        <f>VLOOKUP(Tabelle1521[[#This Row],[Prozesskälte]],Dropdown!$A$2:$D$4,4,FALSE)</f>
        <v>-</v>
      </c>
      <c r="E3" s="42" t="str">
        <f>VLOOKUP(Tabelle1521[[#This Row],[Kühlung 
(Lebensmittelindustrie)]],Dropdown!$A$2:$D$4,4,FALSE)</f>
        <v>-</v>
      </c>
      <c r="F3" s="42" t="str">
        <f>VLOOKUP(Tabelle1521[[#This Row],[Belüftung]],Dropdown!$A$2:$D$4,4,FALSE)</f>
        <v>-</v>
      </c>
      <c r="G3" s="42" t="str">
        <f>VLOOKUP(Tabelle1521[[#This Row],[Beleuchtung]],Dropdown!$A$2:$D$4,4,FALSE)</f>
        <v>-</v>
      </c>
      <c r="H3" s="42" t="str">
        <f>VLOOKUP(Tabelle1521[[#This Row],[Pumpenanwendungen]],Dropdown!$A$2:$D$4,4,FALSE)</f>
        <v>-</v>
      </c>
      <c r="I3" s="42" t="str">
        <f>VLOOKUP(Tabelle1521[[#This Row],[Elektrodenheizkessel]],Dropdown!$A$2:$D$4,4,FALSE)</f>
        <v>-</v>
      </c>
      <c r="J3" s="42" t="str">
        <f>VLOOKUP(Tabelle1521[[#This Row],[Zerkleinerer]],Dropdown!$A$2:$D$4,4,FALSE)</f>
        <v>-</v>
      </c>
      <c r="K3" s="42" t="str">
        <f>VLOOKUP(Tabelle1521[[#This Row],[Fördertechnik]],Dropdown!$A$2:$D$4,4,FALSE)</f>
        <v>-</v>
      </c>
      <c r="L3" s="42" t="str">
        <f>VLOOKUP(Tabelle1521[[#This Row],[Klimakälte]],Dropdown!$A$2:$D$4,4,FALSE)</f>
        <v>-</v>
      </c>
      <c r="M3" s="42" t="str">
        <f>VLOOKUP(Tabelle1521[[#This Row],[Elektrische 
Wärmeerzeugung]],Dropdown!$A$2:$D$4,4,FALSE)</f>
        <v>-</v>
      </c>
    </row>
    <row r="4" spans="1:13" x14ac:dyDescent="0.2">
      <c r="A4" s="6">
        <v>3</v>
      </c>
      <c r="B4" s="42" t="str">
        <f>VLOOKUP(Tabelle1521[[#This Row],[Druckluftanwendungen]],Dropdown!$A$2:$D$4,4,FALSE)</f>
        <v>-</v>
      </c>
      <c r="C4" s="42" t="str">
        <f>VLOOKUP(Tabelle1521[[#This Row],[Prozessdampf mittels 
KWK-Eigenerzeugung]],Dropdown!$A$2:$D$4,4,FALSE)</f>
        <v>-</v>
      </c>
      <c r="D4" s="42" t="str">
        <f>VLOOKUP(Tabelle1521[[#This Row],[Prozesskälte]],Dropdown!$A$2:$D$4,4,FALSE)</f>
        <v>-</v>
      </c>
      <c r="E4" s="42" t="str">
        <f>VLOOKUP(Tabelle1521[[#This Row],[Kühlung 
(Lebensmittelindustrie)]],Dropdown!$A$2:$D$4,4,FALSE)</f>
        <v>-</v>
      </c>
      <c r="F4" s="42" t="str">
        <f>VLOOKUP(Tabelle1521[[#This Row],[Belüftung]],Dropdown!$A$2:$D$4,4,FALSE)</f>
        <v>-</v>
      </c>
      <c r="G4" s="42" t="str">
        <f>VLOOKUP(Tabelle1521[[#This Row],[Beleuchtung]],Dropdown!$A$2:$D$4,4,FALSE)</f>
        <v>-</v>
      </c>
      <c r="H4" s="42" t="str">
        <f>VLOOKUP(Tabelle1521[[#This Row],[Pumpenanwendungen]],Dropdown!$A$2:$D$4,4,FALSE)</f>
        <v>-</v>
      </c>
      <c r="I4" s="42" t="str">
        <f>VLOOKUP(Tabelle1521[[#This Row],[Elektrodenheizkessel]],Dropdown!$A$2:$D$4,4,FALSE)</f>
        <v>-</v>
      </c>
      <c r="J4" s="42" t="str">
        <f>VLOOKUP(Tabelle1521[[#This Row],[Zerkleinerer]],Dropdown!$A$2:$D$4,4,FALSE)</f>
        <v>-</v>
      </c>
      <c r="K4" s="42" t="str">
        <f>VLOOKUP(Tabelle1521[[#This Row],[Fördertechnik]],Dropdown!$A$2:$D$4,4,FALSE)</f>
        <v>-</v>
      </c>
      <c r="L4" s="42" t="str">
        <f>VLOOKUP(Tabelle1521[[#This Row],[Klimakälte]],Dropdown!$A$2:$D$4,4,FALSE)</f>
        <v>-</v>
      </c>
      <c r="M4" s="42" t="str">
        <f>VLOOKUP(Tabelle1521[[#This Row],[Elektrische 
Wärmeerzeugung]],Dropdown!$A$2:$D$4,4,FALSE)</f>
        <v>-</v>
      </c>
    </row>
    <row r="5" spans="1:13" x14ac:dyDescent="0.2">
      <c r="A5" s="6">
        <v>4</v>
      </c>
      <c r="B5" s="42" t="str">
        <f>VLOOKUP(Tabelle1521[[#This Row],[Druckluftanwendungen]],Dropdown!$A$2:$D$4,4,FALSE)</f>
        <v>-</v>
      </c>
      <c r="C5" s="42" t="str">
        <f>VLOOKUP(Tabelle1521[[#This Row],[Prozessdampf mittels 
KWK-Eigenerzeugung]],Dropdown!$A$2:$D$4,4,FALSE)</f>
        <v>-</v>
      </c>
      <c r="D5" s="42" t="str">
        <f>VLOOKUP(Tabelle1521[[#This Row],[Prozesskälte]],Dropdown!$A$2:$D$4,4,FALSE)</f>
        <v>-</v>
      </c>
      <c r="E5" s="42" t="str">
        <f>VLOOKUP(Tabelle1521[[#This Row],[Kühlung 
(Lebensmittelindustrie)]],Dropdown!$A$2:$D$4,4,FALSE)</f>
        <v>-</v>
      </c>
      <c r="F5" s="42" t="str">
        <f>VLOOKUP(Tabelle1521[[#This Row],[Belüftung]],Dropdown!$A$2:$D$4,4,FALSE)</f>
        <v>-</v>
      </c>
      <c r="G5" s="42" t="str">
        <f>VLOOKUP(Tabelle1521[[#This Row],[Beleuchtung]],Dropdown!$A$2:$D$4,4,FALSE)</f>
        <v>-</v>
      </c>
      <c r="H5" s="42" t="str">
        <f>VLOOKUP(Tabelle1521[[#This Row],[Pumpenanwendungen]],Dropdown!$A$2:$D$4,4,FALSE)</f>
        <v>-</v>
      </c>
      <c r="I5" s="42" t="str">
        <f>VLOOKUP(Tabelle1521[[#This Row],[Elektrodenheizkessel]],Dropdown!$A$2:$D$4,4,FALSE)</f>
        <v>-</v>
      </c>
      <c r="J5" s="42" t="str">
        <f>VLOOKUP(Tabelle1521[[#This Row],[Zerkleinerer]],Dropdown!$A$2:$D$4,4,FALSE)</f>
        <v>X</v>
      </c>
      <c r="K5" s="42" t="str">
        <f>VLOOKUP(Tabelle1521[[#This Row],[Fördertechnik]],Dropdown!$A$2:$D$4,4,FALSE)</f>
        <v>-</v>
      </c>
      <c r="L5" s="42" t="str">
        <f>VLOOKUP(Tabelle1521[[#This Row],[Klimakälte]],Dropdown!$A$2:$D$4,4,FALSE)</f>
        <v>-</v>
      </c>
      <c r="M5" s="42" t="str">
        <f>VLOOKUP(Tabelle1521[[#This Row],[Elektrische 
Wärmeerzeugung]],Dropdown!$A$2:$D$4,4,FALSE)</f>
        <v>-</v>
      </c>
    </row>
    <row r="6" spans="1:13" x14ac:dyDescent="0.2">
      <c r="A6" s="6">
        <v>5</v>
      </c>
      <c r="B6" s="42" t="str">
        <f>VLOOKUP(Tabelle1521[[#This Row],[Druckluftanwendungen]],Dropdown!$A$2:$D$4,4,FALSE)</f>
        <v>-</v>
      </c>
      <c r="C6" s="42" t="str">
        <f>VLOOKUP(Tabelle1521[[#This Row],[Prozessdampf mittels 
KWK-Eigenerzeugung]],Dropdown!$A$2:$D$4,4,FALSE)</f>
        <v>-</v>
      </c>
      <c r="D6" s="42" t="str">
        <f>VLOOKUP(Tabelle1521[[#This Row],[Prozesskälte]],Dropdown!$A$2:$D$4,4,FALSE)</f>
        <v>-</v>
      </c>
      <c r="E6" s="42" t="str">
        <f>VLOOKUP(Tabelle1521[[#This Row],[Kühlung 
(Lebensmittelindustrie)]],Dropdown!$A$2:$D$4,4,FALSE)</f>
        <v>X</v>
      </c>
      <c r="F6" s="42" t="str">
        <f>VLOOKUP(Tabelle1521[[#This Row],[Belüftung]],Dropdown!$A$2:$D$4,4,FALSE)</f>
        <v>X</v>
      </c>
      <c r="G6" s="42" t="str">
        <f>VLOOKUP(Tabelle1521[[#This Row],[Beleuchtung]],Dropdown!$A$2:$D$4,4,FALSE)</f>
        <v>-</v>
      </c>
      <c r="H6" s="42" t="str">
        <f>VLOOKUP(Tabelle1521[[#This Row],[Pumpenanwendungen]],Dropdown!$A$2:$D$4,4,FALSE)</f>
        <v>-</v>
      </c>
      <c r="I6" s="42" t="str">
        <f>VLOOKUP(Tabelle1521[[#This Row],[Elektrodenheizkessel]],Dropdown!$A$2:$D$4,4,FALSE)</f>
        <v>-</v>
      </c>
      <c r="J6" s="42" t="str">
        <f>VLOOKUP(Tabelle1521[[#This Row],[Zerkleinerer]],Dropdown!$A$2:$D$4,4,FALSE)</f>
        <v>-</v>
      </c>
      <c r="K6" s="42" t="str">
        <f>VLOOKUP(Tabelle1521[[#This Row],[Fördertechnik]],Dropdown!$A$2:$D$4,4,FALSE)</f>
        <v>-</v>
      </c>
      <c r="L6" s="42" t="str">
        <f>VLOOKUP(Tabelle1521[[#This Row],[Klimakälte]],Dropdown!$A$2:$D$4,4,FALSE)</f>
        <v>-</v>
      </c>
      <c r="M6" s="42" t="str">
        <f>VLOOKUP(Tabelle1521[[#This Row],[Elektrische 
Wärmeerzeugung]],Dropdown!$A$2:$D$4,4,FALSE)</f>
        <v>-</v>
      </c>
    </row>
    <row r="7" spans="1:13" x14ac:dyDescent="0.2">
      <c r="A7" s="6">
        <v>6</v>
      </c>
      <c r="B7" s="42" t="str">
        <f>VLOOKUP(Tabelle1521[[#This Row],[Druckluftanwendungen]],Dropdown!$A$2:$D$4,4,FALSE)</f>
        <v>-</v>
      </c>
      <c r="C7" s="42" t="str">
        <f>VLOOKUP(Tabelle1521[[#This Row],[Prozessdampf mittels 
KWK-Eigenerzeugung]],Dropdown!$A$2:$D$4,4,FALSE)</f>
        <v>-</v>
      </c>
      <c r="D7" s="42" t="str">
        <f>VLOOKUP(Tabelle1521[[#This Row],[Prozesskälte]],Dropdown!$A$2:$D$4,4,FALSE)</f>
        <v>-</v>
      </c>
      <c r="E7" s="42" t="str">
        <f>VLOOKUP(Tabelle1521[[#This Row],[Kühlung 
(Lebensmittelindustrie)]],Dropdown!$A$2:$D$4,4,FALSE)</f>
        <v>-</v>
      </c>
      <c r="F7" s="42" t="str">
        <f>VLOOKUP(Tabelle1521[[#This Row],[Belüftung]],Dropdown!$A$2:$D$4,4,FALSE)</f>
        <v>-</v>
      </c>
      <c r="G7" s="42" t="str">
        <f>VLOOKUP(Tabelle1521[[#This Row],[Beleuchtung]],Dropdown!$A$2:$D$4,4,FALSE)</f>
        <v>-</v>
      </c>
      <c r="H7" s="42" t="str">
        <f>VLOOKUP(Tabelle1521[[#This Row],[Pumpenanwendungen]],Dropdown!$A$2:$D$4,4,FALSE)</f>
        <v>-</v>
      </c>
      <c r="I7" s="42" t="str">
        <f>VLOOKUP(Tabelle1521[[#This Row],[Elektrodenheizkessel]],Dropdown!$A$2:$D$4,4,FALSE)</f>
        <v>-</v>
      </c>
      <c r="J7" s="42" t="str">
        <f>VLOOKUP(Tabelle1521[[#This Row],[Zerkleinerer]],Dropdown!$A$2:$D$4,4,FALSE)</f>
        <v>-</v>
      </c>
      <c r="K7" s="42" t="str">
        <f>VLOOKUP(Tabelle1521[[#This Row],[Fördertechnik]],Dropdown!$A$2:$D$4,4,FALSE)</f>
        <v>-</v>
      </c>
      <c r="L7" s="42" t="str">
        <f>VLOOKUP(Tabelle1521[[#This Row],[Klimakälte]],Dropdown!$A$2:$D$4,4,FALSE)</f>
        <v>-</v>
      </c>
      <c r="M7" s="42" t="str">
        <f>VLOOKUP(Tabelle1521[[#This Row],[Elektrische 
Wärmeerzeugung]],Dropdown!$A$2:$D$4,4,FALSE)</f>
        <v>-</v>
      </c>
    </row>
    <row r="8" spans="1:13" x14ac:dyDescent="0.2">
      <c r="A8" s="6">
        <v>7</v>
      </c>
      <c r="B8" s="42" t="str">
        <f>VLOOKUP(Tabelle1521[[#This Row],[Druckluftanwendungen]],Dropdown!$A$2:$D$4,4,FALSE)</f>
        <v>-</v>
      </c>
      <c r="C8" s="42" t="str">
        <f>VLOOKUP(Tabelle1521[[#This Row],[Prozessdampf mittels 
KWK-Eigenerzeugung]],Dropdown!$A$2:$D$4,4,FALSE)</f>
        <v>-</v>
      </c>
      <c r="D8" s="42" t="str">
        <f>VLOOKUP(Tabelle1521[[#This Row],[Prozesskälte]],Dropdown!$A$2:$D$4,4,FALSE)</f>
        <v>X</v>
      </c>
      <c r="E8" s="42" t="str">
        <f>VLOOKUP(Tabelle1521[[#This Row],[Kühlung 
(Lebensmittelindustrie)]],Dropdown!$A$2:$D$4,4,FALSE)</f>
        <v>-</v>
      </c>
      <c r="F8" s="42" t="str">
        <f>VLOOKUP(Tabelle1521[[#This Row],[Belüftung]],Dropdown!$A$2:$D$4,4,FALSE)</f>
        <v>-</v>
      </c>
      <c r="G8" s="42" t="str">
        <f>VLOOKUP(Tabelle1521[[#This Row],[Beleuchtung]],Dropdown!$A$2:$D$4,4,FALSE)</f>
        <v>-</v>
      </c>
      <c r="H8" s="42" t="str">
        <f>VLOOKUP(Tabelle1521[[#This Row],[Pumpenanwendungen]],Dropdown!$A$2:$D$4,4,FALSE)</f>
        <v>-</v>
      </c>
      <c r="I8" s="42" t="str">
        <f>VLOOKUP(Tabelle1521[[#This Row],[Elektrodenheizkessel]],Dropdown!$A$2:$D$4,4,FALSE)</f>
        <v>-</v>
      </c>
      <c r="J8" s="42" t="str">
        <f>VLOOKUP(Tabelle1521[[#This Row],[Zerkleinerer]],Dropdown!$A$2:$D$4,4,FALSE)</f>
        <v>-</v>
      </c>
      <c r="K8" s="42" t="str">
        <f>VLOOKUP(Tabelle1521[[#This Row],[Fördertechnik]],Dropdown!$A$2:$D$4,4,FALSE)</f>
        <v>-</v>
      </c>
      <c r="L8" s="42" t="str">
        <f>VLOOKUP(Tabelle1521[[#This Row],[Klimakälte]],Dropdown!$A$2:$D$4,4,FALSE)</f>
        <v>X</v>
      </c>
      <c r="M8" s="42" t="str">
        <f>VLOOKUP(Tabelle1521[[#This Row],[Elektrische 
Wärmeerzeugung]],Dropdown!$A$2:$D$4,4,FALSE)</f>
        <v>-</v>
      </c>
    </row>
    <row r="9" spans="1:13" x14ac:dyDescent="0.2">
      <c r="A9" s="6">
        <v>8</v>
      </c>
      <c r="B9" s="42" t="str">
        <f>VLOOKUP(Tabelle1521[[#This Row],[Druckluftanwendungen]],Dropdown!$A$2:$D$4,4,FALSE)</f>
        <v>X</v>
      </c>
      <c r="C9" s="42" t="str">
        <f>VLOOKUP(Tabelle1521[[#This Row],[Prozessdampf mittels 
KWK-Eigenerzeugung]],Dropdown!$A$2:$D$4,4,FALSE)</f>
        <v>-</v>
      </c>
      <c r="D9" s="42" t="str">
        <f>VLOOKUP(Tabelle1521[[#This Row],[Prozesskälte]],Dropdown!$A$2:$D$4,4,FALSE)</f>
        <v>X</v>
      </c>
      <c r="E9" s="42" t="str">
        <f>VLOOKUP(Tabelle1521[[#This Row],[Kühlung 
(Lebensmittelindustrie)]],Dropdown!$A$2:$D$4,4,FALSE)</f>
        <v>-</v>
      </c>
      <c r="F9" s="42" t="str">
        <f>VLOOKUP(Tabelle1521[[#This Row],[Belüftung]],Dropdown!$A$2:$D$4,4,FALSE)</f>
        <v>X</v>
      </c>
      <c r="G9" s="42" t="str">
        <f>VLOOKUP(Tabelle1521[[#This Row],[Beleuchtung]],Dropdown!$A$2:$D$4,4,FALSE)</f>
        <v>X</v>
      </c>
      <c r="H9" s="42" t="str">
        <f>VLOOKUP(Tabelle1521[[#This Row],[Pumpenanwendungen]],Dropdown!$A$2:$D$4,4,FALSE)</f>
        <v>X</v>
      </c>
      <c r="I9" s="42" t="str">
        <f>VLOOKUP(Tabelle1521[[#This Row],[Elektrodenheizkessel]],Dropdown!$A$2:$D$4,4,FALSE)</f>
        <v>-</v>
      </c>
      <c r="J9" s="42" t="str">
        <f>VLOOKUP(Tabelle1521[[#This Row],[Zerkleinerer]],Dropdown!$A$2:$D$4,4,FALSE)</f>
        <v>-</v>
      </c>
      <c r="K9" s="42" t="str">
        <f>VLOOKUP(Tabelle1521[[#This Row],[Fördertechnik]],Dropdown!$A$2:$D$4,4,FALSE)</f>
        <v>-</v>
      </c>
      <c r="L9" s="42" t="str">
        <f>VLOOKUP(Tabelle1521[[#This Row],[Klimakälte]],Dropdown!$A$2:$D$4,4,FALSE)</f>
        <v>-</v>
      </c>
      <c r="M9" s="42" t="str">
        <f>VLOOKUP(Tabelle1521[[#This Row],[Elektrische 
Wärmeerzeugung]],Dropdown!$A$2:$D$4,4,FALSE)</f>
        <v>-</v>
      </c>
    </row>
    <row r="10" spans="1:13" x14ac:dyDescent="0.2">
      <c r="A10" s="6">
        <v>9</v>
      </c>
      <c r="B10" s="42" t="str">
        <f>VLOOKUP(Tabelle1521[[#This Row],[Druckluftanwendungen]],Dropdown!$A$2:$D$4,4,FALSE)</f>
        <v>-</v>
      </c>
      <c r="C10" s="42" t="str">
        <f>VLOOKUP(Tabelle1521[[#This Row],[Prozessdampf mittels 
KWK-Eigenerzeugung]],Dropdown!$A$2:$D$4,4,FALSE)</f>
        <v>-</v>
      </c>
      <c r="D10" s="42" t="str">
        <f>VLOOKUP(Tabelle1521[[#This Row],[Prozesskälte]],Dropdown!$A$2:$D$4,4,FALSE)</f>
        <v>-</v>
      </c>
      <c r="E10" s="42" t="str">
        <f>VLOOKUP(Tabelle1521[[#This Row],[Kühlung 
(Lebensmittelindustrie)]],Dropdown!$A$2:$D$4,4,FALSE)</f>
        <v>-</v>
      </c>
      <c r="F10" s="42" t="str">
        <f>VLOOKUP(Tabelle1521[[#This Row],[Belüftung]],Dropdown!$A$2:$D$4,4,FALSE)</f>
        <v>-</v>
      </c>
      <c r="G10" s="42" t="str">
        <f>VLOOKUP(Tabelle1521[[#This Row],[Beleuchtung]],Dropdown!$A$2:$D$4,4,FALSE)</f>
        <v>-</v>
      </c>
      <c r="H10" s="42" t="str">
        <f>VLOOKUP(Tabelle1521[[#This Row],[Pumpenanwendungen]],Dropdown!$A$2:$D$4,4,FALSE)</f>
        <v>-</v>
      </c>
      <c r="I10" s="42" t="str">
        <f>VLOOKUP(Tabelle1521[[#This Row],[Elektrodenheizkessel]],Dropdown!$A$2:$D$4,4,FALSE)</f>
        <v>-</v>
      </c>
      <c r="J10" s="42" t="str">
        <f>VLOOKUP(Tabelle1521[[#This Row],[Zerkleinerer]],Dropdown!$A$2:$D$4,4,FALSE)</f>
        <v>-</v>
      </c>
      <c r="K10" s="42" t="str">
        <f>VLOOKUP(Tabelle1521[[#This Row],[Fördertechnik]],Dropdown!$A$2:$D$4,4,FALSE)</f>
        <v>-</v>
      </c>
      <c r="L10" s="42" t="str">
        <f>VLOOKUP(Tabelle1521[[#This Row],[Klimakälte]],Dropdown!$A$2:$D$4,4,FALSE)</f>
        <v>-</v>
      </c>
      <c r="M10" s="42" t="str">
        <f>VLOOKUP(Tabelle1521[[#This Row],[Elektrische 
Wärmeerzeugung]],Dropdown!$A$2:$D$4,4,FALSE)</f>
        <v>-</v>
      </c>
    </row>
    <row r="11" spans="1:13" x14ac:dyDescent="0.2">
      <c r="A11" s="6">
        <v>10</v>
      </c>
      <c r="B11" s="42" t="str">
        <f>VLOOKUP(Tabelle1521[[#This Row],[Druckluftanwendungen]],Dropdown!$A$2:$D$4,4,FALSE)</f>
        <v>-</v>
      </c>
      <c r="C11" s="42" t="str">
        <f>VLOOKUP(Tabelle1521[[#This Row],[Prozessdampf mittels 
KWK-Eigenerzeugung]],Dropdown!$A$2:$D$4,4,FALSE)</f>
        <v>-</v>
      </c>
      <c r="D11" s="42" t="str">
        <f>VLOOKUP(Tabelle1521[[#This Row],[Prozesskälte]],Dropdown!$A$2:$D$4,4,FALSE)</f>
        <v>-</v>
      </c>
      <c r="E11" s="42" t="str">
        <f>VLOOKUP(Tabelle1521[[#This Row],[Kühlung 
(Lebensmittelindustrie)]],Dropdown!$A$2:$D$4,4,FALSE)</f>
        <v>-</v>
      </c>
      <c r="F11" s="42" t="str">
        <f>VLOOKUP(Tabelle1521[[#This Row],[Belüftung]],Dropdown!$A$2:$D$4,4,FALSE)</f>
        <v>-</v>
      </c>
      <c r="G11" s="42" t="str">
        <f>VLOOKUP(Tabelle1521[[#This Row],[Beleuchtung]],Dropdown!$A$2:$D$4,4,FALSE)</f>
        <v>-</v>
      </c>
      <c r="H11" s="42" t="str">
        <f>VLOOKUP(Tabelle1521[[#This Row],[Pumpenanwendungen]],Dropdown!$A$2:$D$4,4,FALSE)</f>
        <v>-</v>
      </c>
      <c r="I11" s="42" t="str">
        <f>VLOOKUP(Tabelle1521[[#This Row],[Elektrodenheizkessel]],Dropdown!$A$2:$D$4,4,FALSE)</f>
        <v>X</v>
      </c>
      <c r="J11" s="42" t="str">
        <f>VLOOKUP(Tabelle1521[[#This Row],[Zerkleinerer]],Dropdown!$A$2:$D$4,4,FALSE)</f>
        <v>-</v>
      </c>
      <c r="K11" s="42" t="str">
        <f>VLOOKUP(Tabelle1521[[#This Row],[Fördertechnik]],Dropdown!$A$2:$D$4,4,FALSE)</f>
        <v>-</v>
      </c>
      <c r="L11" s="42" t="str">
        <f>VLOOKUP(Tabelle1521[[#This Row],[Klimakälte]],Dropdown!$A$2:$D$4,4,FALSE)</f>
        <v>-</v>
      </c>
      <c r="M11" s="42" t="str">
        <f>VLOOKUP(Tabelle1521[[#This Row],[Elektrische 
Wärmeerzeugung]],Dropdown!$A$2:$D$4,4,FALSE)</f>
        <v>-</v>
      </c>
    </row>
    <row r="12" spans="1:13" x14ac:dyDescent="0.2">
      <c r="A12" s="6">
        <v>11</v>
      </c>
      <c r="B12" s="42" t="str">
        <f>VLOOKUP(Tabelle1521[[#This Row],[Druckluftanwendungen]],Dropdown!$A$2:$D$4,4,FALSE)</f>
        <v>(X)</v>
      </c>
      <c r="C12" s="42" t="str">
        <f>VLOOKUP(Tabelle1521[[#This Row],[Prozessdampf mittels 
KWK-Eigenerzeugung]],Dropdown!$A$2:$D$4,4,FALSE)</f>
        <v>-</v>
      </c>
      <c r="D12" s="42" t="str">
        <f>VLOOKUP(Tabelle1521[[#This Row],[Prozesskälte]],Dropdown!$A$2:$D$4,4,FALSE)</f>
        <v>-</v>
      </c>
      <c r="E12" s="42" t="str">
        <f>VLOOKUP(Tabelle1521[[#This Row],[Kühlung 
(Lebensmittelindustrie)]],Dropdown!$A$2:$D$4,4,FALSE)</f>
        <v>X</v>
      </c>
      <c r="F12" s="42" t="str">
        <f>VLOOKUP(Tabelle1521[[#This Row],[Belüftung]],Dropdown!$A$2:$D$4,4,FALSE)</f>
        <v>X</v>
      </c>
      <c r="G12" s="42" t="str">
        <f>VLOOKUP(Tabelle1521[[#This Row],[Beleuchtung]],Dropdown!$A$2:$D$4,4,FALSE)</f>
        <v>-</v>
      </c>
      <c r="H12" s="42" t="str">
        <f>VLOOKUP(Tabelle1521[[#This Row],[Pumpenanwendungen]],Dropdown!$A$2:$D$4,4,FALSE)</f>
        <v>-</v>
      </c>
      <c r="I12" s="42" t="str">
        <f>VLOOKUP(Tabelle1521[[#This Row],[Elektrodenheizkessel]],Dropdown!$A$2:$D$4,4,FALSE)</f>
        <v>-</v>
      </c>
      <c r="J12" s="42" t="str">
        <f>VLOOKUP(Tabelle1521[[#This Row],[Zerkleinerer]],Dropdown!$A$2:$D$4,4,FALSE)</f>
        <v>-</v>
      </c>
      <c r="K12" s="42" t="str">
        <f>VLOOKUP(Tabelle1521[[#This Row],[Fördertechnik]],Dropdown!$A$2:$D$4,4,FALSE)</f>
        <v>-</v>
      </c>
      <c r="L12" s="42" t="str">
        <f>VLOOKUP(Tabelle1521[[#This Row],[Klimakälte]],Dropdown!$A$2:$D$4,4,FALSE)</f>
        <v>(X)</v>
      </c>
      <c r="M12" s="42" t="str">
        <f>VLOOKUP(Tabelle1521[[#This Row],[Elektrische 
Wärmeerzeugung]],Dropdown!$A$2:$D$4,4,FALSE)</f>
        <v>-</v>
      </c>
    </row>
    <row r="13" spans="1:13" x14ac:dyDescent="0.2">
      <c r="A13" s="6">
        <v>12</v>
      </c>
      <c r="B13" s="42" t="str">
        <f>VLOOKUP(Tabelle1521[[#This Row],[Druckluftanwendungen]],Dropdown!$A$2:$D$4,4,FALSE)</f>
        <v>X</v>
      </c>
      <c r="C13" s="42" t="str">
        <f>VLOOKUP(Tabelle1521[[#This Row],[Prozessdampf mittels 
KWK-Eigenerzeugung]],Dropdown!$A$2:$D$4,4,FALSE)</f>
        <v>-</v>
      </c>
      <c r="D13" s="42" t="str">
        <f>VLOOKUP(Tabelle1521[[#This Row],[Prozesskälte]],Dropdown!$A$2:$D$4,4,FALSE)</f>
        <v>X</v>
      </c>
      <c r="E13" s="42" t="str">
        <f>VLOOKUP(Tabelle1521[[#This Row],[Kühlung 
(Lebensmittelindustrie)]],Dropdown!$A$2:$D$4,4,FALSE)</f>
        <v>-</v>
      </c>
      <c r="F13" s="42" t="str">
        <f>VLOOKUP(Tabelle1521[[#This Row],[Belüftung]],Dropdown!$A$2:$D$4,4,FALSE)</f>
        <v>X</v>
      </c>
      <c r="G13" s="42" t="str">
        <f>VLOOKUP(Tabelle1521[[#This Row],[Beleuchtung]],Dropdown!$A$2:$D$4,4,FALSE)</f>
        <v>-</v>
      </c>
      <c r="H13" s="42" t="str">
        <f>VLOOKUP(Tabelle1521[[#This Row],[Pumpenanwendungen]],Dropdown!$A$2:$D$4,4,FALSE)</f>
        <v>X</v>
      </c>
      <c r="I13" s="42" t="str">
        <f>VLOOKUP(Tabelle1521[[#This Row],[Elektrodenheizkessel]],Dropdown!$A$2:$D$4,4,FALSE)</f>
        <v>-</v>
      </c>
      <c r="J13" s="42" t="str">
        <f>VLOOKUP(Tabelle1521[[#This Row],[Zerkleinerer]],Dropdown!$A$2:$D$4,4,FALSE)</f>
        <v>-</v>
      </c>
      <c r="K13" s="42" t="str">
        <f>VLOOKUP(Tabelle1521[[#This Row],[Fördertechnik]],Dropdown!$A$2:$D$4,4,FALSE)</f>
        <v>-</v>
      </c>
      <c r="L13" s="42" t="str">
        <f>VLOOKUP(Tabelle1521[[#This Row],[Klimakälte]],Dropdown!$A$2:$D$4,4,FALSE)</f>
        <v>X</v>
      </c>
      <c r="M13" s="42" t="str">
        <f>VLOOKUP(Tabelle1521[[#This Row],[Elektrische 
Wärmeerzeugung]],Dropdown!$A$2:$D$4,4,FALSE)</f>
        <v>-</v>
      </c>
    </row>
    <row r="14" spans="1:13" x14ac:dyDescent="0.2">
      <c r="A14" s="6">
        <v>13</v>
      </c>
      <c r="B14" s="42" t="str">
        <f>VLOOKUP(Tabelle1521[[#This Row],[Druckluftanwendungen]],Dropdown!$A$2:$D$4,4,FALSE)</f>
        <v>-</v>
      </c>
      <c r="C14" s="42" t="str">
        <f>VLOOKUP(Tabelle1521[[#This Row],[Prozessdampf mittels 
KWK-Eigenerzeugung]],Dropdown!$A$2:$D$4,4,FALSE)</f>
        <v>-</v>
      </c>
      <c r="D14" s="42" t="str">
        <f>VLOOKUP(Tabelle1521[[#This Row],[Prozesskälte]],Dropdown!$A$2:$D$4,4,FALSE)</f>
        <v>-</v>
      </c>
      <c r="E14" s="42" t="str">
        <f>VLOOKUP(Tabelle1521[[#This Row],[Kühlung 
(Lebensmittelindustrie)]],Dropdown!$A$2:$D$4,4,FALSE)</f>
        <v>-</v>
      </c>
      <c r="F14" s="42" t="str">
        <f>VLOOKUP(Tabelle1521[[#This Row],[Belüftung]],Dropdown!$A$2:$D$4,4,FALSE)</f>
        <v>-</v>
      </c>
      <c r="G14" s="42" t="str">
        <f>VLOOKUP(Tabelle1521[[#This Row],[Beleuchtung]],Dropdown!$A$2:$D$4,4,FALSE)</f>
        <v>-</v>
      </c>
      <c r="H14" s="42" t="str">
        <f>VLOOKUP(Tabelle1521[[#This Row],[Pumpenanwendungen]],Dropdown!$A$2:$D$4,4,FALSE)</f>
        <v>-</v>
      </c>
      <c r="I14" s="42" t="str">
        <f>VLOOKUP(Tabelle1521[[#This Row],[Elektrodenheizkessel]],Dropdown!$A$2:$D$4,4,FALSE)</f>
        <v>-</v>
      </c>
      <c r="J14" s="42" t="str">
        <f>VLOOKUP(Tabelle1521[[#This Row],[Zerkleinerer]],Dropdown!$A$2:$D$4,4,FALSE)</f>
        <v>-</v>
      </c>
      <c r="K14" s="42" t="str">
        <f>VLOOKUP(Tabelle1521[[#This Row],[Fördertechnik]],Dropdown!$A$2:$D$4,4,FALSE)</f>
        <v>-</v>
      </c>
      <c r="L14" s="42" t="str">
        <f>VLOOKUP(Tabelle1521[[#This Row],[Klimakälte]],Dropdown!$A$2:$D$4,4,FALSE)</f>
        <v>-</v>
      </c>
      <c r="M14" s="42" t="str">
        <f>VLOOKUP(Tabelle1521[[#This Row],[Elektrische 
Wärmeerzeugung]],Dropdown!$A$2:$D$4,4,FALSE)</f>
        <v>-</v>
      </c>
    </row>
    <row r="15" spans="1:13" x14ac:dyDescent="0.2">
      <c r="A15" s="6">
        <v>14</v>
      </c>
      <c r="B15" s="42" t="str">
        <f>VLOOKUP(Tabelle1521[[#This Row],[Druckluftanwendungen]],Dropdown!$A$2:$D$4,4,FALSE)</f>
        <v>-</v>
      </c>
      <c r="C15" s="42" t="str">
        <f>VLOOKUP(Tabelle1521[[#This Row],[Prozessdampf mittels 
KWK-Eigenerzeugung]],Dropdown!$A$2:$D$4,4,FALSE)</f>
        <v>-</v>
      </c>
      <c r="D15" s="42" t="str">
        <f>VLOOKUP(Tabelle1521[[#This Row],[Prozesskälte]],Dropdown!$A$2:$D$4,4,FALSE)</f>
        <v>-</v>
      </c>
      <c r="E15" s="42" t="str">
        <f>VLOOKUP(Tabelle1521[[#This Row],[Kühlung 
(Lebensmittelindustrie)]],Dropdown!$A$2:$D$4,4,FALSE)</f>
        <v>-</v>
      </c>
      <c r="F15" s="42" t="str">
        <f>VLOOKUP(Tabelle1521[[#This Row],[Belüftung]],Dropdown!$A$2:$D$4,4,FALSE)</f>
        <v>-</v>
      </c>
      <c r="G15" s="42" t="str">
        <f>VLOOKUP(Tabelle1521[[#This Row],[Beleuchtung]],Dropdown!$A$2:$D$4,4,FALSE)</f>
        <v>-</v>
      </c>
      <c r="H15" s="42" t="str">
        <f>VLOOKUP(Tabelle1521[[#This Row],[Pumpenanwendungen]],Dropdown!$A$2:$D$4,4,FALSE)</f>
        <v>-</v>
      </c>
      <c r="I15" s="42" t="str">
        <f>VLOOKUP(Tabelle1521[[#This Row],[Elektrodenheizkessel]],Dropdown!$A$2:$D$4,4,FALSE)</f>
        <v>-</v>
      </c>
      <c r="J15" s="42" t="str">
        <f>VLOOKUP(Tabelle1521[[#This Row],[Zerkleinerer]],Dropdown!$A$2:$D$4,4,FALSE)</f>
        <v>-</v>
      </c>
      <c r="K15" s="42" t="str">
        <f>VLOOKUP(Tabelle1521[[#This Row],[Fördertechnik]],Dropdown!$A$2:$D$4,4,FALSE)</f>
        <v>-</v>
      </c>
      <c r="L15" s="42" t="str">
        <f>VLOOKUP(Tabelle1521[[#This Row],[Klimakälte]],Dropdown!$A$2:$D$4,4,FALSE)</f>
        <v>-</v>
      </c>
      <c r="M15" s="42" t="str">
        <f>VLOOKUP(Tabelle1521[[#This Row],[Elektrische 
Wärmeerzeugung]],Dropdown!$A$2:$D$4,4,FALSE)</f>
        <v>-</v>
      </c>
    </row>
    <row r="16" spans="1:13" x14ac:dyDescent="0.2">
      <c r="A16" s="6">
        <v>15</v>
      </c>
      <c r="B16" s="42" t="str">
        <f>VLOOKUP(Tabelle1521[[#This Row],[Druckluftanwendungen]],Dropdown!$A$2:$D$4,4,FALSE)</f>
        <v>-</v>
      </c>
      <c r="C16" s="42" t="str">
        <f>VLOOKUP(Tabelle1521[[#This Row],[Prozessdampf mittels 
KWK-Eigenerzeugung]],Dropdown!$A$2:$D$4,4,FALSE)</f>
        <v>-</v>
      </c>
      <c r="D16" s="42" t="str">
        <f>VLOOKUP(Tabelle1521[[#This Row],[Prozesskälte]],Dropdown!$A$2:$D$4,4,FALSE)</f>
        <v>-</v>
      </c>
      <c r="E16" s="42" t="str">
        <f>VLOOKUP(Tabelle1521[[#This Row],[Kühlung 
(Lebensmittelindustrie)]],Dropdown!$A$2:$D$4,4,FALSE)</f>
        <v>-</v>
      </c>
      <c r="F16" s="42" t="str">
        <f>VLOOKUP(Tabelle1521[[#This Row],[Belüftung]],Dropdown!$A$2:$D$4,4,FALSE)</f>
        <v>-</v>
      </c>
      <c r="G16" s="42" t="str">
        <f>VLOOKUP(Tabelle1521[[#This Row],[Beleuchtung]],Dropdown!$A$2:$D$4,4,FALSE)</f>
        <v>-</v>
      </c>
      <c r="H16" s="42" t="str">
        <f>VLOOKUP(Tabelle1521[[#This Row],[Pumpenanwendungen]],Dropdown!$A$2:$D$4,4,FALSE)</f>
        <v>-</v>
      </c>
      <c r="I16" s="42" t="str">
        <f>VLOOKUP(Tabelle1521[[#This Row],[Elektrodenheizkessel]],Dropdown!$A$2:$D$4,4,FALSE)</f>
        <v>-</v>
      </c>
      <c r="J16" s="42" t="str">
        <f>VLOOKUP(Tabelle1521[[#This Row],[Zerkleinerer]],Dropdown!$A$2:$D$4,4,FALSE)</f>
        <v>-</v>
      </c>
      <c r="K16" s="42" t="str">
        <f>VLOOKUP(Tabelle1521[[#This Row],[Fördertechnik]],Dropdown!$A$2:$D$4,4,FALSE)</f>
        <v>-</v>
      </c>
      <c r="L16" s="42" t="str">
        <f>VLOOKUP(Tabelle1521[[#This Row],[Klimakälte]],Dropdown!$A$2:$D$4,4,FALSE)</f>
        <v>-</v>
      </c>
      <c r="M16" s="42" t="str">
        <f>VLOOKUP(Tabelle1521[[#This Row],[Elektrische 
Wärmeerzeugung]],Dropdown!$A$2:$D$4,4,FALSE)</f>
        <v>-</v>
      </c>
    </row>
    <row r="17" spans="1:13" x14ac:dyDescent="0.2">
      <c r="A17" s="6">
        <v>16</v>
      </c>
      <c r="B17" s="42" t="str">
        <f>VLOOKUP(Tabelle1521[[#This Row],[Druckluftanwendungen]],Dropdown!$A$2:$D$4,4,FALSE)</f>
        <v>-</v>
      </c>
      <c r="C17" s="42" t="str">
        <f>VLOOKUP(Tabelle1521[[#This Row],[Prozessdampf mittels 
KWK-Eigenerzeugung]],Dropdown!$A$2:$D$4,4,FALSE)</f>
        <v>-</v>
      </c>
      <c r="D17" s="42" t="str">
        <f>VLOOKUP(Tabelle1521[[#This Row],[Prozesskälte]],Dropdown!$A$2:$D$4,4,FALSE)</f>
        <v>-</v>
      </c>
      <c r="E17" s="42" t="str">
        <f>VLOOKUP(Tabelle1521[[#This Row],[Kühlung 
(Lebensmittelindustrie)]],Dropdown!$A$2:$D$4,4,FALSE)</f>
        <v>-</v>
      </c>
      <c r="F17" s="42" t="str">
        <f>VLOOKUP(Tabelle1521[[#This Row],[Belüftung]],Dropdown!$A$2:$D$4,4,FALSE)</f>
        <v>-</v>
      </c>
      <c r="G17" s="42" t="str">
        <f>VLOOKUP(Tabelle1521[[#This Row],[Beleuchtung]],Dropdown!$A$2:$D$4,4,FALSE)</f>
        <v>-</v>
      </c>
      <c r="H17" s="42" t="str">
        <f>VLOOKUP(Tabelle1521[[#This Row],[Pumpenanwendungen]],Dropdown!$A$2:$D$4,4,FALSE)</f>
        <v>-</v>
      </c>
      <c r="I17" s="42" t="str">
        <f>VLOOKUP(Tabelle1521[[#This Row],[Elektrodenheizkessel]],Dropdown!$A$2:$D$4,4,FALSE)</f>
        <v>-</v>
      </c>
      <c r="J17" s="42" t="str">
        <f>VLOOKUP(Tabelle1521[[#This Row],[Zerkleinerer]],Dropdown!$A$2:$D$4,4,FALSE)</f>
        <v>-</v>
      </c>
      <c r="K17" s="42" t="str">
        <f>VLOOKUP(Tabelle1521[[#This Row],[Fördertechnik]],Dropdown!$A$2:$D$4,4,FALSE)</f>
        <v>-</v>
      </c>
      <c r="L17" s="42" t="str">
        <f>VLOOKUP(Tabelle1521[[#This Row],[Klimakälte]],Dropdown!$A$2:$D$4,4,FALSE)</f>
        <v>-</v>
      </c>
      <c r="M17" s="42" t="str">
        <f>VLOOKUP(Tabelle1521[[#This Row],[Elektrische 
Wärmeerzeugung]],Dropdown!$A$2:$D$4,4,FALSE)</f>
        <v>-</v>
      </c>
    </row>
    <row r="18" spans="1:13" x14ac:dyDescent="0.2">
      <c r="A18" s="6">
        <v>17</v>
      </c>
      <c r="B18" s="42" t="str">
        <f>VLOOKUP(Tabelle1521[[#This Row],[Druckluftanwendungen]],Dropdown!$A$2:$D$4,4,FALSE)</f>
        <v>X</v>
      </c>
      <c r="C18" s="42" t="str">
        <f>VLOOKUP(Tabelle1521[[#This Row],[Prozessdampf mittels 
KWK-Eigenerzeugung]],Dropdown!$A$2:$D$4,4,FALSE)</f>
        <v>-</v>
      </c>
      <c r="D18" s="42" t="str">
        <f>VLOOKUP(Tabelle1521[[#This Row],[Prozesskälte]],Dropdown!$A$2:$D$4,4,FALSE)</f>
        <v>X</v>
      </c>
      <c r="E18" s="42" t="str">
        <f>VLOOKUP(Tabelle1521[[#This Row],[Kühlung 
(Lebensmittelindustrie)]],Dropdown!$A$2:$D$4,4,FALSE)</f>
        <v>-</v>
      </c>
      <c r="F18" s="42" t="str">
        <f>VLOOKUP(Tabelle1521[[#This Row],[Belüftung]],Dropdown!$A$2:$D$4,4,FALSE)</f>
        <v>X</v>
      </c>
      <c r="G18" s="42" t="str">
        <f>VLOOKUP(Tabelle1521[[#This Row],[Beleuchtung]],Dropdown!$A$2:$D$4,4,FALSE)</f>
        <v>-</v>
      </c>
      <c r="H18" s="42" t="str">
        <f>VLOOKUP(Tabelle1521[[#This Row],[Pumpenanwendungen]],Dropdown!$A$2:$D$4,4,FALSE)</f>
        <v>-</v>
      </c>
      <c r="I18" s="42" t="str">
        <f>VLOOKUP(Tabelle1521[[#This Row],[Elektrodenheizkessel]],Dropdown!$A$2:$D$4,4,FALSE)</f>
        <v>-</v>
      </c>
      <c r="J18" s="42" t="str">
        <f>VLOOKUP(Tabelle1521[[#This Row],[Zerkleinerer]],Dropdown!$A$2:$D$4,4,FALSE)</f>
        <v>-</v>
      </c>
      <c r="K18" s="42" t="str">
        <f>VLOOKUP(Tabelle1521[[#This Row],[Fördertechnik]],Dropdown!$A$2:$D$4,4,FALSE)</f>
        <v>-</v>
      </c>
      <c r="L18" s="42" t="str">
        <f>VLOOKUP(Tabelle1521[[#This Row],[Klimakälte]],Dropdown!$A$2:$D$4,4,FALSE)</f>
        <v>-</v>
      </c>
      <c r="M18" s="42" t="str">
        <f>VLOOKUP(Tabelle1521[[#This Row],[Elektrische 
Wärmeerzeugung]],Dropdown!$A$2:$D$4,4,FALSE)</f>
        <v>-</v>
      </c>
    </row>
    <row r="19" spans="1:13" x14ac:dyDescent="0.2">
      <c r="A19" s="6">
        <v>18</v>
      </c>
      <c r="B19" s="42" t="str">
        <f>VLOOKUP(Tabelle1521[[#This Row],[Druckluftanwendungen]],Dropdown!$A$2:$D$4,4,FALSE)</f>
        <v>-</v>
      </c>
      <c r="C19" s="42" t="str">
        <f>VLOOKUP(Tabelle1521[[#This Row],[Prozessdampf mittels 
KWK-Eigenerzeugung]],Dropdown!$A$2:$D$4,4,FALSE)</f>
        <v>-</v>
      </c>
      <c r="D19" s="42" t="str">
        <f>VLOOKUP(Tabelle1521[[#This Row],[Prozesskälte]],Dropdown!$A$2:$D$4,4,FALSE)</f>
        <v>-</v>
      </c>
      <c r="E19" s="42" t="str">
        <f>VLOOKUP(Tabelle1521[[#This Row],[Kühlung 
(Lebensmittelindustrie)]],Dropdown!$A$2:$D$4,4,FALSE)</f>
        <v>-</v>
      </c>
      <c r="F19" s="42" t="str">
        <f>VLOOKUP(Tabelle1521[[#This Row],[Belüftung]],Dropdown!$A$2:$D$4,4,FALSE)</f>
        <v>-</v>
      </c>
      <c r="G19" s="42" t="str">
        <f>VLOOKUP(Tabelle1521[[#This Row],[Beleuchtung]],Dropdown!$A$2:$D$4,4,FALSE)</f>
        <v>-</v>
      </c>
      <c r="H19" s="42" t="str">
        <f>VLOOKUP(Tabelle1521[[#This Row],[Pumpenanwendungen]],Dropdown!$A$2:$D$4,4,FALSE)</f>
        <v>-</v>
      </c>
      <c r="I19" s="42" t="str">
        <f>VLOOKUP(Tabelle1521[[#This Row],[Elektrodenheizkessel]],Dropdown!$A$2:$D$4,4,FALSE)</f>
        <v>-</v>
      </c>
      <c r="J19" s="42" t="str">
        <f>VLOOKUP(Tabelle1521[[#This Row],[Zerkleinerer]],Dropdown!$A$2:$D$4,4,FALSE)</f>
        <v>-</v>
      </c>
      <c r="K19" s="42" t="str">
        <f>VLOOKUP(Tabelle1521[[#This Row],[Fördertechnik]],Dropdown!$A$2:$D$4,4,FALSE)</f>
        <v>-</v>
      </c>
      <c r="L19" s="42" t="str">
        <f>VLOOKUP(Tabelle1521[[#This Row],[Klimakälte]],Dropdown!$A$2:$D$4,4,FALSE)</f>
        <v>-</v>
      </c>
      <c r="M19" s="42" t="str">
        <f>VLOOKUP(Tabelle1521[[#This Row],[Elektrische 
Wärmeerzeugung]],Dropdown!$A$2:$D$4,4,FALSE)</f>
        <v>-</v>
      </c>
    </row>
    <row r="20" spans="1:13" x14ac:dyDescent="0.2">
      <c r="A20" s="6">
        <v>19</v>
      </c>
      <c r="B20" s="42" t="str">
        <f>VLOOKUP(Tabelle1521[[#This Row],[Druckluftanwendungen]],Dropdown!$A$2:$D$4,4,FALSE)</f>
        <v>X</v>
      </c>
      <c r="C20" s="42" t="str">
        <f>VLOOKUP(Tabelle1521[[#This Row],[Prozessdampf mittels 
KWK-Eigenerzeugung]],Dropdown!$A$2:$D$4,4,FALSE)</f>
        <v>-</v>
      </c>
      <c r="D20" s="42" t="str">
        <f>VLOOKUP(Tabelle1521[[#This Row],[Prozesskälte]],Dropdown!$A$2:$D$4,4,FALSE)</f>
        <v>X</v>
      </c>
      <c r="E20" s="42" t="str">
        <f>VLOOKUP(Tabelle1521[[#This Row],[Kühlung 
(Lebensmittelindustrie)]],Dropdown!$A$2:$D$4,4,FALSE)</f>
        <v>-</v>
      </c>
      <c r="F20" s="42" t="str">
        <f>VLOOKUP(Tabelle1521[[#This Row],[Belüftung]],Dropdown!$A$2:$D$4,4,FALSE)</f>
        <v>X</v>
      </c>
      <c r="G20" s="42" t="str">
        <f>VLOOKUP(Tabelle1521[[#This Row],[Beleuchtung]],Dropdown!$A$2:$D$4,4,FALSE)</f>
        <v>X</v>
      </c>
      <c r="H20" s="42" t="str">
        <f>VLOOKUP(Tabelle1521[[#This Row],[Pumpenanwendungen]],Dropdown!$A$2:$D$4,4,FALSE)</f>
        <v>X</v>
      </c>
      <c r="I20" s="42" t="str">
        <f>VLOOKUP(Tabelle1521[[#This Row],[Elektrodenheizkessel]],Dropdown!$A$2:$D$4,4,FALSE)</f>
        <v>-</v>
      </c>
      <c r="J20" s="42" t="str">
        <f>VLOOKUP(Tabelle1521[[#This Row],[Zerkleinerer]],Dropdown!$A$2:$D$4,4,FALSE)</f>
        <v>-</v>
      </c>
      <c r="K20" s="42" t="str">
        <f>VLOOKUP(Tabelle1521[[#This Row],[Fördertechnik]],Dropdown!$A$2:$D$4,4,FALSE)</f>
        <v>-</v>
      </c>
      <c r="L20" s="42" t="str">
        <f>VLOOKUP(Tabelle1521[[#This Row],[Klimakälte]],Dropdown!$A$2:$D$4,4,FALSE)</f>
        <v>-</v>
      </c>
      <c r="M20" s="42" t="str">
        <f>VLOOKUP(Tabelle1521[[#This Row],[Elektrische 
Wärmeerzeugung]],Dropdown!$A$2:$D$4,4,FALSE)</f>
        <v>-</v>
      </c>
    </row>
    <row r="21" spans="1:13" x14ac:dyDescent="0.2">
      <c r="A21" s="6">
        <v>20</v>
      </c>
      <c r="B21" s="42" t="str">
        <f>VLOOKUP(Tabelle1521[[#This Row],[Druckluftanwendungen]],Dropdown!$A$2:$D$4,4,FALSE)</f>
        <v>-</v>
      </c>
      <c r="C21" s="42" t="str">
        <f>VLOOKUP(Tabelle1521[[#This Row],[Prozessdampf mittels 
KWK-Eigenerzeugung]],Dropdown!$A$2:$D$4,4,FALSE)</f>
        <v>-</v>
      </c>
      <c r="D21" s="42" t="str">
        <f>VLOOKUP(Tabelle1521[[#This Row],[Prozesskälte]],Dropdown!$A$2:$D$4,4,FALSE)</f>
        <v>-</v>
      </c>
      <c r="E21" s="42" t="str">
        <f>VLOOKUP(Tabelle1521[[#This Row],[Kühlung 
(Lebensmittelindustrie)]],Dropdown!$A$2:$D$4,4,FALSE)</f>
        <v>-</v>
      </c>
      <c r="F21" s="42" t="str">
        <f>VLOOKUP(Tabelle1521[[#This Row],[Belüftung]],Dropdown!$A$2:$D$4,4,FALSE)</f>
        <v>-</v>
      </c>
      <c r="G21" s="42" t="str">
        <f>VLOOKUP(Tabelle1521[[#This Row],[Beleuchtung]],Dropdown!$A$2:$D$4,4,FALSE)</f>
        <v>-</v>
      </c>
      <c r="H21" s="42" t="str">
        <f>VLOOKUP(Tabelle1521[[#This Row],[Pumpenanwendungen]],Dropdown!$A$2:$D$4,4,FALSE)</f>
        <v>-</v>
      </c>
      <c r="I21" s="42" t="str">
        <f>VLOOKUP(Tabelle1521[[#This Row],[Elektrodenheizkessel]],Dropdown!$A$2:$D$4,4,FALSE)</f>
        <v>-</v>
      </c>
      <c r="J21" s="42" t="str">
        <f>VLOOKUP(Tabelle1521[[#This Row],[Zerkleinerer]],Dropdown!$A$2:$D$4,4,FALSE)</f>
        <v>-</v>
      </c>
      <c r="K21" s="42" t="str">
        <f>VLOOKUP(Tabelle1521[[#This Row],[Fördertechnik]],Dropdown!$A$2:$D$4,4,FALSE)</f>
        <v>-</v>
      </c>
      <c r="L21" s="42" t="str">
        <f>VLOOKUP(Tabelle1521[[#This Row],[Klimakälte]],Dropdown!$A$2:$D$4,4,FALSE)</f>
        <v>-</v>
      </c>
      <c r="M21" s="42" t="str">
        <f>VLOOKUP(Tabelle1521[[#This Row],[Elektrische 
Wärmeerzeugung]],Dropdown!$A$2:$D$4,4,FALSE)</f>
        <v>-</v>
      </c>
    </row>
    <row r="22" spans="1:13" x14ac:dyDescent="0.2">
      <c r="A22" s="6">
        <v>21</v>
      </c>
      <c r="B22" s="42" t="str">
        <f>VLOOKUP(Tabelle1521[[#This Row],[Druckluftanwendungen]],Dropdown!$A$2:$D$4,4,FALSE)</f>
        <v>-</v>
      </c>
      <c r="C22" s="42" t="str">
        <f>VLOOKUP(Tabelle1521[[#This Row],[Prozessdampf mittels 
KWK-Eigenerzeugung]],Dropdown!$A$2:$D$4,4,FALSE)</f>
        <v>-</v>
      </c>
      <c r="D22" s="42" t="str">
        <f>VLOOKUP(Tabelle1521[[#This Row],[Prozesskälte]],Dropdown!$A$2:$D$4,4,FALSE)</f>
        <v>-</v>
      </c>
      <c r="E22" s="42" t="str">
        <f>VLOOKUP(Tabelle1521[[#This Row],[Kühlung 
(Lebensmittelindustrie)]],Dropdown!$A$2:$D$4,4,FALSE)</f>
        <v>-</v>
      </c>
      <c r="F22" s="42" t="str">
        <f>VLOOKUP(Tabelle1521[[#This Row],[Belüftung]],Dropdown!$A$2:$D$4,4,FALSE)</f>
        <v>-</v>
      </c>
      <c r="G22" s="42" t="str">
        <f>VLOOKUP(Tabelle1521[[#This Row],[Beleuchtung]],Dropdown!$A$2:$D$4,4,FALSE)</f>
        <v>-</v>
      </c>
      <c r="H22" s="42" t="str">
        <f>VLOOKUP(Tabelle1521[[#This Row],[Pumpenanwendungen]],Dropdown!$A$2:$D$4,4,FALSE)</f>
        <v>-</v>
      </c>
      <c r="I22" s="42" t="str">
        <f>VLOOKUP(Tabelle1521[[#This Row],[Elektrodenheizkessel]],Dropdown!$A$2:$D$4,4,FALSE)</f>
        <v>-</v>
      </c>
      <c r="J22" s="42" t="str">
        <f>VLOOKUP(Tabelle1521[[#This Row],[Zerkleinerer]],Dropdown!$A$2:$D$4,4,FALSE)</f>
        <v>-</v>
      </c>
      <c r="K22" s="42" t="str">
        <f>VLOOKUP(Tabelle1521[[#This Row],[Fördertechnik]],Dropdown!$A$2:$D$4,4,FALSE)</f>
        <v>-</v>
      </c>
      <c r="L22" s="42" t="str">
        <f>VLOOKUP(Tabelle1521[[#This Row],[Klimakälte]],Dropdown!$A$2:$D$4,4,FALSE)</f>
        <v>-</v>
      </c>
      <c r="M22" s="42" t="str">
        <f>VLOOKUP(Tabelle1521[[#This Row],[Elektrische 
Wärmeerzeugung]],Dropdown!$A$2:$D$4,4,FALSE)</f>
        <v>-</v>
      </c>
    </row>
    <row r="23" spans="1:13" x14ac:dyDescent="0.2">
      <c r="A23" s="6">
        <v>22</v>
      </c>
      <c r="B23" s="42" t="str">
        <f>VLOOKUP(Tabelle1521[[#This Row],[Druckluftanwendungen]],Dropdown!$A$2:$D$4,4,FALSE)</f>
        <v>-</v>
      </c>
      <c r="C23" s="42" t="str">
        <f>VLOOKUP(Tabelle1521[[#This Row],[Prozessdampf mittels 
KWK-Eigenerzeugung]],Dropdown!$A$2:$D$4,4,FALSE)</f>
        <v>-</v>
      </c>
      <c r="D23" s="42" t="str">
        <f>VLOOKUP(Tabelle1521[[#This Row],[Prozesskälte]],Dropdown!$A$2:$D$4,4,FALSE)</f>
        <v>X</v>
      </c>
      <c r="E23" s="42" t="str">
        <f>VLOOKUP(Tabelle1521[[#This Row],[Kühlung 
(Lebensmittelindustrie)]],Dropdown!$A$2:$D$4,4,FALSE)</f>
        <v>-</v>
      </c>
      <c r="F23" s="42" t="str">
        <f>VLOOKUP(Tabelle1521[[#This Row],[Belüftung]],Dropdown!$A$2:$D$4,4,FALSE)</f>
        <v>X</v>
      </c>
      <c r="G23" s="42" t="str">
        <f>VLOOKUP(Tabelle1521[[#This Row],[Beleuchtung]],Dropdown!$A$2:$D$4,4,FALSE)</f>
        <v>-</v>
      </c>
      <c r="H23" s="42" t="str">
        <f>VLOOKUP(Tabelle1521[[#This Row],[Pumpenanwendungen]],Dropdown!$A$2:$D$4,4,FALSE)</f>
        <v>-</v>
      </c>
      <c r="I23" s="42" t="str">
        <f>VLOOKUP(Tabelle1521[[#This Row],[Elektrodenheizkessel]],Dropdown!$A$2:$D$4,4,FALSE)</f>
        <v>-</v>
      </c>
      <c r="J23" s="42" t="str">
        <f>VLOOKUP(Tabelle1521[[#This Row],[Zerkleinerer]],Dropdown!$A$2:$D$4,4,FALSE)</f>
        <v>-</v>
      </c>
      <c r="K23" s="42" t="str">
        <f>VLOOKUP(Tabelle1521[[#This Row],[Fördertechnik]],Dropdown!$A$2:$D$4,4,FALSE)</f>
        <v>-</v>
      </c>
      <c r="L23" s="42" t="str">
        <f>VLOOKUP(Tabelle1521[[#This Row],[Klimakälte]],Dropdown!$A$2:$D$4,4,FALSE)</f>
        <v>-</v>
      </c>
      <c r="M23" s="42" t="str">
        <f>VLOOKUP(Tabelle1521[[#This Row],[Elektrische 
Wärmeerzeugung]],Dropdown!$A$2:$D$4,4,FALSE)</f>
        <v>-</v>
      </c>
    </row>
    <row r="24" spans="1:13" x14ac:dyDescent="0.2">
      <c r="A24" s="6">
        <v>23</v>
      </c>
      <c r="B24" s="42" t="str">
        <f>VLOOKUP(Tabelle1521[[#This Row],[Druckluftanwendungen]],Dropdown!$A$2:$D$4,4,FALSE)</f>
        <v>X</v>
      </c>
      <c r="C24" s="42" t="str">
        <f>VLOOKUP(Tabelle1521[[#This Row],[Prozessdampf mittels 
KWK-Eigenerzeugung]],Dropdown!$A$2:$D$4,4,FALSE)</f>
        <v>-</v>
      </c>
      <c r="D24" s="42" t="str">
        <f>VLOOKUP(Tabelle1521[[#This Row],[Prozesskälte]],Dropdown!$A$2:$D$4,4,FALSE)</f>
        <v>-</v>
      </c>
      <c r="E24" s="42" t="str">
        <f>VLOOKUP(Tabelle1521[[#This Row],[Kühlung 
(Lebensmittelindustrie)]],Dropdown!$A$2:$D$4,4,FALSE)</f>
        <v>-</v>
      </c>
      <c r="F24" s="42" t="str">
        <f>VLOOKUP(Tabelle1521[[#This Row],[Belüftung]],Dropdown!$A$2:$D$4,4,FALSE)</f>
        <v>-</v>
      </c>
      <c r="G24" s="42" t="str">
        <f>VLOOKUP(Tabelle1521[[#This Row],[Beleuchtung]],Dropdown!$A$2:$D$4,4,FALSE)</f>
        <v>-</v>
      </c>
      <c r="H24" s="42" t="str">
        <f>VLOOKUP(Tabelle1521[[#This Row],[Pumpenanwendungen]],Dropdown!$A$2:$D$4,4,FALSE)</f>
        <v>-</v>
      </c>
      <c r="I24" s="42" t="str">
        <f>VLOOKUP(Tabelle1521[[#This Row],[Elektrodenheizkessel]],Dropdown!$A$2:$D$4,4,FALSE)</f>
        <v>-</v>
      </c>
      <c r="J24" s="42" t="str">
        <f>VLOOKUP(Tabelle1521[[#This Row],[Zerkleinerer]],Dropdown!$A$2:$D$4,4,FALSE)</f>
        <v>-</v>
      </c>
      <c r="K24" s="42" t="str">
        <f>VLOOKUP(Tabelle1521[[#This Row],[Fördertechnik]],Dropdown!$A$2:$D$4,4,FALSE)</f>
        <v>-</v>
      </c>
      <c r="L24" s="42" t="str">
        <f>VLOOKUP(Tabelle1521[[#This Row],[Klimakälte]],Dropdown!$A$2:$D$4,4,FALSE)</f>
        <v>-</v>
      </c>
      <c r="M24" s="42" t="str">
        <f>VLOOKUP(Tabelle1521[[#This Row],[Elektrische 
Wärmeerzeugung]],Dropdown!$A$2:$D$4,4,FALSE)</f>
        <v>-</v>
      </c>
    </row>
    <row r="25" spans="1:13" x14ac:dyDescent="0.2">
      <c r="A25" s="6">
        <v>24</v>
      </c>
      <c r="B25" s="42" t="str">
        <f>VLOOKUP(Tabelle1521[[#This Row],[Druckluftanwendungen]],Dropdown!$A$2:$D$4,4,FALSE)</f>
        <v>X</v>
      </c>
      <c r="C25" s="42" t="str">
        <f>VLOOKUP(Tabelle1521[[#This Row],[Prozessdampf mittels 
KWK-Eigenerzeugung]],Dropdown!$A$2:$D$4,4,FALSE)</f>
        <v>X</v>
      </c>
      <c r="D25" s="42" t="str">
        <f>VLOOKUP(Tabelle1521[[#This Row],[Prozesskälte]],Dropdown!$A$2:$D$4,4,FALSE)</f>
        <v>-</v>
      </c>
      <c r="E25" s="42" t="str">
        <f>VLOOKUP(Tabelle1521[[#This Row],[Kühlung 
(Lebensmittelindustrie)]],Dropdown!$A$2:$D$4,4,FALSE)</f>
        <v>-</v>
      </c>
      <c r="F25" s="42" t="str">
        <f>VLOOKUP(Tabelle1521[[#This Row],[Belüftung]],Dropdown!$A$2:$D$4,4,FALSE)</f>
        <v>X</v>
      </c>
      <c r="G25" s="42" t="str">
        <f>VLOOKUP(Tabelle1521[[#This Row],[Beleuchtung]],Dropdown!$A$2:$D$4,4,FALSE)</f>
        <v>X</v>
      </c>
      <c r="H25" s="42" t="str">
        <f>VLOOKUP(Tabelle1521[[#This Row],[Pumpenanwendungen]],Dropdown!$A$2:$D$4,4,FALSE)</f>
        <v>X</v>
      </c>
      <c r="I25" s="42" t="str">
        <f>VLOOKUP(Tabelle1521[[#This Row],[Elektrodenheizkessel]],Dropdown!$A$2:$D$4,4,FALSE)</f>
        <v>-</v>
      </c>
      <c r="J25" s="42" t="str">
        <f>VLOOKUP(Tabelle1521[[#This Row],[Zerkleinerer]],Dropdown!$A$2:$D$4,4,FALSE)</f>
        <v>X</v>
      </c>
      <c r="K25" s="42" t="str">
        <f>VLOOKUP(Tabelle1521[[#This Row],[Fördertechnik]],Dropdown!$A$2:$D$4,4,FALSE)</f>
        <v>-</v>
      </c>
      <c r="L25" s="42" t="str">
        <f>VLOOKUP(Tabelle1521[[#This Row],[Klimakälte]],Dropdown!$A$2:$D$4,4,FALSE)</f>
        <v>X</v>
      </c>
      <c r="M25" s="42" t="str">
        <f>VLOOKUP(Tabelle1521[[#This Row],[Elektrische 
Wärmeerzeugung]],Dropdown!$A$2:$D$4,4,FALSE)</f>
        <v>X</v>
      </c>
    </row>
    <row r="26" spans="1:13" x14ac:dyDescent="0.2">
      <c r="A26" s="6">
        <v>25</v>
      </c>
      <c r="B26" s="42" t="str">
        <f>VLOOKUP(Tabelle1521[[#This Row],[Druckluftanwendungen]],Dropdown!$A$2:$D$4,4,FALSE)</f>
        <v>(X)</v>
      </c>
      <c r="C26" s="42" t="str">
        <f>VLOOKUP(Tabelle1521[[#This Row],[Prozessdampf mittels 
KWK-Eigenerzeugung]],Dropdown!$A$2:$D$4,4,FALSE)</f>
        <v>-</v>
      </c>
      <c r="D26" s="42" t="str">
        <f>VLOOKUP(Tabelle1521[[#This Row],[Prozesskälte]],Dropdown!$A$2:$D$4,4,FALSE)</f>
        <v>-</v>
      </c>
      <c r="E26" s="42" t="str">
        <f>VLOOKUP(Tabelle1521[[#This Row],[Kühlung 
(Lebensmittelindustrie)]],Dropdown!$A$2:$D$4,4,FALSE)</f>
        <v>-</v>
      </c>
      <c r="F26" s="42" t="str">
        <f>VLOOKUP(Tabelle1521[[#This Row],[Belüftung]],Dropdown!$A$2:$D$4,4,FALSE)</f>
        <v>-</v>
      </c>
      <c r="G26" s="42" t="str">
        <f>VLOOKUP(Tabelle1521[[#This Row],[Beleuchtung]],Dropdown!$A$2:$D$4,4,FALSE)</f>
        <v>-</v>
      </c>
      <c r="H26" s="42" t="str">
        <f>VLOOKUP(Tabelle1521[[#This Row],[Pumpenanwendungen]],Dropdown!$A$2:$D$4,4,FALSE)</f>
        <v>-</v>
      </c>
      <c r="I26" s="42" t="str">
        <f>VLOOKUP(Tabelle1521[[#This Row],[Elektrodenheizkessel]],Dropdown!$A$2:$D$4,4,FALSE)</f>
        <v>-</v>
      </c>
      <c r="J26" s="42" t="str">
        <f>VLOOKUP(Tabelle1521[[#This Row],[Zerkleinerer]],Dropdown!$A$2:$D$4,4,FALSE)</f>
        <v>-</v>
      </c>
      <c r="K26" s="42" t="str">
        <f>VLOOKUP(Tabelle1521[[#This Row],[Fördertechnik]],Dropdown!$A$2:$D$4,4,FALSE)</f>
        <v>(X)</v>
      </c>
      <c r="L26" s="42" t="str">
        <f>VLOOKUP(Tabelle1521[[#This Row],[Klimakälte]],Dropdown!$A$2:$D$4,4,FALSE)</f>
        <v>-</v>
      </c>
      <c r="M26" s="42" t="str">
        <f>VLOOKUP(Tabelle1521[[#This Row],[Elektrische 
Wärmeerzeugung]],Dropdown!$A$2:$D$4,4,FALSE)</f>
        <v>-</v>
      </c>
    </row>
    <row r="27" spans="1:13" x14ac:dyDescent="0.2">
      <c r="A27" s="56" t="s">
        <v>854</v>
      </c>
      <c r="B27" s="60">
        <f>Tabelle1521[[#This Row],[Druckluftanwendungen]]</f>
        <v>7.5</v>
      </c>
      <c r="C27" s="60">
        <f>Tabelle1521[[#This Row],[Prozessdampf mittels 
KWK-Eigenerzeugung]]</f>
        <v>2</v>
      </c>
      <c r="D27" s="60">
        <f>Tabelle1521[[#This Row],[Prozesskälte]]</f>
        <v>6</v>
      </c>
      <c r="E27" s="60">
        <f>Tabelle1521[[#This Row],[Kühlung 
(Lebensmittelindustrie)]]</f>
        <v>2</v>
      </c>
      <c r="F27" s="60">
        <f>Tabelle1521[[#This Row],[Belüftung]]</f>
        <v>8</v>
      </c>
      <c r="G27" s="60">
        <f>Tabelle1521[[#This Row],[Beleuchtung]]</f>
        <v>3</v>
      </c>
      <c r="H27" s="60">
        <f>Tabelle1521[[#This Row],[Pumpenanwendungen]]</f>
        <v>4</v>
      </c>
      <c r="I27" s="60">
        <f>Tabelle1521[[#This Row],[Elektrodenheizkessel]]</f>
        <v>1</v>
      </c>
      <c r="J27" s="60">
        <f>Tabelle1521[[#This Row],[Zerkleinerer]]</f>
        <v>2</v>
      </c>
      <c r="K27" s="60">
        <f>Tabelle1521[[#This Row],[Fördertechnik]]</f>
        <v>0.5</v>
      </c>
      <c r="L27" s="60">
        <f>Tabelle1521[[#This Row],[Klimakälte]]</f>
        <v>3.5</v>
      </c>
      <c r="M27" s="60">
        <f>Tabelle1521[[#This Row],[Elektrische 
Wärmeerzeugung]]</f>
        <v>1</v>
      </c>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68C59-470B-4334-A768-BE4282BAA064}">
  <sheetPr codeName="Tabelle38">
    <tabColor theme="5" tint="0.79998168889431442"/>
  </sheetPr>
  <dimension ref="A1:AB27"/>
  <sheetViews>
    <sheetView topLeftCell="L1" workbookViewId="0">
      <selection activeCell="N1" sqref="N1"/>
    </sheetView>
  </sheetViews>
  <sheetFormatPr baseColWidth="10" defaultColWidth="11" defaultRowHeight="12.75" x14ac:dyDescent="0.2"/>
  <cols>
    <col min="1" max="1" width="17.625" style="55" customWidth="1"/>
    <col min="2" max="19" width="5.875" style="55" customWidth="1"/>
    <col min="20" max="20" width="7" style="55" customWidth="1"/>
    <col min="21" max="28" width="5.875" style="55" customWidth="1"/>
    <col min="29" max="16384" width="11" style="55"/>
  </cols>
  <sheetData>
    <row r="1" spans="1:28" ht="165.75" customHeight="1" x14ac:dyDescent="0.2">
      <c r="A1" s="50" t="s">
        <v>1</v>
      </c>
      <c r="B1" s="53" t="s">
        <v>1097</v>
      </c>
      <c r="C1" s="53" t="s">
        <v>1098</v>
      </c>
      <c r="D1" s="53" t="s">
        <v>1099</v>
      </c>
      <c r="E1" s="53" t="s">
        <v>1100</v>
      </c>
      <c r="F1" s="53" t="s">
        <v>1101</v>
      </c>
      <c r="G1" s="53" t="s">
        <v>1102</v>
      </c>
      <c r="H1" s="53" t="s">
        <v>1103</v>
      </c>
      <c r="I1" s="53" t="s">
        <v>1104</v>
      </c>
      <c r="J1" s="53" t="s">
        <v>1105</v>
      </c>
      <c r="K1" s="53" t="s">
        <v>1033</v>
      </c>
      <c r="L1" s="53" t="s">
        <v>1068</v>
      </c>
      <c r="M1" s="53" t="s">
        <v>1637</v>
      </c>
      <c r="N1" s="53" t="s">
        <v>1638</v>
      </c>
      <c r="O1" s="53" t="s">
        <v>1046</v>
      </c>
      <c r="P1" s="53" t="s">
        <v>1066</v>
      </c>
      <c r="Q1" s="53" t="s">
        <v>1639</v>
      </c>
      <c r="R1" s="53" t="s">
        <v>1071</v>
      </c>
      <c r="S1" s="53" t="s">
        <v>1078</v>
      </c>
      <c r="T1" s="53" t="s">
        <v>1454</v>
      </c>
      <c r="U1" s="53" t="s">
        <v>1045</v>
      </c>
      <c r="V1" s="53" t="s">
        <v>1640</v>
      </c>
      <c r="W1" s="53" t="s">
        <v>1084</v>
      </c>
      <c r="X1" s="53" t="s">
        <v>1034</v>
      </c>
      <c r="Y1" s="53" t="s">
        <v>1051</v>
      </c>
      <c r="Z1" s="53" t="s">
        <v>1641</v>
      </c>
      <c r="AA1" s="53" t="s">
        <v>1079</v>
      </c>
      <c r="AB1" s="53" t="s">
        <v>799</v>
      </c>
    </row>
    <row r="2" spans="1:28" x14ac:dyDescent="0.2">
      <c r="A2" s="6" t="s">
        <v>12</v>
      </c>
      <c r="B2" s="58">
        <v>1</v>
      </c>
      <c r="C2" s="58">
        <v>1</v>
      </c>
      <c r="D2" s="58">
        <v>1</v>
      </c>
      <c r="E2" s="58">
        <v>1</v>
      </c>
      <c r="F2" s="58">
        <v>1</v>
      </c>
      <c r="G2" s="58">
        <v>1</v>
      </c>
      <c r="H2" s="58">
        <v>1</v>
      </c>
      <c r="I2" s="58">
        <v>1</v>
      </c>
      <c r="J2" s="58">
        <v>1</v>
      </c>
      <c r="K2" s="58"/>
      <c r="L2" s="58"/>
      <c r="M2" s="58"/>
      <c r="N2" s="58"/>
      <c r="O2" s="58"/>
      <c r="P2" s="58"/>
      <c r="Q2" s="58"/>
      <c r="R2" s="58"/>
      <c r="S2" s="58"/>
      <c r="T2" s="58"/>
      <c r="U2" s="58"/>
      <c r="V2" s="58"/>
      <c r="W2" s="58"/>
      <c r="X2" s="58"/>
      <c r="Y2" s="58"/>
      <c r="Z2" s="58"/>
      <c r="AA2" s="58"/>
      <c r="AB2" s="58"/>
    </row>
    <row r="3" spans="1:28" ht="25.5" x14ac:dyDescent="0.2">
      <c r="A3" s="6" t="s">
        <v>347</v>
      </c>
      <c r="B3" s="58"/>
      <c r="C3" s="58"/>
      <c r="D3" s="58"/>
      <c r="E3" s="58"/>
      <c r="F3" s="58"/>
      <c r="G3" s="58"/>
      <c r="H3" s="58"/>
      <c r="I3" s="58"/>
      <c r="J3" s="58"/>
      <c r="K3" s="58">
        <v>1</v>
      </c>
      <c r="L3" s="58"/>
      <c r="M3" s="58"/>
      <c r="N3" s="58"/>
      <c r="O3" s="58">
        <v>1</v>
      </c>
      <c r="P3" s="58">
        <v>1</v>
      </c>
      <c r="Q3" s="58">
        <v>1</v>
      </c>
      <c r="R3" s="58"/>
      <c r="S3" s="58"/>
      <c r="T3" s="58"/>
      <c r="U3" s="58"/>
      <c r="V3" s="58"/>
      <c r="W3" s="58"/>
      <c r="X3" s="58">
        <v>1</v>
      </c>
      <c r="Y3" s="58"/>
      <c r="Z3" s="58"/>
      <c r="AA3" s="58"/>
      <c r="AB3" s="58"/>
    </row>
    <row r="4" spans="1:28" ht="25.5" x14ac:dyDescent="0.2">
      <c r="A4" s="6" t="s">
        <v>348</v>
      </c>
      <c r="B4" s="58"/>
      <c r="C4" s="58"/>
      <c r="D4" s="58"/>
      <c r="E4" s="58"/>
      <c r="F4" s="58"/>
      <c r="G4" s="58"/>
      <c r="H4" s="58"/>
      <c r="I4" s="58"/>
      <c r="J4" s="58"/>
      <c r="K4" s="58"/>
      <c r="L4" s="58"/>
      <c r="M4" s="58"/>
      <c r="N4" s="58"/>
      <c r="O4" s="58"/>
      <c r="P4" s="58"/>
      <c r="Q4" s="58"/>
      <c r="R4" s="58"/>
      <c r="S4" s="58"/>
      <c r="T4" s="58"/>
      <c r="U4" s="58"/>
      <c r="V4" s="58"/>
      <c r="W4" s="58"/>
      <c r="X4" s="58"/>
      <c r="Y4" s="58"/>
      <c r="Z4" s="58"/>
      <c r="AA4" s="58"/>
      <c r="AB4" s="58"/>
    </row>
    <row r="5" spans="1:28" x14ac:dyDescent="0.2">
      <c r="A5" s="6" t="s">
        <v>183</v>
      </c>
      <c r="B5" s="58"/>
      <c r="C5" s="58"/>
      <c r="D5" s="58"/>
      <c r="E5" s="58"/>
      <c r="F5" s="58"/>
      <c r="G5" s="58"/>
      <c r="H5" s="58"/>
      <c r="I5" s="58"/>
      <c r="J5" s="58"/>
      <c r="K5" s="58">
        <v>1</v>
      </c>
      <c r="L5" s="58">
        <v>1</v>
      </c>
      <c r="M5" s="58"/>
      <c r="N5" s="58"/>
      <c r="O5" s="58"/>
      <c r="P5" s="58"/>
      <c r="Q5" s="58">
        <v>1</v>
      </c>
      <c r="R5" s="58"/>
      <c r="S5" s="58"/>
      <c r="T5" s="58"/>
      <c r="U5" s="58"/>
      <c r="V5" s="58">
        <v>1</v>
      </c>
      <c r="W5" s="58">
        <v>1</v>
      </c>
      <c r="X5" s="58"/>
      <c r="Y5" s="58"/>
      <c r="Z5" s="58"/>
      <c r="AA5" s="58"/>
      <c r="AB5" s="58"/>
    </row>
    <row r="6" spans="1:28" ht="25.5" x14ac:dyDescent="0.2">
      <c r="A6" s="6" t="s">
        <v>258</v>
      </c>
      <c r="B6" s="58"/>
      <c r="C6" s="58"/>
      <c r="D6" s="58"/>
      <c r="E6" s="58"/>
      <c r="F6" s="58"/>
      <c r="G6" s="58"/>
      <c r="H6" s="58"/>
      <c r="I6" s="58"/>
      <c r="J6" s="58"/>
      <c r="K6" s="58"/>
      <c r="L6" s="58">
        <v>1</v>
      </c>
      <c r="M6" s="58">
        <v>1</v>
      </c>
      <c r="N6" s="58">
        <v>1</v>
      </c>
      <c r="O6" s="58">
        <v>1</v>
      </c>
      <c r="P6" s="58">
        <v>1</v>
      </c>
      <c r="Q6" s="58"/>
      <c r="R6" s="58">
        <v>1</v>
      </c>
      <c r="S6" s="58"/>
      <c r="T6" s="58"/>
      <c r="U6" s="58"/>
      <c r="V6" s="58">
        <v>1</v>
      </c>
      <c r="W6" s="58"/>
      <c r="X6" s="58">
        <v>1</v>
      </c>
      <c r="Y6" s="58">
        <v>1</v>
      </c>
      <c r="Z6" s="58"/>
      <c r="AA6" s="58"/>
      <c r="AB6" s="58"/>
    </row>
    <row r="7" spans="1:28" x14ac:dyDescent="0.2">
      <c r="A7" s="6" t="s">
        <v>355</v>
      </c>
      <c r="B7" s="58"/>
      <c r="C7" s="58"/>
      <c r="D7" s="58"/>
      <c r="E7" s="58"/>
      <c r="F7" s="58"/>
      <c r="G7" s="58"/>
      <c r="H7" s="58"/>
      <c r="I7" s="58"/>
      <c r="J7" s="58"/>
      <c r="K7" s="58">
        <v>1</v>
      </c>
      <c r="L7" s="58"/>
      <c r="M7" s="58"/>
      <c r="N7" s="58"/>
      <c r="O7" s="58">
        <v>1</v>
      </c>
      <c r="P7" s="58"/>
      <c r="Q7" s="58"/>
      <c r="R7" s="58"/>
      <c r="S7" s="58"/>
      <c r="T7" s="58"/>
      <c r="U7" s="58"/>
      <c r="V7" s="58"/>
      <c r="W7" s="58"/>
      <c r="X7" s="58"/>
      <c r="Y7" s="58"/>
      <c r="Z7" s="58"/>
      <c r="AA7" s="58"/>
      <c r="AB7" s="58"/>
    </row>
    <row r="8" spans="1:28" x14ac:dyDescent="0.2">
      <c r="A8" s="6" t="s">
        <v>431</v>
      </c>
      <c r="B8" s="58"/>
      <c r="C8" s="58"/>
      <c r="D8" s="58"/>
      <c r="E8" s="58"/>
      <c r="F8" s="58"/>
      <c r="G8" s="58"/>
      <c r="H8" s="58"/>
      <c r="I8" s="58"/>
      <c r="J8" s="58"/>
      <c r="K8" s="58">
        <v>1</v>
      </c>
      <c r="L8" s="58">
        <v>1</v>
      </c>
      <c r="M8" s="58">
        <v>1</v>
      </c>
      <c r="N8" s="58"/>
      <c r="O8" s="58">
        <v>1</v>
      </c>
      <c r="P8" s="58">
        <v>1</v>
      </c>
      <c r="Q8" s="58"/>
      <c r="R8" s="58">
        <v>1</v>
      </c>
      <c r="S8" s="58"/>
      <c r="T8" s="58"/>
      <c r="U8" s="58"/>
      <c r="V8" s="58"/>
      <c r="W8" s="58"/>
      <c r="X8" s="58"/>
      <c r="Y8" s="58"/>
      <c r="Z8" s="58"/>
      <c r="AA8" s="58"/>
      <c r="AB8" s="58"/>
    </row>
    <row r="9" spans="1:28" x14ac:dyDescent="0.2">
      <c r="A9" s="6" t="s">
        <v>410</v>
      </c>
      <c r="B9" s="58"/>
      <c r="C9" s="58"/>
      <c r="D9" s="58"/>
      <c r="E9" s="58"/>
      <c r="F9" s="58"/>
      <c r="G9" s="58"/>
      <c r="H9" s="58"/>
      <c r="I9" s="58"/>
      <c r="J9" s="58"/>
      <c r="K9" s="58"/>
      <c r="L9" s="58"/>
      <c r="M9" s="58"/>
      <c r="N9" s="58"/>
      <c r="O9" s="58"/>
      <c r="P9" s="58"/>
      <c r="Q9" s="58"/>
      <c r="R9" s="58"/>
      <c r="S9" s="58"/>
      <c r="T9" s="58"/>
      <c r="U9" s="58"/>
      <c r="V9" s="58"/>
      <c r="W9" s="58"/>
      <c r="X9" s="58"/>
      <c r="Y9" s="58"/>
      <c r="Z9" s="58"/>
      <c r="AA9" s="58"/>
      <c r="AB9" s="58"/>
    </row>
    <row r="10" spans="1:28" x14ac:dyDescent="0.2">
      <c r="A10" s="6" t="s">
        <v>393</v>
      </c>
      <c r="B10" s="58"/>
      <c r="C10" s="58"/>
      <c r="D10" s="58"/>
      <c r="E10" s="58"/>
      <c r="F10" s="58"/>
      <c r="G10" s="58"/>
      <c r="H10" s="58"/>
      <c r="I10" s="58"/>
      <c r="J10" s="58"/>
      <c r="K10" s="58"/>
      <c r="L10" s="58"/>
      <c r="M10" s="58"/>
      <c r="N10" s="58"/>
      <c r="O10" s="58"/>
      <c r="P10" s="58"/>
      <c r="Q10" s="58"/>
      <c r="R10" s="58"/>
      <c r="S10" s="58"/>
      <c r="T10" s="58">
        <v>1</v>
      </c>
      <c r="U10" s="58"/>
      <c r="V10" s="58"/>
      <c r="W10" s="58"/>
      <c r="X10" s="58"/>
      <c r="Y10" s="58"/>
      <c r="Z10" s="58"/>
      <c r="AA10" s="58"/>
      <c r="AB10" s="58"/>
    </row>
    <row r="11" spans="1:28" ht="38.25" x14ac:dyDescent="0.2">
      <c r="A11" s="6" t="s">
        <v>380</v>
      </c>
      <c r="B11" s="58"/>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row>
    <row r="12" spans="1:28" ht="25.5" x14ac:dyDescent="0.2">
      <c r="A12" s="6" t="s">
        <v>95</v>
      </c>
      <c r="B12" s="58"/>
      <c r="C12" s="58"/>
      <c r="D12" s="58"/>
      <c r="E12" s="58"/>
      <c r="F12" s="58"/>
      <c r="G12" s="58"/>
      <c r="H12" s="58"/>
      <c r="I12" s="58"/>
      <c r="J12" s="58"/>
      <c r="K12" s="58">
        <v>1</v>
      </c>
      <c r="L12" s="58">
        <v>1</v>
      </c>
      <c r="M12" s="58">
        <v>1</v>
      </c>
      <c r="N12" s="58"/>
      <c r="O12" s="58">
        <v>1</v>
      </c>
      <c r="P12" s="58">
        <v>1</v>
      </c>
      <c r="Q12" s="58"/>
      <c r="R12" s="58">
        <v>1</v>
      </c>
      <c r="S12" s="58"/>
      <c r="T12" s="58"/>
      <c r="U12" s="58"/>
      <c r="V12" s="58"/>
      <c r="W12" s="58"/>
      <c r="X12" s="58">
        <v>1</v>
      </c>
      <c r="Y12" s="58"/>
      <c r="Z12" s="58">
        <v>1</v>
      </c>
      <c r="AA12" s="58"/>
      <c r="AB12" s="58"/>
    </row>
    <row r="13" spans="1:28" ht="38.25" x14ac:dyDescent="0.2">
      <c r="A13" s="6" t="s">
        <v>1709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row>
    <row r="14" spans="1:28" x14ac:dyDescent="0.2">
      <c r="A14" s="6" t="s">
        <v>179</v>
      </c>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row>
    <row r="15" spans="1:28" x14ac:dyDescent="0.2">
      <c r="A15" s="6" t="s">
        <v>341</v>
      </c>
      <c r="B15" s="58"/>
      <c r="C15" s="58"/>
      <c r="D15" s="58"/>
      <c r="E15" s="58"/>
      <c r="F15" s="58"/>
      <c r="G15" s="58"/>
      <c r="H15" s="58"/>
      <c r="I15" s="58"/>
      <c r="J15" s="58"/>
      <c r="K15" s="58">
        <v>1</v>
      </c>
      <c r="L15" s="58"/>
      <c r="M15" s="58"/>
      <c r="N15" s="58"/>
      <c r="O15" s="58">
        <v>1</v>
      </c>
      <c r="P15" s="58"/>
      <c r="Q15" s="58"/>
      <c r="R15" s="58">
        <v>1</v>
      </c>
      <c r="S15" s="58">
        <v>1</v>
      </c>
      <c r="T15" s="58"/>
      <c r="U15" s="58"/>
      <c r="V15" s="58"/>
      <c r="W15" s="58"/>
      <c r="X15" s="58">
        <v>1</v>
      </c>
      <c r="Y15" s="58"/>
      <c r="Z15" s="58"/>
      <c r="AA15" s="58"/>
      <c r="AB15" s="58"/>
    </row>
    <row r="16" spans="1:28" x14ac:dyDescent="0.2">
      <c r="A16" s="6" t="s">
        <v>22</v>
      </c>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row>
    <row r="17" spans="1:28" ht="25.5" x14ac:dyDescent="0.2">
      <c r="A17" s="6" t="s">
        <v>188</v>
      </c>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row>
    <row r="18" spans="1:28" ht="25.5" x14ac:dyDescent="0.2">
      <c r="A18" s="6" t="s">
        <v>133</v>
      </c>
      <c r="B18" s="58"/>
      <c r="C18" s="58"/>
      <c r="D18" s="58"/>
      <c r="E18" s="58"/>
      <c r="F18" s="58"/>
      <c r="G18" s="58"/>
      <c r="H18" s="58"/>
      <c r="I18" s="58"/>
      <c r="J18" s="58"/>
      <c r="K18" s="58">
        <v>1</v>
      </c>
      <c r="L18" s="58"/>
      <c r="M18" s="58"/>
      <c r="N18" s="58"/>
      <c r="O18" s="58">
        <v>1</v>
      </c>
      <c r="P18" s="58"/>
      <c r="Q18" s="58">
        <v>1</v>
      </c>
      <c r="R18" s="58"/>
      <c r="S18" s="58"/>
      <c r="T18" s="58"/>
      <c r="U18" s="58"/>
      <c r="V18" s="58"/>
      <c r="W18" s="58"/>
      <c r="X18" s="58">
        <v>1</v>
      </c>
      <c r="Y18" s="58"/>
      <c r="Z18" s="58"/>
      <c r="AA18" s="58">
        <v>1</v>
      </c>
      <c r="AB18" s="58"/>
    </row>
    <row r="19" spans="1:28" ht="25.5" x14ac:dyDescent="0.2">
      <c r="A19" s="6" t="s">
        <v>10</v>
      </c>
      <c r="B19" s="58"/>
      <c r="C19" s="58"/>
      <c r="D19" s="58"/>
      <c r="E19" s="58"/>
      <c r="F19" s="58"/>
      <c r="G19" s="58"/>
      <c r="H19" s="58"/>
      <c r="I19" s="58"/>
      <c r="J19" s="58"/>
      <c r="K19" s="58"/>
      <c r="L19" s="58"/>
      <c r="M19" s="58"/>
      <c r="N19" s="58"/>
      <c r="O19" s="58"/>
      <c r="P19" s="58"/>
      <c r="Q19" s="58"/>
      <c r="R19" s="58"/>
      <c r="S19" s="58"/>
      <c r="T19" s="58"/>
      <c r="U19" s="58"/>
      <c r="V19" s="58"/>
      <c r="W19" s="58"/>
      <c r="X19" s="58"/>
      <c r="Y19" s="58"/>
      <c r="Z19" s="58"/>
      <c r="AA19" s="58"/>
      <c r="AB19" s="58"/>
    </row>
    <row r="20" spans="1:28" ht="38.25" x14ac:dyDescent="0.2">
      <c r="A20" s="6" t="s">
        <v>832</v>
      </c>
      <c r="B20" s="58"/>
      <c r="C20" s="58"/>
      <c r="D20" s="58"/>
      <c r="E20" s="58"/>
      <c r="F20" s="58"/>
      <c r="G20" s="58"/>
      <c r="H20" s="58"/>
      <c r="I20" s="58"/>
      <c r="J20" s="58"/>
      <c r="K20" s="58"/>
      <c r="L20" s="58"/>
      <c r="M20" s="58"/>
      <c r="N20" s="58"/>
      <c r="O20" s="58"/>
      <c r="P20" s="58"/>
      <c r="Q20" s="58"/>
      <c r="R20" s="58"/>
      <c r="S20" s="58"/>
      <c r="T20" s="58"/>
      <c r="U20" s="58">
        <v>1</v>
      </c>
      <c r="V20" s="58"/>
      <c r="W20" s="58">
        <v>1</v>
      </c>
      <c r="X20" s="58">
        <v>1</v>
      </c>
      <c r="Y20" s="58"/>
      <c r="Z20" s="58"/>
      <c r="AA20" s="58"/>
      <c r="AB20" s="58">
        <v>1</v>
      </c>
    </row>
    <row r="21" spans="1:28" x14ac:dyDescent="0.2">
      <c r="A21" s="6" t="s">
        <v>16</v>
      </c>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row>
    <row r="22" spans="1:28" ht="25.5" x14ac:dyDescent="0.2">
      <c r="A22" s="6" t="s">
        <v>7</v>
      </c>
      <c r="B22" s="58"/>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row>
    <row r="23" spans="1:28" x14ac:dyDescent="0.2">
      <c r="A23" s="6" t="s">
        <v>18</v>
      </c>
      <c r="B23" s="58"/>
      <c r="C23" s="58"/>
      <c r="D23" s="58"/>
      <c r="E23" s="58"/>
      <c r="F23" s="58"/>
      <c r="G23" s="58"/>
      <c r="H23" s="58"/>
      <c r="I23" s="58"/>
      <c r="J23" s="58"/>
      <c r="K23" s="58"/>
      <c r="L23" s="58">
        <v>1</v>
      </c>
      <c r="M23" s="58">
        <v>1</v>
      </c>
      <c r="N23" s="58">
        <v>1</v>
      </c>
      <c r="O23" s="58">
        <v>1</v>
      </c>
      <c r="P23" s="58">
        <v>1</v>
      </c>
      <c r="Q23" s="58"/>
      <c r="R23" s="58">
        <v>1</v>
      </c>
      <c r="S23" s="58"/>
      <c r="T23" s="58"/>
      <c r="U23" s="58"/>
      <c r="V23" s="58">
        <v>1</v>
      </c>
      <c r="W23" s="58"/>
      <c r="X23" s="58">
        <v>1</v>
      </c>
      <c r="Y23" s="58">
        <v>1</v>
      </c>
      <c r="Z23" s="58"/>
      <c r="AA23" s="58"/>
      <c r="AB23" s="58"/>
    </row>
    <row r="24" spans="1:28" x14ac:dyDescent="0.2">
      <c r="A24" s="6" t="s">
        <v>338</v>
      </c>
      <c r="B24" s="58"/>
      <c r="C24" s="58"/>
      <c r="D24" s="58"/>
      <c r="E24" s="58"/>
      <c r="F24" s="58"/>
      <c r="G24" s="58"/>
      <c r="H24" s="58"/>
      <c r="I24" s="58"/>
      <c r="J24" s="58"/>
      <c r="K24" s="58"/>
      <c r="L24" s="58">
        <v>1</v>
      </c>
      <c r="M24" s="58"/>
      <c r="N24" s="58"/>
      <c r="O24" s="58"/>
      <c r="P24" s="58"/>
      <c r="Q24" s="58"/>
      <c r="R24" s="58"/>
      <c r="S24" s="58"/>
      <c r="T24" s="58"/>
      <c r="U24" s="58"/>
      <c r="V24" s="58"/>
      <c r="W24" s="58"/>
      <c r="X24" s="58">
        <v>1</v>
      </c>
      <c r="Y24" s="58"/>
      <c r="Z24" s="58"/>
      <c r="AA24" s="58"/>
      <c r="AB24" s="58"/>
    </row>
    <row r="25" spans="1:28" ht="25.5" x14ac:dyDescent="0.2">
      <c r="A25" s="6" t="s">
        <v>351</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row>
    <row r="26" spans="1:28" ht="38.25" x14ac:dyDescent="0.2">
      <c r="A26" s="6" t="s">
        <v>24</v>
      </c>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row>
    <row r="27" spans="1:28" x14ac:dyDescent="0.2">
      <c r="A27" s="59" t="s">
        <v>854</v>
      </c>
      <c r="B27" s="59">
        <f>SUM(B2:B26)</f>
        <v>1</v>
      </c>
      <c r="C27" s="59">
        <f t="shared" ref="C27:AB27" si="0">SUM(C2:C26)</f>
        <v>1</v>
      </c>
      <c r="D27" s="59">
        <f t="shared" si="0"/>
        <v>1</v>
      </c>
      <c r="E27" s="59">
        <f t="shared" si="0"/>
        <v>1</v>
      </c>
      <c r="F27" s="59">
        <f t="shared" si="0"/>
        <v>1</v>
      </c>
      <c r="G27" s="59">
        <f t="shared" si="0"/>
        <v>1</v>
      </c>
      <c r="H27" s="59">
        <f t="shared" si="0"/>
        <v>1</v>
      </c>
      <c r="I27" s="59">
        <f t="shared" si="0"/>
        <v>1</v>
      </c>
      <c r="J27" s="59">
        <f t="shared" si="0"/>
        <v>1</v>
      </c>
      <c r="K27" s="59">
        <f t="shared" si="0"/>
        <v>7</v>
      </c>
      <c r="L27" s="59">
        <f t="shared" si="0"/>
        <v>6</v>
      </c>
      <c r="M27" s="59">
        <f t="shared" si="0"/>
        <v>4</v>
      </c>
      <c r="N27" s="59">
        <f t="shared" si="0"/>
        <v>2</v>
      </c>
      <c r="O27" s="59">
        <f t="shared" si="0"/>
        <v>8</v>
      </c>
      <c r="P27" s="59">
        <f t="shared" si="0"/>
        <v>5</v>
      </c>
      <c r="Q27" s="59">
        <f t="shared" si="0"/>
        <v>3</v>
      </c>
      <c r="R27" s="59">
        <f t="shared" si="0"/>
        <v>5</v>
      </c>
      <c r="S27" s="59">
        <f t="shared" si="0"/>
        <v>1</v>
      </c>
      <c r="T27" s="59">
        <f t="shared" si="0"/>
        <v>1</v>
      </c>
      <c r="U27" s="59">
        <f t="shared" si="0"/>
        <v>1</v>
      </c>
      <c r="V27" s="59">
        <f t="shared" si="0"/>
        <v>3</v>
      </c>
      <c r="W27" s="59">
        <f t="shared" si="0"/>
        <v>2</v>
      </c>
      <c r="X27" s="59">
        <f t="shared" si="0"/>
        <v>8</v>
      </c>
      <c r="Y27" s="59">
        <f t="shared" si="0"/>
        <v>2</v>
      </c>
      <c r="Z27" s="59">
        <f t="shared" si="0"/>
        <v>1</v>
      </c>
      <c r="AA27" s="59">
        <f t="shared" si="0"/>
        <v>1</v>
      </c>
      <c r="AB27" s="59">
        <f t="shared" si="0"/>
        <v>1</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tabColor theme="5" tint="0.79998168889431442"/>
  </sheetPr>
  <dimension ref="A1:CJ107"/>
  <sheetViews>
    <sheetView tabSelected="1" zoomScale="70" zoomScaleNormal="70" zoomScaleSheetLayoutView="162" workbookViewId="0">
      <pane xSplit="1" ySplit="2" topLeftCell="L27" activePane="bottomRight" state="frozen"/>
      <selection activeCell="D33" sqref="D33"/>
      <selection pane="topRight" activeCell="D33" sqref="D33"/>
      <selection pane="bottomLeft" activeCell="D33" sqref="D33"/>
      <selection pane="bottomRight" activeCell="W31" sqref="W31"/>
    </sheetView>
  </sheetViews>
  <sheetFormatPr baseColWidth="10" defaultColWidth="10.875" defaultRowHeight="15.75" x14ac:dyDescent="0.25"/>
  <cols>
    <col min="1" max="2" width="13.625" style="7" customWidth="1"/>
    <col min="3" max="3" width="40.375" style="7" customWidth="1"/>
    <col min="4" max="5" width="12.875" style="7" customWidth="1"/>
    <col min="6" max="6" width="13.875" style="7" customWidth="1"/>
    <col min="7" max="7" width="95.5" style="7" customWidth="1"/>
    <col min="8" max="8" width="26.875" style="7" bestFit="1" customWidth="1"/>
    <col min="9" max="9" width="26.25" style="7" bestFit="1" customWidth="1"/>
    <col min="10" max="13" width="18.5" style="7" customWidth="1"/>
    <col min="14" max="14" width="16.75" style="14" customWidth="1"/>
    <col min="15" max="15" width="30.5" style="7" customWidth="1"/>
    <col min="16" max="16" width="20" style="7" customWidth="1"/>
    <col min="17" max="17" width="22.5" style="7" customWidth="1"/>
    <col min="18" max="18" width="15.625" style="7" customWidth="1"/>
    <col min="19" max="19" width="24.25" style="7" customWidth="1"/>
    <col min="20" max="20" width="21.875" style="7" customWidth="1"/>
    <col min="21" max="21" width="17.75" style="7" customWidth="1"/>
    <col min="22" max="23" width="24.375" style="7" customWidth="1"/>
    <col min="24" max="25" width="18.375" style="7" customWidth="1"/>
    <col min="26" max="26" width="14.125" style="7" customWidth="1"/>
    <col min="27" max="27" width="22.375" style="7" customWidth="1"/>
    <col min="28" max="29" width="35.125" style="14" customWidth="1"/>
    <col min="30" max="30" width="33.125" style="14" customWidth="1"/>
    <col min="31" max="32" width="36.125" style="14" customWidth="1"/>
    <col min="33" max="36" width="35.25" style="7" customWidth="1"/>
    <col min="37" max="37" width="32.125" style="7" bestFit="1" customWidth="1"/>
    <col min="38" max="40" width="36.125" style="7" customWidth="1"/>
    <col min="41" max="41" width="22.875" style="7" customWidth="1"/>
    <col min="42" max="42" width="21.875" style="7" customWidth="1"/>
    <col min="43" max="43" width="35.25" style="7" customWidth="1"/>
    <col min="44" max="44" width="29.375" style="7" customWidth="1"/>
    <col min="45" max="45" width="22.625" style="7" customWidth="1"/>
    <col min="46" max="46" width="26.125" style="7" customWidth="1"/>
    <col min="47" max="47" width="27" style="7" customWidth="1"/>
    <col min="48" max="48" width="27.5" style="7" customWidth="1"/>
    <col min="49" max="54" width="18.125" style="7" customWidth="1"/>
    <col min="55" max="55" width="13.25" style="7" bestFit="1" customWidth="1"/>
    <col min="56" max="56" width="13.25" style="7" customWidth="1"/>
    <col min="57" max="57" width="13.25" style="7" bestFit="1" customWidth="1" collapsed="1"/>
    <col min="58" max="60" width="13.25" style="7" customWidth="1"/>
    <col min="61" max="66" width="18.375" style="7" customWidth="1"/>
    <col min="67" max="80" width="13.25" style="7" customWidth="1"/>
    <col min="81" max="81" width="16.375" style="7" customWidth="1"/>
    <col min="82" max="82" width="30.875" style="7" customWidth="1" collapsed="1"/>
    <col min="83" max="87" width="13.5" style="7" customWidth="1"/>
    <col min="88" max="88" width="17.375" style="15" customWidth="1"/>
    <col min="89" max="89" width="10.875" style="7"/>
    <col min="90" max="90" width="10.875" style="7" customWidth="1"/>
    <col min="91" max="16384" width="10.875" style="7"/>
  </cols>
  <sheetData>
    <row r="1" spans="1:88" ht="39.75" customHeight="1" x14ac:dyDescent="0.25">
      <c r="A1" s="3" t="s">
        <v>86</v>
      </c>
      <c r="B1" s="3" t="s">
        <v>86</v>
      </c>
      <c r="C1" s="3" t="s">
        <v>86</v>
      </c>
      <c r="D1" s="3" t="s">
        <v>86</v>
      </c>
      <c r="E1" s="3" t="s">
        <v>86</v>
      </c>
      <c r="F1" s="3" t="s">
        <v>86</v>
      </c>
      <c r="G1" s="3" t="s">
        <v>93</v>
      </c>
      <c r="H1" s="3" t="s">
        <v>93</v>
      </c>
      <c r="I1" s="3" t="s">
        <v>93</v>
      </c>
      <c r="J1" s="3" t="s">
        <v>93</v>
      </c>
      <c r="K1" s="3" t="s">
        <v>93</v>
      </c>
      <c r="L1" s="3" t="s">
        <v>93</v>
      </c>
      <c r="M1" s="3" t="s">
        <v>93</v>
      </c>
      <c r="N1" s="3" t="s">
        <v>93</v>
      </c>
      <c r="O1" s="3" t="s">
        <v>102</v>
      </c>
      <c r="P1" s="3" t="s">
        <v>102</v>
      </c>
      <c r="Q1" s="3" t="s">
        <v>101</v>
      </c>
      <c r="R1" s="3" t="s">
        <v>101</v>
      </c>
      <c r="S1" s="3" t="s">
        <v>101</v>
      </c>
      <c r="T1" s="3" t="s">
        <v>101</v>
      </c>
      <c r="U1" s="3" t="s">
        <v>101</v>
      </c>
      <c r="V1" s="3" t="s">
        <v>101</v>
      </c>
      <c r="W1" s="3" t="s">
        <v>101</v>
      </c>
      <c r="X1" s="3" t="s">
        <v>101</v>
      </c>
      <c r="Y1" s="3" t="s">
        <v>101</v>
      </c>
      <c r="Z1" s="3" t="s">
        <v>101</v>
      </c>
      <c r="AA1" s="3" t="s">
        <v>159</v>
      </c>
      <c r="AB1" s="3" t="s">
        <v>87</v>
      </c>
      <c r="AC1" s="3" t="s">
        <v>87</v>
      </c>
      <c r="AD1" s="3" t="s">
        <v>87</v>
      </c>
      <c r="AE1" s="3" t="s">
        <v>87</v>
      </c>
      <c r="AF1" s="3" t="s">
        <v>87</v>
      </c>
      <c r="AG1" s="3" t="s">
        <v>87</v>
      </c>
      <c r="AH1" s="3" t="s">
        <v>1649</v>
      </c>
      <c r="AI1" s="3" t="s">
        <v>1649</v>
      </c>
      <c r="AJ1" s="3" t="s">
        <v>1649</v>
      </c>
      <c r="AK1" s="3" t="s">
        <v>88</v>
      </c>
      <c r="AL1" s="3" t="s">
        <v>88</v>
      </c>
      <c r="AM1" s="3" t="s">
        <v>88</v>
      </c>
      <c r="AN1" s="3" t="s">
        <v>88</v>
      </c>
      <c r="AO1" s="3" t="s">
        <v>88</v>
      </c>
      <c r="AP1" s="3" t="s">
        <v>88</v>
      </c>
      <c r="AQ1" s="3" t="s">
        <v>88</v>
      </c>
      <c r="AR1" s="3" t="s">
        <v>88</v>
      </c>
      <c r="AS1" s="3" t="s">
        <v>88</v>
      </c>
      <c r="AT1" s="3" t="s">
        <v>88</v>
      </c>
      <c r="AU1" s="3" t="s">
        <v>88</v>
      </c>
      <c r="AV1" s="3" t="s">
        <v>89</v>
      </c>
      <c r="AW1" s="3" t="s">
        <v>89</v>
      </c>
      <c r="AX1" s="3" t="s">
        <v>89</v>
      </c>
      <c r="AY1" s="3" t="s">
        <v>89</v>
      </c>
      <c r="AZ1" s="3" t="s">
        <v>89</v>
      </c>
      <c r="BA1" s="3" t="s">
        <v>89</v>
      </c>
      <c r="BB1" s="3" t="s">
        <v>89</v>
      </c>
      <c r="BC1" s="3" t="s">
        <v>2</v>
      </c>
      <c r="BD1" s="3" t="s">
        <v>2</v>
      </c>
      <c r="BE1" s="3" t="s">
        <v>2</v>
      </c>
      <c r="BF1" s="3" t="s">
        <v>2</v>
      </c>
      <c r="BG1" s="3" t="s">
        <v>2</v>
      </c>
      <c r="BH1" s="3" t="s">
        <v>2</v>
      </c>
      <c r="BI1" s="4" t="s">
        <v>90</v>
      </c>
      <c r="BJ1" s="4" t="s">
        <v>90</v>
      </c>
      <c r="BK1" s="4" t="s">
        <v>90</v>
      </c>
      <c r="BL1" s="4" t="s">
        <v>90</v>
      </c>
      <c r="BM1" s="4" t="s">
        <v>90</v>
      </c>
      <c r="BN1" s="4" t="s">
        <v>90</v>
      </c>
      <c r="BO1" s="4" t="s">
        <v>90</v>
      </c>
      <c r="BP1" s="4" t="s">
        <v>90</v>
      </c>
      <c r="BQ1" s="4" t="s">
        <v>90</v>
      </c>
      <c r="BR1" s="4" t="s">
        <v>90</v>
      </c>
      <c r="BS1" s="4" t="s">
        <v>90</v>
      </c>
      <c r="BT1" s="4" t="s">
        <v>90</v>
      </c>
      <c r="BU1" s="4" t="s">
        <v>90</v>
      </c>
      <c r="BV1" s="4" t="s">
        <v>90</v>
      </c>
      <c r="BW1" s="4" t="s">
        <v>1404</v>
      </c>
      <c r="BX1" s="4" t="s">
        <v>1404</v>
      </c>
      <c r="BY1" s="4" t="s">
        <v>1404</v>
      </c>
      <c r="BZ1" s="4" t="s">
        <v>1404</v>
      </c>
      <c r="CA1" s="4" t="s">
        <v>1404</v>
      </c>
      <c r="CB1" s="4" t="s">
        <v>1404</v>
      </c>
      <c r="CC1" s="4" t="s">
        <v>1404</v>
      </c>
      <c r="CD1" s="4" t="s">
        <v>91</v>
      </c>
      <c r="CE1" s="4" t="s">
        <v>91</v>
      </c>
      <c r="CF1" s="4" t="s">
        <v>91</v>
      </c>
      <c r="CG1" s="4" t="s">
        <v>91</v>
      </c>
      <c r="CH1" s="4" t="s">
        <v>91</v>
      </c>
      <c r="CI1" s="4" t="s">
        <v>91</v>
      </c>
      <c r="CJ1" s="5" t="s">
        <v>91</v>
      </c>
    </row>
    <row r="2" spans="1:88" ht="38.1" customHeight="1" x14ac:dyDescent="0.25">
      <c r="A2" s="3" t="s">
        <v>1</v>
      </c>
      <c r="B2" s="3" t="s">
        <v>1666</v>
      </c>
      <c r="C2" s="3" t="s">
        <v>57</v>
      </c>
      <c r="D2" s="3" t="s">
        <v>132</v>
      </c>
      <c r="E2" s="3" t="s">
        <v>130</v>
      </c>
      <c r="F2" s="3" t="s">
        <v>58</v>
      </c>
      <c r="G2" s="3" t="s">
        <v>96</v>
      </c>
      <c r="H2" s="3" t="s">
        <v>848</v>
      </c>
      <c r="I2" s="3" t="s">
        <v>849</v>
      </c>
      <c r="J2" s="3" t="s">
        <v>107</v>
      </c>
      <c r="K2" s="3" t="s">
        <v>135</v>
      </c>
      <c r="L2" s="3" t="s">
        <v>136</v>
      </c>
      <c r="M2" s="3" t="s">
        <v>119</v>
      </c>
      <c r="N2" s="3" t="s">
        <v>103</v>
      </c>
      <c r="O2" s="3" t="s">
        <v>108</v>
      </c>
      <c r="P2" s="3" t="s">
        <v>116</v>
      </c>
      <c r="Q2" s="3" t="s">
        <v>122</v>
      </c>
      <c r="R2" s="3" t="s">
        <v>100</v>
      </c>
      <c r="S2" s="3" t="s">
        <v>97</v>
      </c>
      <c r="T2" s="3" t="s">
        <v>98</v>
      </c>
      <c r="U2" s="3" t="s">
        <v>126</v>
      </c>
      <c r="V2" s="3" t="s">
        <v>847</v>
      </c>
      <c r="W2" s="3" t="s">
        <v>124</v>
      </c>
      <c r="X2" s="3" t="s">
        <v>99</v>
      </c>
      <c r="Y2" s="3" t="s">
        <v>127</v>
      </c>
      <c r="Z2" s="3" t="s">
        <v>104</v>
      </c>
      <c r="AA2" s="3" t="s">
        <v>160</v>
      </c>
      <c r="AB2" s="3" t="s">
        <v>111</v>
      </c>
      <c r="AC2" s="3" t="s">
        <v>113</v>
      </c>
      <c r="AD2" s="3" t="s">
        <v>125</v>
      </c>
      <c r="AE2" s="3" t="s">
        <v>112</v>
      </c>
      <c r="AF2" s="3" t="s">
        <v>439</v>
      </c>
      <c r="AG2" s="3" t="s">
        <v>105</v>
      </c>
      <c r="AH2" s="3" t="s">
        <v>1650</v>
      </c>
      <c r="AI2" s="3" t="s">
        <v>1651</v>
      </c>
      <c r="AJ2" s="3" t="s">
        <v>1652</v>
      </c>
      <c r="AK2" s="3" t="s">
        <v>106</v>
      </c>
      <c r="AL2" s="3" t="s">
        <v>92</v>
      </c>
      <c r="AM2" s="3" t="s">
        <v>1208</v>
      </c>
      <c r="AN2" s="3" t="s">
        <v>1209</v>
      </c>
      <c r="AO2" s="3" t="s">
        <v>71</v>
      </c>
      <c r="AP2" s="3" t="s">
        <v>72</v>
      </c>
      <c r="AQ2" s="3" t="s">
        <v>73</v>
      </c>
      <c r="AR2" s="3" t="s">
        <v>75</v>
      </c>
      <c r="AS2" s="3" t="s">
        <v>76</v>
      </c>
      <c r="AT2" s="3" t="s">
        <v>77</v>
      </c>
      <c r="AU2" s="3" t="s">
        <v>114</v>
      </c>
      <c r="AV2" s="3" t="s">
        <v>115</v>
      </c>
      <c r="AW2" s="3" t="s">
        <v>202</v>
      </c>
      <c r="AX2" s="3" t="s">
        <v>203</v>
      </c>
      <c r="AY2" s="3" t="s">
        <v>232</v>
      </c>
      <c r="AZ2" s="3" t="s">
        <v>204</v>
      </c>
      <c r="BA2" s="3" t="s">
        <v>205</v>
      </c>
      <c r="BB2" s="3" t="s">
        <v>215</v>
      </c>
      <c r="BC2" s="3" t="s">
        <v>2</v>
      </c>
      <c r="BD2" s="3" t="s">
        <v>78</v>
      </c>
      <c r="BE2" s="3" t="s">
        <v>79</v>
      </c>
      <c r="BF2" s="3" t="s">
        <v>81</v>
      </c>
      <c r="BG2" s="3" t="s">
        <v>80</v>
      </c>
      <c r="BH2" s="3" t="s">
        <v>82</v>
      </c>
      <c r="BI2" s="4" t="s">
        <v>137</v>
      </c>
      <c r="BJ2" s="4" t="s">
        <v>146</v>
      </c>
      <c r="BK2" s="4" t="s">
        <v>167</v>
      </c>
      <c r="BL2" s="4" t="s">
        <v>168</v>
      </c>
      <c r="BM2" s="4" t="s">
        <v>165</v>
      </c>
      <c r="BN2" s="4" t="s">
        <v>166</v>
      </c>
      <c r="BO2" s="4" t="s">
        <v>138</v>
      </c>
      <c r="BP2" s="4" t="s">
        <v>142</v>
      </c>
      <c r="BQ2" s="4" t="s">
        <v>139</v>
      </c>
      <c r="BR2" s="4" t="s">
        <v>143</v>
      </c>
      <c r="BS2" s="4" t="s">
        <v>140</v>
      </c>
      <c r="BT2" s="4" t="s">
        <v>144</v>
      </c>
      <c r="BU2" s="4" t="s">
        <v>141</v>
      </c>
      <c r="BV2" s="4" t="s">
        <v>145</v>
      </c>
      <c r="BW2" s="4" t="s">
        <v>1420</v>
      </c>
      <c r="BX2" s="4" t="s">
        <v>1405</v>
      </c>
      <c r="BY2" s="4" t="s">
        <v>1406</v>
      </c>
      <c r="BZ2" s="4" t="s">
        <v>1407</v>
      </c>
      <c r="CA2" s="4" t="s">
        <v>1409</v>
      </c>
      <c r="CB2" s="4" t="s">
        <v>1408</v>
      </c>
      <c r="CC2" s="3" t="s">
        <v>1419</v>
      </c>
      <c r="CD2" s="3" t="s">
        <v>217</v>
      </c>
      <c r="CE2" s="3" t="s">
        <v>186</v>
      </c>
      <c r="CF2" s="3" t="s">
        <v>187</v>
      </c>
      <c r="CG2" s="3" t="s">
        <v>185</v>
      </c>
      <c r="CH2" s="3" t="s">
        <v>343</v>
      </c>
      <c r="CI2" s="3" t="s">
        <v>344</v>
      </c>
      <c r="CJ2" s="5" t="s">
        <v>345</v>
      </c>
    </row>
    <row r="3" spans="1:88" ht="242.25" x14ac:dyDescent="0.25">
      <c r="A3" s="6" t="s">
        <v>12</v>
      </c>
      <c r="B3" s="6" t="s">
        <v>1667</v>
      </c>
      <c r="C3" s="8" t="s">
        <v>11</v>
      </c>
      <c r="D3" s="8" t="s">
        <v>67</v>
      </c>
      <c r="E3" s="8" t="s">
        <v>131</v>
      </c>
      <c r="F3" s="8" t="s">
        <v>0</v>
      </c>
      <c r="G3" s="8" t="s">
        <v>192</v>
      </c>
      <c r="H3" s="8">
        <v>1</v>
      </c>
      <c r="I3" s="8">
        <v>1</v>
      </c>
      <c r="J3" s="8">
        <v>0</v>
      </c>
      <c r="K3" s="8">
        <v>1</v>
      </c>
      <c r="L3" s="8">
        <v>0</v>
      </c>
      <c r="M3" s="8">
        <v>1</v>
      </c>
      <c r="N3" s="8" t="s">
        <v>178</v>
      </c>
      <c r="O3" s="9" t="s">
        <v>177</v>
      </c>
      <c r="P3" s="8" t="s">
        <v>191</v>
      </c>
      <c r="Q3" s="9" t="s">
        <v>1382</v>
      </c>
      <c r="R3" s="8">
        <v>1</v>
      </c>
      <c r="S3" s="8">
        <v>1</v>
      </c>
      <c r="T3" s="8">
        <v>0</v>
      </c>
      <c r="U3" s="8">
        <v>1</v>
      </c>
      <c r="V3" s="8">
        <v>1</v>
      </c>
      <c r="W3" s="8">
        <v>0.5</v>
      </c>
      <c r="X3" s="8">
        <v>0</v>
      </c>
      <c r="Y3" s="8">
        <v>2010</v>
      </c>
      <c r="Z3" s="8" t="s">
        <v>1371</v>
      </c>
      <c r="AA3" s="8" t="s">
        <v>109</v>
      </c>
      <c r="AB3" s="8" t="s">
        <v>1154</v>
      </c>
      <c r="AC3" s="8" t="s">
        <v>193</v>
      </c>
      <c r="AD3" s="8" t="s">
        <v>195</v>
      </c>
      <c r="AE3" s="8" t="s">
        <v>194</v>
      </c>
      <c r="AF3" s="8" t="s">
        <v>1155</v>
      </c>
      <c r="AG3" s="8" t="s">
        <v>196</v>
      </c>
      <c r="AH3" s="8">
        <f>IF(Ueberblick[[#This Row],[Branchen, Produktionsprozesse Haushalte]]&lt;&gt;"",1,0)</f>
        <v>1</v>
      </c>
      <c r="AI3" s="8">
        <f>IF(Ueberblick[[#This Row],[Querschnittstechnologien im GHD-Sektor]]&lt;&gt;"",1,0)</f>
        <v>1</v>
      </c>
      <c r="AJ3" s="8">
        <f>IF(OR(Ueberblick[[#This Row],[Branchen, Produktionsprozesse Industrie]]&lt;&gt;"",Ueberblick[[#This Row],[Querschnittstechnologien Industrie]]&lt;&gt;""),1,0)</f>
        <v>1</v>
      </c>
      <c r="AK3" s="8" t="s">
        <v>34</v>
      </c>
      <c r="AL3" s="8">
        <v>0.5</v>
      </c>
      <c r="AM3" s="8">
        <v>1</v>
      </c>
      <c r="AN3" s="8">
        <v>1</v>
      </c>
      <c r="AO3" s="8">
        <v>0.5</v>
      </c>
      <c r="AP3" s="8">
        <v>0.5</v>
      </c>
      <c r="AQ3" s="8">
        <v>0.5</v>
      </c>
      <c r="AR3" s="8">
        <v>0</v>
      </c>
      <c r="AS3" s="8">
        <v>0</v>
      </c>
      <c r="AT3" s="8">
        <v>0</v>
      </c>
      <c r="AU3" s="8" t="s">
        <v>197</v>
      </c>
      <c r="AV3" s="8" t="s">
        <v>33</v>
      </c>
      <c r="AW3" s="8">
        <v>0</v>
      </c>
      <c r="AX3" s="8">
        <v>1</v>
      </c>
      <c r="AY3" s="8">
        <v>0</v>
      </c>
      <c r="AZ3" s="8">
        <v>0</v>
      </c>
      <c r="BA3" s="8">
        <v>0</v>
      </c>
      <c r="BB3" s="8">
        <v>0</v>
      </c>
      <c r="BC3" s="8" t="s">
        <v>13</v>
      </c>
      <c r="BD3" s="8">
        <v>2010</v>
      </c>
      <c r="BE3" s="8">
        <v>1</v>
      </c>
      <c r="BF3" s="8">
        <v>0</v>
      </c>
      <c r="BG3" s="8">
        <v>1</v>
      </c>
      <c r="BH3" s="8">
        <v>0</v>
      </c>
      <c r="BI3" s="10">
        <v>4.4000000000000004</v>
      </c>
      <c r="BJ3" s="10">
        <v>0.5</v>
      </c>
      <c r="BK3" s="10"/>
      <c r="BL3" s="10"/>
      <c r="BM3" s="10"/>
      <c r="BN3" s="10"/>
      <c r="BO3" s="10">
        <v>1.4</v>
      </c>
      <c r="BP3" s="10"/>
      <c r="BQ3" s="10"/>
      <c r="BR3" s="10"/>
      <c r="BS3" s="10">
        <v>2.6</v>
      </c>
      <c r="BT3" s="10"/>
      <c r="BU3" s="10"/>
      <c r="BV3" s="10"/>
      <c r="BW3" s="93">
        <v>1</v>
      </c>
      <c r="BX3" s="93">
        <v>1</v>
      </c>
      <c r="BY3" s="93">
        <v>1</v>
      </c>
      <c r="BZ3" s="93">
        <v>0.5</v>
      </c>
      <c r="CA3" s="93">
        <v>1</v>
      </c>
      <c r="CB3" s="93"/>
      <c r="CC3" s="8" t="s">
        <v>39</v>
      </c>
      <c r="CD3" s="8" t="s">
        <v>1421</v>
      </c>
      <c r="CE3" s="8">
        <v>0.5</v>
      </c>
      <c r="CF3" s="8">
        <v>1</v>
      </c>
      <c r="CG3" s="8">
        <v>1</v>
      </c>
      <c r="CH3" s="8">
        <v>1</v>
      </c>
      <c r="CI3" s="8">
        <v>1</v>
      </c>
      <c r="CJ3" s="8">
        <v>1</v>
      </c>
    </row>
    <row r="4" spans="1:88" ht="306" x14ac:dyDescent="0.25">
      <c r="A4" s="6" t="s">
        <v>347</v>
      </c>
      <c r="B4" s="6" t="s">
        <v>1668</v>
      </c>
      <c r="C4" s="8" t="s">
        <v>824</v>
      </c>
      <c r="D4" s="32" t="s">
        <v>825</v>
      </c>
      <c r="E4" s="8" t="s">
        <v>131</v>
      </c>
      <c r="F4" s="8" t="s">
        <v>60</v>
      </c>
      <c r="G4" s="8" t="s">
        <v>816</v>
      </c>
      <c r="H4" s="8">
        <v>1</v>
      </c>
      <c r="I4" s="8">
        <v>1</v>
      </c>
      <c r="J4" s="8">
        <v>0</v>
      </c>
      <c r="K4" s="8">
        <v>1</v>
      </c>
      <c r="L4" s="8">
        <v>0</v>
      </c>
      <c r="M4" s="8">
        <v>1</v>
      </c>
      <c r="N4" s="8" t="s">
        <v>809</v>
      </c>
      <c r="O4" s="9" t="s">
        <v>814</v>
      </c>
      <c r="P4" s="8" t="s">
        <v>815</v>
      </c>
      <c r="Q4" s="9" t="s">
        <v>1383</v>
      </c>
      <c r="R4" s="8">
        <v>1</v>
      </c>
      <c r="S4" s="8">
        <v>1</v>
      </c>
      <c r="T4" s="8">
        <v>0</v>
      </c>
      <c r="U4" s="8">
        <v>0</v>
      </c>
      <c r="V4" s="8">
        <v>0</v>
      </c>
      <c r="W4" s="8">
        <v>1</v>
      </c>
      <c r="X4" s="8">
        <v>0</v>
      </c>
      <c r="Y4" s="8" t="s">
        <v>813</v>
      </c>
      <c r="Z4" s="8" t="s">
        <v>1370</v>
      </c>
      <c r="AA4" s="8" t="s">
        <v>109</v>
      </c>
      <c r="AB4" s="8" t="s">
        <v>811</v>
      </c>
      <c r="AC4" s="8"/>
      <c r="AD4" s="8" t="s">
        <v>1161</v>
      </c>
      <c r="AE4" s="8" t="s">
        <v>810</v>
      </c>
      <c r="AF4" s="8"/>
      <c r="AG4" s="8">
        <v>752</v>
      </c>
      <c r="AH4" s="8">
        <f>IF(Ueberblick[[#This Row],[Branchen, Produktionsprozesse Haushalte]]&lt;&gt;"",1,0)</f>
        <v>1</v>
      </c>
      <c r="AI4" s="8">
        <f>IF(Ueberblick[[#This Row],[Querschnittstechnologien im GHD-Sektor]]&lt;&gt;"",1,0)</f>
        <v>1</v>
      </c>
      <c r="AJ4" s="8">
        <f>IF(OR(Ueberblick[[#This Row],[Branchen, Produktionsprozesse Industrie]]&lt;&gt;"",Ueberblick[[#This Row],[Querschnittstechnologien Industrie]]&lt;&gt;""),1,0)</f>
        <v>1</v>
      </c>
      <c r="AK4" s="8" t="s">
        <v>1198</v>
      </c>
      <c r="AL4" s="8">
        <v>1</v>
      </c>
      <c r="AM4" s="8">
        <v>1</v>
      </c>
      <c r="AN4" s="8">
        <v>1</v>
      </c>
      <c r="AO4" s="8">
        <v>0.5</v>
      </c>
      <c r="AP4" s="8">
        <v>1</v>
      </c>
      <c r="AQ4" s="8">
        <v>0.5</v>
      </c>
      <c r="AR4" s="8">
        <v>0</v>
      </c>
      <c r="AS4" s="8">
        <v>0</v>
      </c>
      <c r="AT4" s="8">
        <v>0</v>
      </c>
      <c r="AU4" s="8" t="s">
        <v>1199</v>
      </c>
      <c r="AV4" s="8" t="s">
        <v>1172</v>
      </c>
      <c r="AW4" s="8">
        <v>0</v>
      </c>
      <c r="AX4" s="8">
        <v>1</v>
      </c>
      <c r="AY4" s="8">
        <v>1</v>
      </c>
      <c r="AZ4" s="8">
        <v>0</v>
      </c>
      <c r="BA4" s="8">
        <v>0</v>
      </c>
      <c r="BB4" s="8"/>
      <c r="BC4" s="40" t="s">
        <v>1170</v>
      </c>
      <c r="BD4" s="40" t="s">
        <v>1170</v>
      </c>
      <c r="BE4" s="8">
        <v>0</v>
      </c>
      <c r="BF4" s="8">
        <v>0</v>
      </c>
      <c r="BG4" s="8">
        <v>0</v>
      </c>
      <c r="BH4" s="8">
        <v>0</v>
      </c>
      <c r="BI4" s="10"/>
      <c r="BJ4" s="10"/>
      <c r="BK4" s="10"/>
      <c r="BL4" s="10"/>
      <c r="BM4" s="10"/>
      <c r="BN4" s="10"/>
      <c r="BO4" s="10"/>
      <c r="BP4" s="10"/>
      <c r="BQ4" s="10"/>
      <c r="BR4" s="10"/>
      <c r="BS4" s="10"/>
      <c r="BT4" s="10"/>
      <c r="BU4" s="10"/>
      <c r="BV4" s="10"/>
      <c r="BW4" s="93"/>
      <c r="BX4" s="93">
        <v>1</v>
      </c>
      <c r="BY4" s="93">
        <v>1</v>
      </c>
      <c r="BZ4" s="93">
        <v>1</v>
      </c>
      <c r="CA4" s="93">
        <v>1</v>
      </c>
      <c r="CB4" s="93">
        <v>1</v>
      </c>
      <c r="CC4" s="8" t="s">
        <v>1173</v>
      </c>
      <c r="CD4" s="8" t="s">
        <v>817</v>
      </c>
      <c r="CE4" s="8">
        <v>0</v>
      </c>
      <c r="CF4" s="8">
        <v>0</v>
      </c>
      <c r="CG4" s="8">
        <v>0</v>
      </c>
      <c r="CH4" s="8">
        <v>0</v>
      </c>
      <c r="CI4" s="8">
        <v>0</v>
      </c>
      <c r="CJ4" s="8">
        <v>0</v>
      </c>
    </row>
    <row r="5" spans="1:88" s="11" customFormat="1" ht="89.25" x14ac:dyDescent="0.25">
      <c r="A5" s="6" t="s">
        <v>348</v>
      </c>
      <c r="B5" s="110" t="s">
        <v>1669</v>
      </c>
      <c r="C5" s="16" t="s">
        <v>349</v>
      </c>
      <c r="D5" s="8" t="s">
        <v>826</v>
      </c>
      <c r="E5" s="8"/>
      <c r="F5" s="8" t="s">
        <v>350</v>
      </c>
      <c r="G5" s="8" t="s">
        <v>370</v>
      </c>
      <c r="H5" s="8">
        <v>1</v>
      </c>
      <c r="I5" s="8">
        <v>1</v>
      </c>
      <c r="J5" s="8">
        <v>0</v>
      </c>
      <c r="K5" s="8">
        <v>0</v>
      </c>
      <c r="L5" s="8">
        <v>0</v>
      </c>
      <c r="M5" s="8">
        <v>1</v>
      </c>
      <c r="N5" s="8" t="s">
        <v>371</v>
      </c>
      <c r="O5" s="9" t="s">
        <v>374</v>
      </c>
      <c r="P5" s="8" t="s">
        <v>375</v>
      </c>
      <c r="Q5" s="9" t="s">
        <v>1384</v>
      </c>
      <c r="R5" s="8">
        <v>1</v>
      </c>
      <c r="S5" s="8">
        <v>1</v>
      </c>
      <c r="T5" s="8">
        <v>0</v>
      </c>
      <c r="U5" s="8">
        <v>0</v>
      </c>
      <c r="V5" s="8">
        <v>0</v>
      </c>
      <c r="W5" s="8">
        <v>1</v>
      </c>
      <c r="X5" s="8">
        <v>0</v>
      </c>
      <c r="Y5" s="8">
        <v>2011</v>
      </c>
      <c r="Z5" s="8" t="s">
        <v>1377</v>
      </c>
      <c r="AA5" s="8" t="s">
        <v>214</v>
      </c>
      <c r="AB5" s="8" t="s">
        <v>373</v>
      </c>
      <c r="AC5" s="8"/>
      <c r="AD5" s="8"/>
      <c r="AE5" s="8"/>
      <c r="AF5" s="8"/>
      <c r="AG5" s="8"/>
      <c r="AH5" s="8">
        <f>IF(Ueberblick[[#This Row],[Branchen, Produktionsprozesse Haushalte]]&lt;&gt;"",1,0)</f>
        <v>0</v>
      </c>
      <c r="AI5" s="8">
        <f>IF(Ueberblick[[#This Row],[Querschnittstechnologien im GHD-Sektor]]&lt;&gt;"",1,0)</f>
        <v>0</v>
      </c>
      <c r="AJ5" s="8">
        <f>IF(OR(Ueberblick[[#This Row],[Branchen, Produktionsprozesse Industrie]]&lt;&gt;"",Ueberblick[[#This Row],[Querschnittstechnologien Industrie]]&lt;&gt;""),1,0)</f>
        <v>1</v>
      </c>
      <c r="AK5" s="9" t="s">
        <v>376</v>
      </c>
      <c r="AL5" s="8">
        <v>1</v>
      </c>
      <c r="AM5" s="8">
        <v>1</v>
      </c>
      <c r="AN5" s="8">
        <v>1</v>
      </c>
      <c r="AO5" s="8">
        <v>0</v>
      </c>
      <c r="AP5" s="8">
        <v>0</v>
      </c>
      <c r="AQ5" s="8">
        <v>0</v>
      </c>
      <c r="AR5" s="8">
        <v>0</v>
      </c>
      <c r="AS5" s="8">
        <v>0</v>
      </c>
      <c r="AT5" s="8">
        <v>0</v>
      </c>
      <c r="AU5" s="8" t="s">
        <v>377</v>
      </c>
      <c r="AV5" s="8" t="s">
        <v>378</v>
      </c>
      <c r="AW5" s="8">
        <v>1</v>
      </c>
      <c r="AX5" s="8">
        <v>1</v>
      </c>
      <c r="AY5" s="8">
        <v>0</v>
      </c>
      <c r="AZ5" s="8">
        <v>1</v>
      </c>
      <c r="BA5" s="8">
        <v>0</v>
      </c>
      <c r="BB5" s="8">
        <v>1</v>
      </c>
      <c r="BC5" s="8">
        <v>2011</v>
      </c>
      <c r="BD5" s="8" t="str">
        <f>LEFT(Gesamtueberblick!$BC5,4)</f>
        <v>2011</v>
      </c>
      <c r="BE5" s="8">
        <v>0</v>
      </c>
      <c r="BF5" s="8">
        <v>0</v>
      </c>
      <c r="BG5" s="8">
        <v>0</v>
      </c>
      <c r="BH5" s="8">
        <v>0</v>
      </c>
      <c r="BI5" s="10"/>
      <c r="BJ5" s="10"/>
      <c r="BK5" s="10"/>
      <c r="BL5" s="10"/>
      <c r="BM5" s="10"/>
      <c r="BN5" s="10"/>
      <c r="BO5" s="10"/>
      <c r="BP5" s="10"/>
      <c r="BQ5" s="10"/>
      <c r="BR5" s="10"/>
      <c r="BS5" s="10"/>
      <c r="BT5" s="10"/>
      <c r="BU5" s="10"/>
      <c r="BV5" s="10"/>
      <c r="BW5" s="93">
        <v>1</v>
      </c>
      <c r="BX5" s="93"/>
      <c r="BY5" s="93"/>
      <c r="BZ5" s="93"/>
      <c r="CA5" s="93"/>
      <c r="CB5" s="93"/>
      <c r="CC5" s="8"/>
      <c r="CD5" s="8" t="s">
        <v>379</v>
      </c>
      <c r="CE5" s="8">
        <v>0</v>
      </c>
      <c r="CF5" s="8">
        <v>0</v>
      </c>
      <c r="CG5" s="8">
        <v>0</v>
      </c>
      <c r="CH5" s="8">
        <v>0</v>
      </c>
      <c r="CI5" s="8">
        <v>0</v>
      </c>
      <c r="CJ5" s="8">
        <v>0</v>
      </c>
    </row>
    <row r="6" spans="1:88" s="11" customFormat="1" ht="242.25" x14ac:dyDescent="0.25">
      <c r="A6" s="6" t="s">
        <v>183</v>
      </c>
      <c r="B6" s="6" t="s">
        <v>1670</v>
      </c>
      <c r="C6" s="8" t="s">
        <v>184</v>
      </c>
      <c r="D6" s="8" t="s">
        <v>303</v>
      </c>
      <c r="E6" s="8" t="s">
        <v>304</v>
      </c>
      <c r="F6" s="8" t="s">
        <v>0</v>
      </c>
      <c r="G6" s="8" t="s">
        <v>307</v>
      </c>
      <c r="H6" s="8">
        <v>1</v>
      </c>
      <c r="I6" s="8">
        <v>1</v>
      </c>
      <c r="J6" s="8">
        <v>0</v>
      </c>
      <c r="K6" s="8">
        <v>0</v>
      </c>
      <c r="L6" s="8">
        <v>0.5</v>
      </c>
      <c r="M6" s="8">
        <v>1</v>
      </c>
      <c r="N6" s="8" t="s">
        <v>302</v>
      </c>
      <c r="O6" s="9" t="s">
        <v>305</v>
      </c>
      <c r="P6" s="8" t="s">
        <v>306</v>
      </c>
      <c r="Q6" s="9" t="s">
        <v>1385</v>
      </c>
      <c r="R6" s="8">
        <v>1</v>
      </c>
      <c r="S6" s="8">
        <v>1</v>
      </c>
      <c r="T6" s="8">
        <v>0</v>
      </c>
      <c r="U6" s="8">
        <v>0</v>
      </c>
      <c r="V6" s="8">
        <v>0</v>
      </c>
      <c r="W6" s="8">
        <v>1</v>
      </c>
      <c r="X6" s="8">
        <v>0.5</v>
      </c>
      <c r="Y6" s="8" t="s">
        <v>301</v>
      </c>
      <c r="Z6" s="8" t="s">
        <v>1372</v>
      </c>
      <c r="AA6" s="8" t="s">
        <v>158</v>
      </c>
      <c r="AB6" s="8" t="s">
        <v>1708</v>
      </c>
      <c r="AC6" s="8" t="s">
        <v>932</v>
      </c>
      <c r="AD6" s="8" t="s">
        <v>1163</v>
      </c>
      <c r="AE6" s="8"/>
      <c r="AF6" s="8"/>
      <c r="AG6" s="8" t="s">
        <v>300</v>
      </c>
      <c r="AH6" s="8">
        <f>IF(Ueberblick[[#This Row],[Branchen, Produktionsprozesse Haushalte]]&lt;&gt;"",1,0)</f>
        <v>0</v>
      </c>
      <c r="AI6" s="8">
        <f>IF(Ueberblick[[#This Row],[Querschnittstechnologien im GHD-Sektor]]&lt;&gt;"",1,0)</f>
        <v>1</v>
      </c>
      <c r="AJ6" s="8">
        <f>IF(OR(Ueberblick[[#This Row],[Branchen, Produktionsprozesse Industrie]]&lt;&gt;"",Ueberblick[[#This Row],[Querschnittstechnologien Industrie]]&lt;&gt;""),1,0)</f>
        <v>1</v>
      </c>
      <c r="AK6" s="8" t="s">
        <v>309</v>
      </c>
      <c r="AL6" s="8">
        <v>0.5</v>
      </c>
      <c r="AM6" s="8">
        <v>1</v>
      </c>
      <c r="AN6" s="8">
        <v>1</v>
      </c>
      <c r="AO6" s="8">
        <v>0</v>
      </c>
      <c r="AP6" s="8">
        <v>0.5</v>
      </c>
      <c r="AQ6" s="8">
        <v>0.5</v>
      </c>
      <c r="AR6" s="8">
        <v>1</v>
      </c>
      <c r="AS6" s="8">
        <v>0</v>
      </c>
      <c r="AT6" s="8">
        <v>0</v>
      </c>
      <c r="AU6" s="8" t="s">
        <v>310</v>
      </c>
      <c r="AV6" s="8" t="s">
        <v>311</v>
      </c>
      <c r="AW6" s="8">
        <v>0.5</v>
      </c>
      <c r="AX6" s="8">
        <v>0.5</v>
      </c>
      <c r="AY6" s="8">
        <v>0</v>
      </c>
      <c r="AZ6" s="8">
        <v>0</v>
      </c>
      <c r="BA6" s="8">
        <v>0</v>
      </c>
      <c r="BB6" s="8">
        <v>0</v>
      </c>
      <c r="BC6" s="8">
        <v>2011</v>
      </c>
      <c r="BD6" s="8" t="str">
        <f>LEFT(Gesamtueberblick!$BC6,4)</f>
        <v>2011</v>
      </c>
      <c r="BE6" s="8">
        <v>0</v>
      </c>
      <c r="BF6" s="8">
        <v>0</v>
      </c>
      <c r="BG6" s="8">
        <v>0</v>
      </c>
      <c r="BH6" s="8">
        <v>0</v>
      </c>
      <c r="BI6" s="10"/>
      <c r="BJ6" s="10"/>
      <c r="BK6" s="10"/>
      <c r="BL6" s="10"/>
      <c r="BM6" s="10"/>
      <c r="BN6" s="10"/>
      <c r="BO6" s="10">
        <v>0.47</v>
      </c>
      <c r="BP6" s="10">
        <v>0.47</v>
      </c>
      <c r="BQ6" s="10"/>
      <c r="BR6" s="10"/>
      <c r="BS6" s="10"/>
      <c r="BT6" s="10"/>
      <c r="BU6" s="10"/>
      <c r="BV6" s="10"/>
      <c r="BW6" s="93">
        <v>0.5</v>
      </c>
      <c r="BX6" s="93">
        <v>0.5</v>
      </c>
      <c r="BY6" s="93">
        <v>1</v>
      </c>
      <c r="BZ6" s="93"/>
      <c r="CA6" s="93">
        <v>1</v>
      </c>
      <c r="CB6" s="93"/>
      <c r="CC6" s="8" t="s">
        <v>312</v>
      </c>
      <c r="CD6" s="8" t="s">
        <v>316</v>
      </c>
      <c r="CE6" s="8">
        <v>0</v>
      </c>
      <c r="CF6" s="8">
        <v>1</v>
      </c>
      <c r="CG6" s="8">
        <v>0</v>
      </c>
      <c r="CH6" s="8">
        <v>0</v>
      </c>
      <c r="CI6" s="8">
        <v>1</v>
      </c>
      <c r="CJ6" s="8">
        <v>0</v>
      </c>
    </row>
    <row r="7" spans="1:88" s="11" customFormat="1" ht="409.5" x14ac:dyDescent="0.25">
      <c r="A7" s="6" t="s">
        <v>258</v>
      </c>
      <c r="B7" s="6" t="s">
        <v>1671</v>
      </c>
      <c r="C7" s="8" t="s">
        <v>259</v>
      </c>
      <c r="D7" s="8" t="s">
        <v>827</v>
      </c>
      <c r="E7" s="8" t="s">
        <v>131</v>
      </c>
      <c r="F7" s="8" t="s">
        <v>260</v>
      </c>
      <c r="G7" s="8" t="s">
        <v>261</v>
      </c>
      <c r="H7" s="8">
        <v>1</v>
      </c>
      <c r="I7" s="8">
        <v>1</v>
      </c>
      <c r="J7" s="8">
        <v>0</v>
      </c>
      <c r="K7" s="8">
        <v>0</v>
      </c>
      <c r="L7" s="8">
        <v>0</v>
      </c>
      <c r="M7" s="8">
        <v>1</v>
      </c>
      <c r="N7" s="12" t="s">
        <v>264</v>
      </c>
      <c r="O7" s="9" t="s">
        <v>262</v>
      </c>
      <c r="P7" s="8" t="s">
        <v>263</v>
      </c>
      <c r="Q7" s="9" t="s">
        <v>1386</v>
      </c>
      <c r="R7" s="9">
        <v>1</v>
      </c>
      <c r="S7" s="9">
        <v>1</v>
      </c>
      <c r="T7" s="9">
        <v>0</v>
      </c>
      <c r="U7" s="9">
        <v>0</v>
      </c>
      <c r="V7" s="9">
        <v>0</v>
      </c>
      <c r="W7" s="9">
        <v>1</v>
      </c>
      <c r="X7" s="9">
        <v>0</v>
      </c>
      <c r="Y7" s="9" t="s">
        <v>238</v>
      </c>
      <c r="Z7" s="8" t="s">
        <v>1378</v>
      </c>
      <c r="AA7" s="8" t="s">
        <v>110</v>
      </c>
      <c r="AB7" s="8" t="s">
        <v>255</v>
      </c>
      <c r="AC7" s="8" t="s">
        <v>256</v>
      </c>
      <c r="AD7" s="8" t="s">
        <v>265</v>
      </c>
      <c r="AE7" s="8" t="s">
        <v>1166</v>
      </c>
      <c r="AF7" s="8" t="s">
        <v>436</v>
      </c>
      <c r="AG7" s="8">
        <v>13</v>
      </c>
      <c r="AH7" s="8">
        <f>IF(Ueberblick[[#This Row],[Branchen, Produktionsprozesse Haushalte]]&lt;&gt;"",1,0)</f>
        <v>1</v>
      </c>
      <c r="AI7" s="8">
        <f>IF(Ueberblick[[#This Row],[Querschnittstechnologien im GHD-Sektor]]&lt;&gt;"",1,0)</f>
        <v>1</v>
      </c>
      <c r="AJ7" s="8">
        <f>IF(OR(Ueberblick[[#This Row],[Branchen, Produktionsprozesse Industrie]]&lt;&gt;"",Ueberblick[[#This Row],[Querschnittstechnologien Industrie]]&lt;&gt;""),1,0)</f>
        <v>1</v>
      </c>
      <c r="AK7" s="8" t="s">
        <v>257</v>
      </c>
      <c r="AL7" s="8">
        <v>1</v>
      </c>
      <c r="AM7" s="8">
        <v>1</v>
      </c>
      <c r="AN7" s="8">
        <v>1</v>
      </c>
      <c r="AO7" s="8">
        <v>1</v>
      </c>
      <c r="AP7" s="8">
        <v>1</v>
      </c>
      <c r="AQ7" s="8">
        <v>1</v>
      </c>
      <c r="AR7" s="8">
        <v>0</v>
      </c>
      <c r="AS7" s="8">
        <v>0</v>
      </c>
      <c r="AT7" s="8">
        <v>1</v>
      </c>
      <c r="AU7" s="8" t="s">
        <v>254</v>
      </c>
      <c r="AV7" s="8" t="s">
        <v>31</v>
      </c>
      <c r="AW7" s="8">
        <v>0</v>
      </c>
      <c r="AX7" s="8">
        <v>1</v>
      </c>
      <c r="AY7" s="8">
        <v>1</v>
      </c>
      <c r="AZ7" s="8">
        <v>1</v>
      </c>
      <c r="BA7" s="8">
        <v>0</v>
      </c>
      <c r="BB7" s="8">
        <v>0</v>
      </c>
      <c r="BC7" s="8" t="s">
        <v>19</v>
      </c>
      <c r="BD7" s="8" t="str">
        <f>LEFT(Gesamtueberblick!$BC7,4)</f>
        <v>2010</v>
      </c>
      <c r="BE7" s="8">
        <v>1</v>
      </c>
      <c r="BF7" s="8">
        <v>0</v>
      </c>
      <c r="BG7" s="8">
        <v>1</v>
      </c>
      <c r="BH7" s="8">
        <v>1</v>
      </c>
      <c r="BI7" s="10">
        <v>3.54</v>
      </c>
      <c r="BJ7" s="10">
        <v>0.81</v>
      </c>
      <c r="BK7" s="10">
        <v>3.12</v>
      </c>
      <c r="BL7" s="10">
        <v>0.42</v>
      </c>
      <c r="BM7" s="10">
        <v>0.48</v>
      </c>
      <c r="BN7" s="10">
        <v>0.32800000000000001</v>
      </c>
      <c r="BO7" s="10">
        <v>4.2329999999999997</v>
      </c>
      <c r="BP7" s="10">
        <v>18.530999999999999</v>
      </c>
      <c r="BQ7" s="10"/>
      <c r="BR7" s="10"/>
      <c r="BS7" s="10">
        <v>8.4</v>
      </c>
      <c r="BT7" s="10">
        <v>98.2</v>
      </c>
      <c r="BU7" s="10"/>
      <c r="BV7" s="10"/>
      <c r="BW7" s="93">
        <v>1</v>
      </c>
      <c r="BX7" s="93">
        <v>1</v>
      </c>
      <c r="BY7" s="93">
        <v>1</v>
      </c>
      <c r="BZ7" s="93">
        <v>1</v>
      </c>
      <c r="CA7" s="93">
        <v>1</v>
      </c>
      <c r="CB7" s="93">
        <v>1</v>
      </c>
      <c r="CC7" s="8" t="s">
        <v>1422</v>
      </c>
      <c r="CD7" s="8" t="s">
        <v>267</v>
      </c>
      <c r="CE7" s="8">
        <v>0</v>
      </c>
      <c r="CF7" s="8">
        <v>1</v>
      </c>
      <c r="CG7" s="8">
        <v>1</v>
      </c>
      <c r="CH7" s="8">
        <v>1</v>
      </c>
      <c r="CI7" s="8">
        <v>1</v>
      </c>
      <c r="CJ7" s="8">
        <v>1</v>
      </c>
    </row>
    <row r="8" spans="1:88" s="11" customFormat="1" ht="153" x14ac:dyDescent="0.25">
      <c r="A8" s="18" t="s">
        <v>355</v>
      </c>
      <c r="B8" s="18" t="s">
        <v>1672</v>
      </c>
      <c r="C8" s="17" t="s">
        <v>356</v>
      </c>
      <c r="D8" s="17" t="s">
        <v>62</v>
      </c>
      <c r="E8" s="8" t="s">
        <v>357</v>
      </c>
      <c r="F8" s="8" t="s">
        <v>0</v>
      </c>
      <c r="G8" s="17" t="s">
        <v>359</v>
      </c>
      <c r="H8" s="8">
        <v>1</v>
      </c>
      <c r="I8" s="8">
        <v>1</v>
      </c>
      <c r="J8" s="17">
        <v>0</v>
      </c>
      <c r="K8" s="17">
        <v>1</v>
      </c>
      <c r="L8" s="17">
        <v>0</v>
      </c>
      <c r="M8" s="17">
        <v>0.5</v>
      </c>
      <c r="N8" s="17" t="s">
        <v>358</v>
      </c>
      <c r="O8" s="19" t="s">
        <v>360</v>
      </c>
      <c r="P8" s="17" t="s">
        <v>361</v>
      </c>
      <c r="Q8" s="19" t="s">
        <v>1387</v>
      </c>
      <c r="R8" s="17">
        <v>1</v>
      </c>
      <c r="S8" s="17">
        <v>0</v>
      </c>
      <c r="T8" s="17">
        <v>0</v>
      </c>
      <c r="U8" s="17">
        <v>0</v>
      </c>
      <c r="V8" s="17">
        <v>0</v>
      </c>
      <c r="W8" s="17">
        <v>1</v>
      </c>
      <c r="X8" s="17">
        <v>0</v>
      </c>
      <c r="Y8" s="8" t="s">
        <v>154</v>
      </c>
      <c r="Z8" s="17" t="s">
        <v>1380</v>
      </c>
      <c r="AA8" s="8" t="s">
        <v>109</v>
      </c>
      <c r="AB8" s="17" t="s">
        <v>363</v>
      </c>
      <c r="AC8" s="17"/>
      <c r="AD8" s="17" t="s">
        <v>364</v>
      </c>
      <c r="AE8" s="17" t="s">
        <v>438</v>
      </c>
      <c r="AF8" s="17" t="s">
        <v>436</v>
      </c>
      <c r="AG8" s="17" t="s">
        <v>365</v>
      </c>
      <c r="AH8" s="17">
        <f>IF(Ueberblick[[#This Row],[Branchen, Produktionsprozesse Haushalte]]&lt;&gt;"",1,0)</f>
        <v>1</v>
      </c>
      <c r="AI8" s="17">
        <f>IF(Ueberblick[[#This Row],[Querschnittstechnologien im GHD-Sektor]]&lt;&gt;"",1,0)</f>
        <v>1</v>
      </c>
      <c r="AJ8" s="17">
        <f>IF(OR(Ueberblick[[#This Row],[Branchen, Produktionsprozesse Industrie]]&lt;&gt;"",Ueberblick[[#This Row],[Querschnittstechnologien Industrie]]&lt;&gt;""),1,0)</f>
        <v>1</v>
      </c>
      <c r="AK8" s="19" t="s">
        <v>366</v>
      </c>
      <c r="AL8" s="17">
        <v>1</v>
      </c>
      <c r="AM8" s="17">
        <v>1</v>
      </c>
      <c r="AN8" s="17">
        <v>1</v>
      </c>
      <c r="AO8" s="17">
        <v>0</v>
      </c>
      <c r="AP8" s="17">
        <v>1</v>
      </c>
      <c r="AQ8" s="17">
        <v>0</v>
      </c>
      <c r="AR8" s="17">
        <v>0</v>
      </c>
      <c r="AS8" s="17">
        <v>0</v>
      </c>
      <c r="AT8" s="17">
        <v>0</v>
      </c>
      <c r="AU8" s="17" t="s">
        <v>367</v>
      </c>
      <c r="AV8" s="17" t="s">
        <v>33</v>
      </c>
      <c r="AW8" s="17">
        <v>0</v>
      </c>
      <c r="AX8" s="17">
        <v>1</v>
      </c>
      <c r="AY8" s="17">
        <v>0</v>
      </c>
      <c r="AZ8" s="17">
        <v>0</v>
      </c>
      <c r="BA8" s="17">
        <v>0</v>
      </c>
      <c r="BB8" s="17">
        <v>0</v>
      </c>
      <c r="BC8" s="17" t="s">
        <v>368</v>
      </c>
      <c r="BD8" s="8" t="str">
        <f>LEFT(Gesamtueberblick!$BC8,4)</f>
        <v>2020</v>
      </c>
      <c r="BE8" s="17">
        <v>1</v>
      </c>
      <c r="BF8" s="8">
        <v>0</v>
      </c>
      <c r="BG8" s="17">
        <v>1</v>
      </c>
      <c r="BH8" s="17">
        <v>0</v>
      </c>
      <c r="BI8" s="20"/>
      <c r="BJ8" s="20"/>
      <c r="BK8" s="20"/>
      <c r="BL8" s="20"/>
      <c r="BM8" s="20"/>
      <c r="BN8" s="20"/>
      <c r="BO8" s="20"/>
      <c r="BP8" s="20"/>
      <c r="BQ8" s="20"/>
      <c r="BR8" s="20"/>
      <c r="BS8" s="20"/>
      <c r="BT8" s="20"/>
      <c r="BU8" s="20"/>
      <c r="BV8" s="20"/>
      <c r="BW8" s="94"/>
      <c r="BX8" s="94"/>
      <c r="BY8" s="94"/>
      <c r="BZ8" s="94"/>
      <c r="CA8" s="94"/>
      <c r="CB8" s="94"/>
      <c r="CC8" s="17" t="s">
        <v>1423</v>
      </c>
      <c r="CD8" s="17" t="s">
        <v>369</v>
      </c>
      <c r="CE8" s="17">
        <v>0</v>
      </c>
      <c r="CF8" s="17">
        <v>0</v>
      </c>
      <c r="CG8" s="17">
        <v>0</v>
      </c>
      <c r="CH8" s="17">
        <v>0</v>
      </c>
      <c r="CI8" s="17">
        <v>0</v>
      </c>
      <c r="CJ8" s="17">
        <v>0</v>
      </c>
    </row>
    <row r="9" spans="1:88" ht="63.75" x14ac:dyDescent="0.25">
      <c r="A9" s="18" t="s">
        <v>431</v>
      </c>
      <c r="B9" s="18" t="s">
        <v>1673</v>
      </c>
      <c r="C9" s="17" t="s">
        <v>413</v>
      </c>
      <c r="D9" s="17" t="s">
        <v>415</v>
      </c>
      <c r="E9" s="8" t="s">
        <v>131</v>
      </c>
      <c r="F9" s="8" t="s">
        <v>414</v>
      </c>
      <c r="G9" s="17" t="s">
        <v>416</v>
      </c>
      <c r="H9" s="8">
        <v>1</v>
      </c>
      <c r="I9" s="8">
        <v>1</v>
      </c>
      <c r="J9" s="17">
        <v>0</v>
      </c>
      <c r="K9" s="17">
        <v>0</v>
      </c>
      <c r="L9" s="17">
        <v>0</v>
      </c>
      <c r="M9" s="17">
        <v>1</v>
      </c>
      <c r="N9" s="17" t="s">
        <v>417</v>
      </c>
      <c r="O9" s="19" t="s">
        <v>418</v>
      </c>
      <c r="P9" s="17" t="s">
        <v>419</v>
      </c>
      <c r="Q9" s="19" t="s">
        <v>420</v>
      </c>
      <c r="R9" s="17">
        <v>1</v>
      </c>
      <c r="S9" s="17">
        <v>0</v>
      </c>
      <c r="T9" s="17">
        <v>0</v>
      </c>
      <c r="U9" s="17">
        <v>0</v>
      </c>
      <c r="V9" s="17">
        <v>0</v>
      </c>
      <c r="W9" s="17">
        <v>1</v>
      </c>
      <c r="X9" s="17">
        <v>0</v>
      </c>
      <c r="Y9" s="17" t="s">
        <v>421</v>
      </c>
      <c r="Z9" s="17" t="s">
        <v>1379</v>
      </c>
      <c r="AA9" s="8" t="s">
        <v>110</v>
      </c>
      <c r="AB9" s="17" t="s">
        <v>422</v>
      </c>
      <c r="AC9" s="17" t="s">
        <v>423</v>
      </c>
      <c r="AD9" s="17" t="s">
        <v>424</v>
      </c>
      <c r="AE9" s="17" t="s">
        <v>425</v>
      </c>
      <c r="AF9" s="17"/>
      <c r="AG9" s="17" t="s">
        <v>419</v>
      </c>
      <c r="AH9" s="17">
        <f>IF(Ueberblick[[#This Row],[Branchen, Produktionsprozesse Haushalte]]&lt;&gt;"",1,0)</f>
        <v>1</v>
      </c>
      <c r="AI9" s="17">
        <f>IF(Ueberblick[[#This Row],[Querschnittstechnologien im GHD-Sektor]]&lt;&gt;"",1,0)</f>
        <v>1</v>
      </c>
      <c r="AJ9" s="17">
        <f>IF(OR(Ueberblick[[#This Row],[Branchen, Produktionsprozesse Industrie]]&lt;&gt;"",Ueberblick[[#This Row],[Querschnittstechnologien Industrie]]&lt;&gt;""),1,0)</f>
        <v>1</v>
      </c>
      <c r="AK9" s="19" t="s">
        <v>426</v>
      </c>
      <c r="AL9" s="17">
        <v>1</v>
      </c>
      <c r="AM9" s="17">
        <v>1</v>
      </c>
      <c r="AN9" s="17">
        <v>1</v>
      </c>
      <c r="AO9" s="17">
        <v>0</v>
      </c>
      <c r="AP9" s="17">
        <v>1</v>
      </c>
      <c r="AQ9" s="17">
        <v>0.5</v>
      </c>
      <c r="AR9" s="17">
        <v>0</v>
      </c>
      <c r="AS9" s="17">
        <v>0</v>
      </c>
      <c r="AT9" s="17">
        <v>0.5</v>
      </c>
      <c r="AU9" s="17" t="s">
        <v>427</v>
      </c>
      <c r="AV9" s="17" t="s">
        <v>428</v>
      </c>
      <c r="AW9" s="17">
        <v>0</v>
      </c>
      <c r="AX9" s="17">
        <v>1</v>
      </c>
      <c r="AY9" s="17">
        <v>0</v>
      </c>
      <c r="AZ9" s="17">
        <v>1</v>
      </c>
      <c r="BA9" s="17">
        <v>0</v>
      </c>
      <c r="BB9" s="17">
        <v>0</v>
      </c>
      <c r="BC9" s="17" t="s">
        <v>432</v>
      </c>
      <c r="BD9" s="8" t="str">
        <f>LEFT(Gesamtueberblick!$BC9,4)</f>
        <v>2013</v>
      </c>
      <c r="BE9" s="17">
        <v>1</v>
      </c>
      <c r="BF9" s="8">
        <v>0</v>
      </c>
      <c r="BG9" s="17">
        <v>0</v>
      </c>
      <c r="BH9" s="17">
        <v>0</v>
      </c>
      <c r="BI9" s="20">
        <v>1.6</v>
      </c>
      <c r="BJ9" s="20">
        <v>0.85</v>
      </c>
      <c r="BK9" s="20"/>
      <c r="BL9" s="20"/>
      <c r="BM9" s="20"/>
      <c r="BN9" s="20"/>
      <c r="BO9" s="20">
        <v>1.7</v>
      </c>
      <c r="BP9" s="20">
        <v>4</v>
      </c>
      <c r="BQ9" s="20"/>
      <c r="BR9" s="20"/>
      <c r="BS9" s="20">
        <v>3.1</v>
      </c>
      <c r="BT9" s="20">
        <v>11.7</v>
      </c>
      <c r="BU9" s="20"/>
      <c r="BV9" s="20"/>
      <c r="BW9" s="94"/>
      <c r="BX9" s="94"/>
      <c r="BY9" s="94"/>
      <c r="BZ9" s="94">
        <v>1</v>
      </c>
      <c r="CA9" s="94"/>
      <c r="CB9" s="94">
        <v>1</v>
      </c>
      <c r="CC9" s="17" t="s">
        <v>429</v>
      </c>
      <c r="CD9" s="17" t="s">
        <v>430</v>
      </c>
      <c r="CE9" s="17">
        <v>0</v>
      </c>
      <c r="CF9" s="17">
        <v>0</v>
      </c>
      <c r="CG9" s="17">
        <v>0</v>
      </c>
      <c r="CH9" s="17">
        <v>0</v>
      </c>
      <c r="CI9" s="17">
        <v>0</v>
      </c>
      <c r="CJ9" s="17">
        <v>0</v>
      </c>
    </row>
    <row r="10" spans="1:88" ht="242.25" x14ac:dyDescent="0.25">
      <c r="A10" s="6" t="s">
        <v>410</v>
      </c>
      <c r="B10" s="6" t="s">
        <v>1674</v>
      </c>
      <c r="C10" s="8" t="s">
        <v>346</v>
      </c>
      <c r="D10" s="8" t="s">
        <v>62</v>
      </c>
      <c r="E10" s="8" t="s">
        <v>131</v>
      </c>
      <c r="F10" s="8" t="s">
        <v>59</v>
      </c>
      <c r="G10" s="8" t="s">
        <v>283</v>
      </c>
      <c r="H10" s="8">
        <v>1</v>
      </c>
      <c r="I10" s="8">
        <v>1</v>
      </c>
      <c r="J10" s="8">
        <v>1</v>
      </c>
      <c r="K10" s="8">
        <v>0</v>
      </c>
      <c r="L10" s="8">
        <v>0</v>
      </c>
      <c r="M10" s="8">
        <v>1</v>
      </c>
      <c r="N10" s="8" t="s">
        <v>284</v>
      </c>
      <c r="O10" s="9" t="s">
        <v>282</v>
      </c>
      <c r="P10" s="8" t="s">
        <v>284</v>
      </c>
      <c r="Q10" s="9" t="s">
        <v>281</v>
      </c>
      <c r="R10" s="8">
        <v>1</v>
      </c>
      <c r="S10" s="8">
        <v>1</v>
      </c>
      <c r="T10" s="8">
        <v>1</v>
      </c>
      <c r="U10" s="8">
        <v>0</v>
      </c>
      <c r="V10" s="8">
        <v>1</v>
      </c>
      <c r="W10" s="8">
        <v>1</v>
      </c>
      <c r="X10" s="8">
        <v>1</v>
      </c>
      <c r="Y10" s="8" t="s">
        <v>280</v>
      </c>
      <c r="Z10" s="8" t="s">
        <v>1381</v>
      </c>
      <c r="AA10" s="8" t="s">
        <v>109</v>
      </c>
      <c r="AB10" s="8" t="s">
        <v>30</v>
      </c>
      <c r="AC10" s="8" t="s">
        <v>1158</v>
      </c>
      <c r="AD10" s="8"/>
      <c r="AE10" s="8"/>
      <c r="AF10" s="8"/>
      <c r="AG10" s="8"/>
      <c r="AH10" s="8">
        <f>IF(Ueberblick[[#This Row],[Branchen, Produktionsprozesse Haushalte]]&lt;&gt;"",1,0)</f>
        <v>0</v>
      </c>
      <c r="AI10" s="8">
        <f>IF(Ueberblick[[#This Row],[Querschnittstechnologien im GHD-Sektor]]&lt;&gt;"",1,0)</f>
        <v>0</v>
      </c>
      <c r="AJ10" s="8">
        <f>IF(OR(Ueberblick[[#This Row],[Branchen, Produktionsprozesse Industrie]]&lt;&gt;"",Ueberblick[[#This Row],[Querschnittstechnologien Industrie]]&lt;&gt;""),1,0)</f>
        <v>1</v>
      </c>
      <c r="AK10" s="8" t="s">
        <v>27</v>
      </c>
      <c r="AL10" s="8">
        <v>1</v>
      </c>
      <c r="AM10" s="8">
        <v>1</v>
      </c>
      <c r="AN10" s="8">
        <v>1</v>
      </c>
      <c r="AO10" s="8">
        <v>1</v>
      </c>
      <c r="AP10" s="8">
        <v>1</v>
      </c>
      <c r="AQ10" s="8">
        <v>1</v>
      </c>
      <c r="AR10" s="8">
        <v>1</v>
      </c>
      <c r="AS10" s="8">
        <v>1</v>
      </c>
      <c r="AT10" s="8">
        <v>1</v>
      </c>
      <c r="AU10" s="8" t="s">
        <v>286</v>
      </c>
      <c r="AV10" s="8" t="s">
        <v>274</v>
      </c>
      <c r="AW10" s="8">
        <v>0</v>
      </c>
      <c r="AX10" s="8">
        <v>1</v>
      </c>
      <c r="AY10" s="8">
        <v>0</v>
      </c>
      <c r="AZ10" s="8">
        <v>0</v>
      </c>
      <c r="BA10" s="8">
        <v>0</v>
      </c>
      <c r="BB10" s="8">
        <v>0</v>
      </c>
      <c r="BC10" s="8" t="s">
        <v>28</v>
      </c>
      <c r="BD10" s="8" t="str">
        <f>LEFT(Gesamtueberblick!$BC10,4)</f>
        <v>2012</v>
      </c>
      <c r="BE10" s="8">
        <v>1</v>
      </c>
      <c r="BF10" s="8">
        <v>1</v>
      </c>
      <c r="BG10" s="8">
        <v>1</v>
      </c>
      <c r="BH10" s="8">
        <v>0</v>
      </c>
      <c r="BI10" s="10" t="s">
        <v>4</v>
      </c>
      <c r="BJ10" s="10"/>
      <c r="BK10" s="10">
        <v>2.4</v>
      </c>
      <c r="BL10" s="10">
        <v>0.53</v>
      </c>
      <c r="BM10" s="10"/>
      <c r="BN10" s="10"/>
      <c r="BO10" s="10"/>
      <c r="BP10" s="10"/>
      <c r="BQ10" s="10"/>
      <c r="BR10" s="10"/>
      <c r="BS10" s="10"/>
      <c r="BT10" s="10"/>
      <c r="BU10" s="10"/>
      <c r="BV10" s="10"/>
      <c r="BW10" s="93">
        <v>1</v>
      </c>
      <c r="BX10" s="93">
        <v>1</v>
      </c>
      <c r="BY10" s="93">
        <v>1</v>
      </c>
      <c r="BZ10" s="93"/>
      <c r="CA10" s="93">
        <v>0.5</v>
      </c>
      <c r="CB10" s="93"/>
      <c r="CC10" s="8" t="s">
        <v>1424</v>
      </c>
      <c r="CD10" s="8" t="s">
        <v>315</v>
      </c>
      <c r="CE10" s="8">
        <v>0</v>
      </c>
      <c r="CF10" s="8">
        <v>0</v>
      </c>
      <c r="CG10" s="8">
        <v>1</v>
      </c>
      <c r="CH10" s="8">
        <v>0</v>
      </c>
      <c r="CI10" s="8">
        <v>0</v>
      </c>
      <c r="CJ10" s="8">
        <v>1</v>
      </c>
    </row>
    <row r="11" spans="1:88" s="11" customFormat="1" ht="102" x14ac:dyDescent="0.25">
      <c r="A11" s="6" t="s">
        <v>393</v>
      </c>
      <c r="B11" s="6" t="s">
        <v>1675</v>
      </c>
      <c r="C11" s="8" t="s">
        <v>394</v>
      </c>
      <c r="D11" s="8" t="s">
        <v>61</v>
      </c>
      <c r="E11" s="8" t="s">
        <v>131</v>
      </c>
      <c r="F11" s="8" t="s">
        <v>59</v>
      </c>
      <c r="G11" s="8" t="s">
        <v>408</v>
      </c>
      <c r="H11" s="8">
        <v>1</v>
      </c>
      <c r="I11" s="8">
        <v>1</v>
      </c>
      <c r="J11" s="8">
        <v>0</v>
      </c>
      <c r="K11" s="8">
        <v>1</v>
      </c>
      <c r="L11" s="8">
        <v>0</v>
      </c>
      <c r="M11" s="8">
        <v>1</v>
      </c>
      <c r="N11" s="8" t="s">
        <v>395</v>
      </c>
      <c r="O11" s="9" t="s">
        <v>406</v>
      </c>
      <c r="P11" s="8" t="s">
        <v>396</v>
      </c>
      <c r="Q11" s="9" t="s">
        <v>407</v>
      </c>
      <c r="R11" s="8">
        <v>1</v>
      </c>
      <c r="S11" s="8">
        <v>1</v>
      </c>
      <c r="T11" s="8">
        <v>0</v>
      </c>
      <c r="U11" s="8">
        <v>0</v>
      </c>
      <c r="V11" s="8">
        <v>0.5</v>
      </c>
      <c r="W11" s="8">
        <v>1</v>
      </c>
      <c r="X11" s="8">
        <v>0</v>
      </c>
      <c r="Y11" s="8" t="s">
        <v>397</v>
      </c>
      <c r="Z11" s="8" t="s">
        <v>398</v>
      </c>
      <c r="AA11" s="8" t="s">
        <v>110</v>
      </c>
      <c r="AB11" s="8" t="s">
        <v>399</v>
      </c>
      <c r="AC11" s="8"/>
      <c r="AD11" s="8" t="s">
        <v>400</v>
      </c>
      <c r="AE11" s="8" t="s">
        <v>401</v>
      </c>
      <c r="AF11" s="8"/>
      <c r="AG11" s="8" t="s">
        <v>402</v>
      </c>
      <c r="AH11" s="8">
        <f>IF(Ueberblick[[#This Row],[Branchen, Produktionsprozesse Haushalte]]&lt;&gt;"",1,0)</f>
        <v>1</v>
      </c>
      <c r="AI11" s="8">
        <f>IF(Ueberblick[[#This Row],[Querschnittstechnologien im GHD-Sektor]]&lt;&gt;"",1,0)</f>
        <v>1</v>
      </c>
      <c r="AJ11" s="8">
        <f>IF(OR(Ueberblick[[#This Row],[Branchen, Produktionsprozesse Industrie]]&lt;&gt;"",Ueberblick[[#This Row],[Querschnittstechnologien Industrie]]&lt;&gt;""),1,0)</f>
        <v>1</v>
      </c>
      <c r="AK11" s="8" t="s">
        <v>403</v>
      </c>
      <c r="AL11" s="8">
        <v>0</v>
      </c>
      <c r="AM11" s="8">
        <v>1</v>
      </c>
      <c r="AN11" s="8">
        <v>1</v>
      </c>
      <c r="AO11" s="8">
        <v>0</v>
      </c>
      <c r="AP11" s="8">
        <v>0</v>
      </c>
      <c r="AQ11" s="8">
        <v>0</v>
      </c>
      <c r="AR11" s="8">
        <v>1</v>
      </c>
      <c r="AS11" s="8">
        <v>1</v>
      </c>
      <c r="AT11" s="8">
        <v>1</v>
      </c>
      <c r="AU11" s="8" t="s">
        <v>398</v>
      </c>
      <c r="AV11" s="8" t="s">
        <v>404</v>
      </c>
      <c r="AW11" s="8">
        <v>0</v>
      </c>
      <c r="AX11" s="8">
        <v>1</v>
      </c>
      <c r="AY11" s="8">
        <v>0.5</v>
      </c>
      <c r="AZ11" s="8">
        <v>1</v>
      </c>
      <c r="BA11" s="8">
        <v>0</v>
      </c>
      <c r="BB11" s="8">
        <v>0</v>
      </c>
      <c r="BC11" s="8" t="s">
        <v>405</v>
      </c>
      <c r="BD11" s="8" t="str">
        <f>LEFT(Gesamtueberblick!$BC11,4)</f>
        <v>2015</v>
      </c>
      <c r="BE11" s="8">
        <v>0</v>
      </c>
      <c r="BF11" s="8">
        <v>1</v>
      </c>
      <c r="BG11" s="8">
        <v>0</v>
      </c>
      <c r="BH11" s="8">
        <v>1</v>
      </c>
      <c r="BI11" s="10"/>
      <c r="BJ11" s="10"/>
      <c r="BK11" s="10"/>
      <c r="BL11" s="10"/>
      <c r="BM11" s="10"/>
      <c r="BN11" s="10"/>
      <c r="BO11" s="10"/>
      <c r="BP11" s="10"/>
      <c r="BQ11" s="10"/>
      <c r="BR11" s="10"/>
      <c r="BS11" s="10"/>
      <c r="BT11" s="10"/>
      <c r="BU11" s="10"/>
      <c r="BV11" s="10"/>
      <c r="BW11" s="93"/>
      <c r="BX11" s="93">
        <v>1</v>
      </c>
      <c r="BY11" s="93"/>
      <c r="BZ11" s="93">
        <v>1</v>
      </c>
      <c r="CA11" s="93">
        <v>1</v>
      </c>
      <c r="CB11" s="93">
        <v>0.5</v>
      </c>
      <c r="CC11" s="8" t="s">
        <v>1425</v>
      </c>
      <c r="CD11" s="8" t="s">
        <v>1426</v>
      </c>
      <c r="CE11" s="8">
        <v>0</v>
      </c>
      <c r="CF11" s="8">
        <v>0</v>
      </c>
      <c r="CG11" s="8">
        <v>0</v>
      </c>
      <c r="CH11" s="8">
        <v>0</v>
      </c>
      <c r="CI11" s="8">
        <v>0</v>
      </c>
      <c r="CJ11" s="8">
        <v>0</v>
      </c>
    </row>
    <row r="12" spans="1:88" s="11" customFormat="1" ht="51" x14ac:dyDescent="0.25">
      <c r="A12" s="21" t="s">
        <v>380</v>
      </c>
      <c r="B12" s="6" t="s">
        <v>1676</v>
      </c>
      <c r="C12" s="22" t="s">
        <v>381</v>
      </c>
      <c r="D12" s="22" t="s">
        <v>382</v>
      </c>
      <c r="E12" s="8" t="s">
        <v>244</v>
      </c>
      <c r="F12" s="8" t="s">
        <v>0</v>
      </c>
      <c r="G12" s="22" t="s">
        <v>387</v>
      </c>
      <c r="H12" s="8">
        <v>1</v>
      </c>
      <c r="I12" s="8">
        <v>1</v>
      </c>
      <c r="J12" s="22">
        <v>0</v>
      </c>
      <c r="K12" s="22">
        <v>1</v>
      </c>
      <c r="L12" s="22">
        <v>0</v>
      </c>
      <c r="M12" s="22">
        <v>1</v>
      </c>
      <c r="N12" s="23" t="s">
        <v>383</v>
      </c>
      <c r="O12" s="24" t="s">
        <v>384</v>
      </c>
      <c r="P12" s="22" t="s">
        <v>385</v>
      </c>
      <c r="Q12" s="9" t="s">
        <v>386</v>
      </c>
      <c r="R12" s="22">
        <v>1</v>
      </c>
      <c r="S12" s="22">
        <v>0</v>
      </c>
      <c r="T12" s="22">
        <v>1</v>
      </c>
      <c r="U12" s="22">
        <v>0</v>
      </c>
      <c r="V12" s="22">
        <v>0</v>
      </c>
      <c r="W12" s="22">
        <v>1</v>
      </c>
      <c r="X12" s="22">
        <v>0</v>
      </c>
      <c r="Y12" s="22" t="s">
        <v>390</v>
      </c>
      <c r="Z12" s="22" t="s">
        <v>391</v>
      </c>
      <c r="AA12" s="8" t="s">
        <v>110</v>
      </c>
      <c r="AB12" s="22"/>
      <c r="AC12" s="22" t="s">
        <v>389</v>
      </c>
      <c r="AD12" s="22"/>
      <c r="AE12" s="8" t="s">
        <v>440</v>
      </c>
      <c r="AF12" s="8" t="s">
        <v>437</v>
      </c>
      <c r="AG12" s="22" t="s">
        <v>385</v>
      </c>
      <c r="AH12" s="22">
        <f>IF(Ueberblick[[#This Row],[Branchen, Produktionsprozesse Haushalte]]&lt;&gt;"",1,0)</f>
        <v>1</v>
      </c>
      <c r="AI12" s="22">
        <f>IF(Ueberblick[[#This Row],[Querschnittstechnologien im GHD-Sektor]]&lt;&gt;"",1,0)</f>
        <v>0</v>
      </c>
      <c r="AJ12" s="22">
        <f>IF(OR(Ueberblick[[#This Row],[Branchen, Produktionsprozesse Industrie]]&lt;&gt;"",Ueberblick[[#This Row],[Querschnittstechnologien Industrie]]&lt;&gt;""),1,0)</f>
        <v>1</v>
      </c>
      <c r="AK12" s="22" t="s">
        <v>392</v>
      </c>
      <c r="AL12" s="22">
        <v>0</v>
      </c>
      <c r="AM12" s="22">
        <v>1</v>
      </c>
      <c r="AN12" s="22">
        <v>1</v>
      </c>
      <c r="AO12" s="22">
        <v>0</v>
      </c>
      <c r="AP12" s="22">
        <v>1</v>
      </c>
      <c r="AQ12" s="22">
        <v>1</v>
      </c>
      <c r="AR12" s="22">
        <v>1</v>
      </c>
      <c r="AS12" s="22">
        <v>1</v>
      </c>
      <c r="AT12" s="22">
        <v>1</v>
      </c>
      <c r="AU12" s="22" t="s">
        <v>385</v>
      </c>
      <c r="AV12" s="22" t="s">
        <v>33</v>
      </c>
      <c r="AW12" s="22">
        <v>0</v>
      </c>
      <c r="AX12" s="22">
        <v>1</v>
      </c>
      <c r="AY12" s="22">
        <v>0</v>
      </c>
      <c r="AZ12" s="22">
        <v>0</v>
      </c>
      <c r="BA12" s="22">
        <v>0</v>
      </c>
      <c r="BB12" s="22">
        <v>0</v>
      </c>
      <c r="BC12" s="22" t="s">
        <v>248</v>
      </c>
      <c r="BD12" s="8" t="str">
        <f>LEFT(Gesamtueberblick!$BC12,4)</f>
        <v>2013</v>
      </c>
      <c r="BE12" s="22">
        <v>0</v>
      </c>
      <c r="BF12" s="8">
        <v>0.5</v>
      </c>
      <c r="BG12" s="22">
        <v>0</v>
      </c>
      <c r="BH12" s="22">
        <v>1</v>
      </c>
      <c r="BI12" s="25"/>
      <c r="BJ12" s="25"/>
      <c r="BK12" s="25"/>
      <c r="BL12" s="25"/>
      <c r="BM12" s="25"/>
      <c r="BN12" s="25"/>
      <c r="BO12" s="25"/>
      <c r="BP12" s="25"/>
      <c r="BQ12" s="25"/>
      <c r="BR12" s="25"/>
      <c r="BS12" s="25"/>
      <c r="BT12" s="25"/>
      <c r="BU12" s="25"/>
      <c r="BV12" s="25"/>
      <c r="BW12" s="95">
        <v>1</v>
      </c>
      <c r="BX12" s="93">
        <v>0.5</v>
      </c>
      <c r="BY12" s="95"/>
      <c r="BZ12" s="95"/>
      <c r="CA12" s="95"/>
      <c r="CB12" s="95"/>
      <c r="CC12" s="22"/>
      <c r="CD12" s="22" t="s">
        <v>388</v>
      </c>
      <c r="CE12" s="22">
        <v>0</v>
      </c>
      <c r="CF12" s="22">
        <v>0</v>
      </c>
      <c r="CG12" s="22">
        <v>0</v>
      </c>
      <c r="CH12" s="8">
        <v>0</v>
      </c>
      <c r="CI12" s="8">
        <v>0</v>
      </c>
      <c r="CJ12" s="8">
        <v>0</v>
      </c>
    </row>
    <row r="13" spans="1:88" ht="204" x14ac:dyDescent="0.25">
      <c r="A13" s="6" t="s">
        <v>95</v>
      </c>
      <c r="B13" s="6" t="s">
        <v>1677</v>
      </c>
      <c r="C13" s="8" t="s">
        <v>32</v>
      </c>
      <c r="D13" s="8" t="s">
        <v>70</v>
      </c>
      <c r="E13" s="8" t="s">
        <v>131</v>
      </c>
      <c r="F13" s="8" t="s">
        <v>59</v>
      </c>
      <c r="G13" s="8" t="s">
        <v>128</v>
      </c>
      <c r="H13" s="8">
        <v>1</v>
      </c>
      <c r="I13" s="8">
        <v>1</v>
      </c>
      <c r="J13" s="8">
        <v>1</v>
      </c>
      <c r="K13" s="8">
        <v>0</v>
      </c>
      <c r="L13" s="8">
        <v>0.5</v>
      </c>
      <c r="M13" s="8">
        <v>1</v>
      </c>
      <c r="N13" s="8" t="s">
        <v>94</v>
      </c>
      <c r="O13" s="9" t="s">
        <v>129</v>
      </c>
      <c r="P13" s="8" t="s">
        <v>117</v>
      </c>
      <c r="Q13" s="8" t="s">
        <v>123</v>
      </c>
      <c r="R13" s="8">
        <v>0.5</v>
      </c>
      <c r="S13" s="8">
        <v>1</v>
      </c>
      <c r="T13" s="8">
        <v>1</v>
      </c>
      <c r="U13" s="8">
        <v>0</v>
      </c>
      <c r="V13" s="8">
        <v>1</v>
      </c>
      <c r="W13" s="8">
        <v>1</v>
      </c>
      <c r="X13" s="8">
        <v>0</v>
      </c>
      <c r="Y13" s="8" t="s">
        <v>120</v>
      </c>
      <c r="Z13" s="8" t="s">
        <v>121</v>
      </c>
      <c r="AA13" s="8" t="s">
        <v>109</v>
      </c>
      <c r="AB13" s="8" t="s">
        <v>1156</v>
      </c>
      <c r="AC13" s="8" t="s">
        <v>174</v>
      </c>
      <c r="AD13" s="8" t="s">
        <v>150</v>
      </c>
      <c r="AE13" s="8" t="s">
        <v>151</v>
      </c>
      <c r="AF13" s="8"/>
      <c r="AG13" s="8" t="s">
        <v>121</v>
      </c>
      <c r="AH13" s="8">
        <f>IF(Ueberblick[[#This Row],[Branchen, Produktionsprozesse Haushalte]]&lt;&gt;"",1,0)</f>
        <v>1</v>
      </c>
      <c r="AI13" s="8">
        <f>IF(Ueberblick[[#This Row],[Querschnittstechnologien im GHD-Sektor]]&lt;&gt;"",1,0)</f>
        <v>1</v>
      </c>
      <c r="AJ13" s="8">
        <f>IF(OR(Ueberblick[[#This Row],[Branchen, Produktionsprozesse Industrie]]&lt;&gt;"",Ueberblick[[#This Row],[Querschnittstechnologien Industrie]]&lt;&gt;""),1,0)</f>
        <v>1</v>
      </c>
      <c r="AK13" s="8" t="s">
        <v>44</v>
      </c>
      <c r="AL13" s="8">
        <v>0.5</v>
      </c>
      <c r="AM13" s="8">
        <v>1</v>
      </c>
      <c r="AN13" s="8">
        <v>1</v>
      </c>
      <c r="AO13" s="8">
        <v>1</v>
      </c>
      <c r="AP13" s="8">
        <v>0</v>
      </c>
      <c r="AQ13" s="8">
        <v>1</v>
      </c>
      <c r="AR13" s="8">
        <v>1</v>
      </c>
      <c r="AS13" s="8">
        <v>0.5</v>
      </c>
      <c r="AT13" s="8">
        <v>0</v>
      </c>
      <c r="AU13" s="8" t="s">
        <v>121</v>
      </c>
      <c r="AV13" s="8" t="s">
        <v>231</v>
      </c>
      <c r="AW13" s="8">
        <v>0</v>
      </c>
      <c r="AX13" s="8">
        <v>1</v>
      </c>
      <c r="AY13" s="8">
        <v>0</v>
      </c>
      <c r="AZ13" s="8">
        <v>0.5</v>
      </c>
      <c r="BA13" s="8">
        <v>0</v>
      </c>
      <c r="BB13" s="8">
        <v>0</v>
      </c>
      <c r="BC13" s="8" t="s">
        <v>3</v>
      </c>
      <c r="BD13" s="8" t="str">
        <f>LEFT(Gesamtueberblick!$BC13,4)</f>
        <v>2005</v>
      </c>
      <c r="BE13" s="8">
        <v>1</v>
      </c>
      <c r="BF13" s="8">
        <v>0</v>
      </c>
      <c r="BG13" s="8">
        <v>0</v>
      </c>
      <c r="BH13" s="8">
        <v>0</v>
      </c>
      <c r="BI13" s="10">
        <v>2.8</v>
      </c>
      <c r="BJ13" s="10"/>
      <c r="BK13" s="10"/>
      <c r="BL13" s="10"/>
      <c r="BM13" s="10"/>
      <c r="BN13" s="10"/>
      <c r="BO13" s="10">
        <v>6.3</v>
      </c>
      <c r="BP13" s="10"/>
      <c r="BQ13" s="10">
        <v>3.15</v>
      </c>
      <c r="BR13" s="10"/>
      <c r="BS13" s="10">
        <v>20.585000000000001</v>
      </c>
      <c r="BT13" s="10"/>
      <c r="BU13" s="10">
        <v>3.7050000000000001</v>
      </c>
      <c r="BV13" s="10"/>
      <c r="BW13" s="93"/>
      <c r="BX13" s="93">
        <v>0.5</v>
      </c>
      <c r="BY13" s="93">
        <v>0.5</v>
      </c>
      <c r="BZ13" s="93"/>
      <c r="CA13" s="93"/>
      <c r="CB13" s="93"/>
      <c r="CC13" s="8" t="s">
        <v>40</v>
      </c>
      <c r="CD13" s="8" t="s">
        <v>1428</v>
      </c>
      <c r="CE13" s="8">
        <v>0</v>
      </c>
      <c r="CF13" s="8">
        <v>1</v>
      </c>
      <c r="CG13" s="8">
        <v>1</v>
      </c>
      <c r="CH13" s="8">
        <v>0</v>
      </c>
      <c r="CI13" s="8">
        <v>0</v>
      </c>
      <c r="CJ13" s="8">
        <v>0</v>
      </c>
    </row>
    <row r="14" spans="1:88" s="11" customFormat="1" ht="191.25" x14ac:dyDescent="0.25">
      <c r="A14" s="6" t="s">
        <v>1709</v>
      </c>
      <c r="B14" s="6" t="s">
        <v>1678</v>
      </c>
      <c r="C14" s="8" t="s">
        <v>1711</v>
      </c>
      <c r="D14" s="8" t="s">
        <v>66</v>
      </c>
      <c r="E14" s="8" t="s">
        <v>222</v>
      </c>
      <c r="F14" s="8" t="s">
        <v>1712</v>
      </c>
      <c r="G14" s="8" t="s">
        <v>1713</v>
      </c>
      <c r="H14" s="8">
        <v>1</v>
      </c>
      <c r="I14" s="8">
        <v>1</v>
      </c>
      <c r="J14" s="8">
        <v>0</v>
      </c>
      <c r="K14" s="8">
        <v>0</v>
      </c>
      <c r="L14" s="8">
        <v>0</v>
      </c>
      <c r="M14" s="8">
        <v>1</v>
      </c>
      <c r="N14" s="8" t="s">
        <v>216</v>
      </c>
      <c r="O14" s="9" t="s">
        <v>211</v>
      </c>
      <c r="P14" s="8" t="s">
        <v>212</v>
      </c>
      <c r="Q14" s="9" t="s">
        <v>213</v>
      </c>
      <c r="R14" s="8">
        <v>1</v>
      </c>
      <c r="S14" s="8">
        <v>1</v>
      </c>
      <c r="T14" s="8">
        <v>0</v>
      </c>
      <c r="U14" s="8">
        <v>1</v>
      </c>
      <c r="V14" s="8">
        <v>1</v>
      </c>
      <c r="W14" s="8">
        <v>1</v>
      </c>
      <c r="X14" s="8">
        <v>0</v>
      </c>
      <c r="Y14" s="8">
        <v>2013</v>
      </c>
      <c r="Z14" s="8">
        <v>22</v>
      </c>
      <c r="AA14" s="8" t="s">
        <v>214</v>
      </c>
      <c r="AB14" s="8" t="s">
        <v>43</v>
      </c>
      <c r="AC14" s="8" t="s">
        <v>14</v>
      </c>
      <c r="AD14" s="8"/>
      <c r="AE14" s="8"/>
      <c r="AF14" s="8"/>
      <c r="AG14" s="8" t="s">
        <v>216</v>
      </c>
      <c r="AH14" s="8">
        <f>IF(Ueberblick[[#This Row],[Branchen, Produktionsprozesse Haushalte]]&lt;&gt;"",1,0)</f>
        <v>0</v>
      </c>
      <c r="AI14" s="8">
        <f>IF(Ueberblick[[#This Row],[Querschnittstechnologien im GHD-Sektor]]&lt;&gt;"",1,0)</f>
        <v>0</v>
      </c>
      <c r="AJ14" s="8">
        <f>IF(OR(Ueberblick[[#This Row],[Branchen, Produktionsprozesse Industrie]]&lt;&gt;"",Ueberblick[[#This Row],[Querschnittstechnologien Industrie]]&lt;&gt;""),1,0)</f>
        <v>1</v>
      </c>
      <c r="AK14" s="8" t="s">
        <v>52</v>
      </c>
      <c r="AL14" s="8">
        <v>0.5</v>
      </c>
      <c r="AM14" s="8">
        <v>1</v>
      </c>
      <c r="AN14" s="8">
        <v>1</v>
      </c>
      <c r="AO14" s="8">
        <v>1</v>
      </c>
      <c r="AP14" s="8">
        <v>1</v>
      </c>
      <c r="AQ14" s="8">
        <v>1</v>
      </c>
      <c r="AR14" s="8">
        <v>0</v>
      </c>
      <c r="AS14" s="8">
        <v>0</v>
      </c>
      <c r="AT14" s="8">
        <v>0</v>
      </c>
      <c r="AU14" s="8" t="s">
        <v>216</v>
      </c>
      <c r="AV14" s="8" t="s">
        <v>233</v>
      </c>
      <c r="AW14" s="8">
        <v>0</v>
      </c>
      <c r="AX14" s="8">
        <v>1</v>
      </c>
      <c r="AY14" s="8">
        <v>1</v>
      </c>
      <c r="AZ14" s="8">
        <v>0.5</v>
      </c>
      <c r="BA14" s="8">
        <v>0</v>
      </c>
      <c r="BB14" s="8">
        <v>0</v>
      </c>
      <c r="BC14" s="40" t="s">
        <v>1170</v>
      </c>
      <c r="BD14" s="40" t="s">
        <v>1170</v>
      </c>
      <c r="BE14" s="8">
        <v>0</v>
      </c>
      <c r="BF14" s="8">
        <v>0</v>
      </c>
      <c r="BG14" s="8">
        <v>0</v>
      </c>
      <c r="BH14" s="8">
        <v>0</v>
      </c>
      <c r="BI14" s="10">
        <v>0.45</v>
      </c>
      <c r="BJ14" s="10"/>
      <c r="BK14" s="10"/>
      <c r="BL14" s="10"/>
      <c r="BM14" s="10"/>
      <c r="BN14" s="10"/>
      <c r="BO14" s="10"/>
      <c r="BP14" s="10"/>
      <c r="BQ14" s="10"/>
      <c r="BR14" s="10"/>
      <c r="BS14" s="10"/>
      <c r="BT14" s="10"/>
      <c r="BU14" s="10"/>
      <c r="BV14" s="10"/>
      <c r="BW14" s="93"/>
      <c r="BX14" s="93"/>
      <c r="BY14" s="93">
        <v>1</v>
      </c>
      <c r="BZ14" s="93">
        <v>1</v>
      </c>
      <c r="CA14" s="93">
        <v>0.5</v>
      </c>
      <c r="CB14" s="93"/>
      <c r="CC14" s="8" t="s">
        <v>1427</v>
      </c>
      <c r="CD14" s="8" t="s">
        <v>223</v>
      </c>
      <c r="CE14" s="8">
        <v>0</v>
      </c>
      <c r="CF14" s="8">
        <v>0</v>
      </c>
      <c r="CG14" s="8">
        <v>1</v>
      </c>
      <c r="CH14" s="8">
        <v>0</v>
      </c>
      <c r="CI14" s="8">
        <v>0</v>
      </c>
      <c r="CJ14" s="8">
        <v>0</v>
      </c>
    </row>
    <row r="15" spans="1:88" ht="76.5" x14ac:dyDescent="0.25">
      <c r="A15" s="6" t="s">
        <v>179</v>
      </c>
      <c r="B15" s="6" t="s">
        <v>1679</v>
      </c>
      <c r="C15" s="8" t="s">
        <v>180</v>
      </c>
      <c r="D15" s="8" t="s">
        <v>64</v>
      </c>
      <c r="E15" s="8" t="s">
        <v>317</v>
      </c>
      <c r="F15" s="8" t="s">
        <v>0</v>
      </c>
      <c r="G15" s="8" t="s">
        <v>318</v>
      </c>
      <c r="H15" s="8">
        <v>0</v>
      </c>
      <c r="I15" s="8">
        <v>1</v>
      </c>
      <c r="J15" s="8">
        <v>0</v>
      </c>
      <c r="K15" s="8">
        <v>0</v>
      </c>
      <c r="L15" s="8">
        <v>0</v>
      </c>
      <c r="M15" s="8">
        <v>0</v>
      </c>
      <c r="N15" s="8" t="s">
        <v>319</v>
      </c>
      <c r="O15" s="9" t="s">
        <v>320</v>
      </c>
      <c r="P15" s="8">
        <v>32</v>
      </c>
      <c r="Q15" s="8" t="s">
        <v>321</v>
      </c>
      <c r="R15" s="8">
        <v>1</v>
      </c>
      <c r="S15" s="8">
        <v>0</v>
      </c>
      <c r="T15" s="8">
        <v>0</v>
      </c>
      <c r="U15" s="8">
        <v>0</v>
      </c>
      <c r="V15" s="8">
        <v>0</v>
      </c>
      <c r="W15" s="8">
        <v>1</v>
      </c>
      <c r="X15" s="8">
        <v>0</v>
      </c>
      <c r="Y15" s="8" t="s">
        <v>334</v>
      </c>
      <c r="Z15" s="8" t="s">
        <v>322</v>
      </c>
      <c r="AA15" s="8" t="s">
        <v>158</v>
      </c>
      <c r="AB15" s="8" t="s">
        <v>323</v>
      </c>
      <c r="AC15" s="8" t="s">
        <v>323</v>
      </c>
      <c r="AD15" s="8"/>
      <c r="AE15" s="8" t="s">
        <v>324</v>
      </c>
      <c r="AF15" s="8"/>
      <c r="AG15" s="8" t="s">
        <v>322</v>
      </c>
      <c r="AH15" s="8">
        <f>IF(Ueberblick[[#This Row],[Branchen, Produktionsprozesse Haushalte]]&lt;&gt;"",1,0)</f>
        <v>1</v>
      </c>
      <c r="AI15" s="8">
        <f>IF(Ueberblick[[#This Row],[Querschnittstechnologien im GHD-Sektor]]&lt;&gt;"",1,0)</f>
        <v>0</v>
      </c>
      <c r="AJ15" s="8">
        <f>IF(OR(Ueberblick[[#This Row],[Branchen, Produktionsprozesse Industrie]]&lt;&gt;"",Ueberblick[[#This Row],[Querschnittstechnologien Industrie]]&lt;&gt;""),1,0)</f>
        <v>1</v>
      </c>
      <c r="AK15" s="8" t="s">
        <v>325</v>
      </c>
      <c r="AL15" s="8">
        <v>1</v>
      </c>
      <c r="AM15" s="8">
        <v>1</v>
      </c>
      <c r="AN15" s="8">
        <v>1</v>
      </c>
      <c r="AO15" s="8">
        <v>0</v>
      </c>
      <c r="AP15" s="8">
        <v>1</v>
      </c>
      <c r="AQ15" s="8">
        <v>0.5</v>
      </c>
      <c r="AR15" s="8">
        <v>0</v>
      </c>
      <c r="AS15" s="8">
        <v>0</v>
      </c>
      <c r="AT15" s="8">
        <v>0</v>
      </c>
      <c r="AU15" s="8" t="s">
        <v>322</v>
      </c>
      <c r="AV15" s="8" t="s">
        <v>326</v>
      </c>
      <c r="AW15" s="8">
        <v>0</v>
      </c>
      <c r="AX15" s="8">
        <v>1</v>
      </c>
      <c r="AY15" s="8">
        <v>0</v>
      </c>
      <c r="AZ15" s="8">
        <v>0</v>
      </c>
      <c r="BA15" s="8">
        <v>0</v>
      </c>
      <c r="BB15" s="8">
        <v>0</v>
      </c>
      <c r="BC15" s="8">
        <v>2010</v>
      </c>
      <c r="BD15" s="8" t="str">
        <f>LEFT(Gesamtueberblick!$BC15,4)</f>
        <v>2010</v>
      </c>
      <c r="BE15" s="8">
        <v>1</v>
      </c>
      <c r="BF15" s="8">
        <v>0</v>
      </c>
      <c r="BG15" s="8">
        <v>0</v>
      </c>
      <c r="BH15" s="8">
        <v>0</v>
      </c>
      <c r="BI15" s="10"/>
      <c r="BJ15" s="10"/>
      <c r="BK15" s="10"/>
      <c r="BL15" s="10"/>
      <c r="BM15" s="10"/>
      <c r="BN15" s="10"/>
      <c r="BO15" s="10"/>
      <c r="BP15" s="10"/>
      <c r="BQ15" s="10"/>
      <c r="BR15" s="10"/>
      <c r="BS15" s="10"/>
      <c r="BT15" s="10"/>
      <c r="BU15" s="10"/>
      <c r="BV15" s="10"/>
      <c r="BW15" s="93"/>
      <c r="BX15" s="93"/>
      <c r="BY15" s="93"/>
      <c r="BZ15" s="93"/>
      <c r="CA15" s="93"/>
      <c r="CB15" s="93"/>
      <c r="CC15" s="8" t="s">
        <v>1423</v>
      </c>
      <c r="CD15" s="8" t="s">
        <v>332</v>
      </c>
      <c r="CE15" s="8">
        <v>1</v>
      </c>
      <c r="CF15" s="8">
        <v>0</v>
      </c>
      <c r="CG15" s="8">
        <v>0</v>
      </c>
      <c r="CH15" s="8">
        <v>0</v>
      </c>
      <c r="CI15" s="8">
        <v>0</v>
      </c>
      <c r="CJ15" s="8">
        <v>0</v>
      </c>
    </row>
    <row r="16" spans="1:88" s="11" customFormat="1" ht="409.5" x14ac:dyDescent="0.25">
      <c r="A16" s="6" t="s">
        <v>341</v>
      </c>
      <c r="B16" s="6" t="s">
        <v>1680</v>
      </c>
      <c r="C16" s="8" t="s">
        <v>342</v>
      </c>
      <c r="D16" s="8" t="s">
        <v>433</v>
      </c>
      <c r="E16" s="8"/>
      <c r="F16" s="8" t="s">
        <v>59</v>
      </c>
      <c r="G16" s="8" t="s">
        <v>796</v>
      </c>
      <c r="H16" s="8">
        <v>1</v>
      </c>
      <c r="I16" s="8">
        <v>1</v>
      </c>
      <c r="J16" s="8">
        <v>0</v>
      </c>
      <c r="K16" s="8">
        <v>1</v>
      </c>
      <c r="L16" s="8">
        <v>0</v>
      </c>
      <c r="M16" s="8">
        <v>1</v>
      </c>
      <c r="N16" s="8" t="s">
        <v>797</v>
      </c>
      <c r="O16" s="9" t="s">
        <v>794</v>
      </c>
      <c r="P16" s="8" t="s">
        <v>795</v>
      </c>
      <c r="Q16" s="9" t="s">
        <v>450</v>
      </c>
      <c r="R16" s="8">
        <v>1</v>
      </c>
      <c r="S16" s="8">
        <v>1</v>
      </c>
      <c r="T16" s="8">
        <v>0</v>
      </c>
      <c r="U16" s="8">
        <v>0</v>
      </c>
      <c r="V16" s="8">
        <v>0</v>
      </c>
      <c r="W16" s="8">
        <v>1</v>
      </c>
      <c r="X16" s="8">
        <v>0</v>
      </c>
      <c r="Y16" s="9" t="s">
        <v>449</v>
      </c>
      <c r="Z16" s="8" t="s">
        <v>446</v>
      </c>
      <c r="AA16" s="8" t="s">
        <v>110</v>
      </c>
      <c r="AB16" s="8" t="s">
        <v>434</v>
      </c>
      <c r="AC16" s="8"/>
      <c r="AD16" s="8" t="s">
        <v>435</v>
      </c>
      <c r="AE16" s="8" t="s">
        <v>1167</v>
      </c>
      <c r="AF16" s="8" t="s">
        <v>441</v>
      </c>
      <c r="AG16" s="8" t="s">
        <v>442</v>
      </c>
      <c r="AH16" s="8">
        <f>IF(Ueberblick[[#This Row],[Branchen, Produktionsprozesse Haushalte]]&lt;&gt;"",1,0)</f>
        <v>1</v>
      </c>
      <c r="AI16" s="8">
        <f>IF(Ueberblick[[#This Row],[Querschnittstechnologien im GHD-Sektor]]&lt;&gt;"",1,0)</f>
        <v>1</v>
      </c>
      <c r="AJ16" s="8">
        <f>IF(OR(Ueberblick[[#This Row],[Branchen, Produktionsprozesse Industrie]]&lt;&gt;"",Ueberblick[[#This Row],[Querschnittstechnologien Industrie]]&lt;&gt;""),1,0)</f>
        <v>1</v>
      </c>
      <c r="AK16" s="8" t="s">
        <v>443</v>
      </c>
      <c r="AL16" s="8">
        <v>1</v>
      </c>
      <c r="AM16" s="8">
        <v>1</v>
      </c>
      <c r="AN16" s="8">
        <v>1</v>
      </c>
      <c r="AO16" s="8">
        <v>1</v>
      </c>
      <c r="AP16" s="8">
        <v>1</v>
      </c>
      <c r="AQ16" s="8">
        <v>1</v>
      </c>
      <c r="AR16" s="8">
        <v>1</v>
      </c>
      <c r="AS16" s="8">
        <v>1</v>
      </c>
      <c r="AT16" s="8">
        <v>1</v>
      </c>
      <c r="AU16" s="8" t="s">
        <v>444</v>
      </c>
      <c r="AV16" s="8" t="s">
        <v>447</v>
      </c>
      <c r="AW16" s="8">
        <v>1</v>
      </c>
      <c r="AX16" s="8">
        <v>1</v>
      </c>
      <c r="AY16" s="8">
        <v>0</v>
      </c>
      <c r="AZ16" s="8">
        <v>1</v>
      </c>
      <c r="BA16" s="8">
        <v>0</v>
      </c>
      <c r="BB16" s="8">
        <v>0</v>
      </c>
      <c r="BC16" s="8" t="s">
        <v>448</v>
      </c>
      <c r="BD16" s="8" t="str">
        <f>LEFT(Gesamtueberblick!$BC16,4)</f>
        <v>2013</v>
      </c>
      <c r="BE16" s="8">
        <v>0</v>
      </c>
      <c r="BF16" s="8">
        <v>0</v>
      </c>
      <c r="BG16" s="8">
        <v>1</v>
      </c>
      <c r="BH16" s="8">
        <v>1</v>
      </c>
      <c r="BI16" s="10"/>
      <c r="BJ16" s="10"/>
      <c r="BK16" s="10"/>
      <c r="BL16" s="10"/>
      <c r="BM16" s="10"/>
      <c r="BN16" s="10"/>
      <c r="BO16" s="10"/>
      <c r="BP16" s="10"/>
      <c r="BQ16" s="10"/>
      <c r="BR16" s="10"/>
      <c r="BS16" s="10"/>
      <c r="BT16" s="10"/>
      <c r="BU16" s="10"/>
      <c r="BV16" s="10"/>
      <c r="BW16" s="93">
        <v>1</v>
      </c>
      <c r="BX16" s="93">
        <v>1</v>
      </c>
      <c r="BY16" s="93">
        <v>1</v>
      </c>
      <c r="BZ16" s="93">
        <v>1</v>
      </c>
      <c r="CA16" s="93">
        <v>1</v>
      </c>
      <c r="CB16" s="93">
        <v>1</v>
      </c>
      <c r="CC16" s="8" t="s">
        <v>1429</v>
      </c>
      <c r="CD16" s="8" t="s">
        <v>445</v>
      </c>
      <c r="CE16" s="8">
        <v>0</v>
      </c>
      <c r="CF16" s="8">
        <v>0</v>
      </c>
      <c r="CG16" s="8">
        <v>0</v>
      </c>
      <c r="CH16" s="8">
        <v>1</v>
      </c>
      <c r="CI16" s="8">
        <v>1</v>
      </c>
      <c r="CJ16" s="8">
        <v>1</v>
      </c>
    </row>
    <row r="17" spans="1:88" ht="229.5" x14ac:dyDescent="0.25">
      <c r="A17" s="6" t="s">
        <v>22</v>
      </c>
      <c r="B17" s="6" t="s">
        <v>1681</v>
      </c>
      <c r="C17" s="8" t="s">
        <v>21</v>
      </c>
      <c r="D17" s="8" t="s">
        <v>830</v>
      </c>
      <c r="E17" s="8" t="s">
        <v>235</v>
      </c>
      <c r="F17" s="8" t="s">
        <v>0</v>
      </c>
      <c r="G17" s="8" t="s">
        <v>243</v>
      </c>
      <c r="H17" s="8">
        <v>1</v>
      </c>
      <c r="I17" s="8">
        <v>1</v>
      </c>
      <c r="J17" s="8">
        <v>0</v>
      </c>
      <c r="K17" s="8">
        <v>0.5</v>
      </c>
      <c r="L17" s="8">
        <v>0</v>
      </c>
      <c r="M17" s="8">
        <v>1</v>
      </c>
      <c r="N17" s="8" t="s">
        <v>239</v>
      </c>
      <c r="O17" s="9" t="s">
        <v>241</v>
      </c>
      <c r="P17" s="8" t="s">
        <v>242</v>
      </c>
      <c r="Q17" s="9" t="s">
        <v>240</v>
      </c>
      <c r="R17" s="9">
        <v>0</v>
      </c>
      <c r="S17" s="9">
        <v>0.5</v>
      </c>
      <c r="T17" s="9">
        <v>0</v>
      </c>
      <c r="U17" s="9">
        <v>0</v>
      </c>
      <c r="V17" s="9">
        <v>1</v>
      </c>
      <c r="W17" s="9">
        <v>0</v>
      </c>
      <c r="X17" s="9">
        <v>0</v>
      </c>
      <c r="Y17" s="8" t="s">
        <v>237</v>
      </c>
      <c r="Z17" s="8">
        <v>87</v>
      </c>
      <c r="AA17" s="8" t="s">
        <v>158</v>
      </c>
      <c r="AB17" s="8" t="s">
        <v>947</v>
      </c>
      <c r="AC17" s="8"/>
      <c r="AD17" s="8"/>
      <c r="AE17" s="8"/>
      <c r="AF17" s="8"/>
      <c r="AG17" s="8" t="s">
        <v>266</v>
      </c>
      <c r="AH17" s="8">
        <f>IF(Ueberblick[[#This Row],[Branchen, Produktionsprozesse Haushalte]]&lt;&gt;"",1,0)</f>
        <v>0</v>
      </c>
      <c r="AI17" s="8">
        <f>IF(Ueberblick[[#This Row],[Querschnittstechnologien im GHD-Sektor]]&lt;&gt;"",1,0)</f>
        <v>0</v>
      </c>
      <c r="AJ17" s="8">
        <f>IF(OR(Ueberblick[[#This Row],[Branchen, Produktionsprozesse Industrie]]&lt;&gt;"",Ueberblick[[#This Row],[Querschnittstechnologien Industrie]]&lt;&gt;""),1,0)</f>
        <v>1</v>
      </c>
      <c r="AK17" s="8" t="s">
        <v>47</v>
      </c>
      <c r="AL17" s="8">
        <v>1</v>
      </c>
      <c r="AM17" s="8">
        <v>1</v>
      </c>
      <c r="AN17" s="8">
        <v>1</v>
      </c>
      <c r="AO17" s="8">
        <v>1</v>
      </c>
      <c r="AP17" s="8">
        <v>1</v>
      </c>
      <c r="AQ17" s="8">
        <v>1</v>
      </c>
      <c r="AR17" s="8">
        <v>1</v>
      </c>
      <c r="AS17" s="8">
        <v>1</v>
      </c>
      <c r="AT17" s="8">
        <v>1</v>
      </c>
      <c r="AU17" s="8" t="s">
        <v>242</v>
      </c>
      <c r="AV17" s="8" t="s">
        <v>234</v>
      </c>
      <c r="AW17" s="8">
        <v>0</v>
      </c>
      <c r="AX17" s="8">
        <v>1</v>
      </c>
      <c r="AY17" s="8">
        <v>0</v>
      </c>
      <c r="AZ17" s="8">
        <v>0</v>
      </c>
      <c r="BA17" s="8">
        <v>0</v>
      </c>
      <c r="BB17" s="8">
        <v>0</v>
      </c>
      <c r="BC17" s="8" t="s">
        <v>85</v>
      </c>
      <c r="BD17" s="40" t="s">
        <v>1170</v>
      </c>
      <c r="BE17" s="8">
        <v>0.5</v>
      </c>
      <c r="BF17" s="8">
        <v>0</v>
      </c>
      <c r="BG17" s="8">
        <v>0.5</v>
      </c>
      <c r="BH17" s="8">
        <v>0</v>
      </c>
      <c r="BI17" s="10" t="s">
        <v>45</v>
      </c>
      <c r="BJ17" s="10"/>
      <c r="BK17" s="10"/>
      <c r="BL17" s="10"/>
      <c r="BM17" s="10"/>
      <c r="BN17" s="10"/>
      <c r="BO17" s="10"/>
      <c r="BP17" s="10"/>
      <c r="BQ17" s="10"/>
      <c r="BR17" s="10"/>
      <c r="BS17" s="10"/>
      <c r="BT17" s="10"/>
      <c r="BU17" s="10"/>
      <c r="BV17" s="10"/>
      <c r="BW17" s="93">
        <v>1</v>
      </c>
      <c r="BX17" s="93"/>
      <c r="BY17" s="93"/>
      <c r="BZ17" s="93"/>
      <c r="CA17" s="93"/>
      <c r="CB17" s="93"/>
      <c r="CC17" s="8" t="s">
        <v>1431</v>
      </c>
      <c r="CD17" s="8" t="s">
        <v>1430</v>
      </c>
      <c r="CE17" s="8">
        <v>0</v>
      </c>
      <c r="CF17" s="8">
        <v>0</v>
      </c>
      <c r="CG17" s="8">
        <v>1</v>
      </c>
      <c r="CH17" s="8">
        <v>0</v>
      </c>
      <c r="CI17" s="8">
        <v>0</v>
      </c>
      <c r="CJ17" s="8">
        <v>1</v>
      </c>
    </row>
    <row r="18" spans="1:88" s="11" customFormat="1" ht="76.5" x14ac:dyDescent="0.25">
      <c r="A18" s="6" t="s">
        <v>188</v>
      </c>
      <c r="B18" s="6" t="s">
        <v>1682</v>
      </c>
      <c r="C18" s="8" t="s">
        <v>189</v>
      </c>
      <c r="D18" s="8" t="s">
        <v>190</v>
      </c>
      <c r="E18" s="8" t="s">
        <v>327</v>
      </c>
      <c r="F18" s="8" t="s">
        <v>0</v>
      </c>
      <c r="G18" s="8" t="s">
        <v>336</v>
      </c>
      <c r="H18" s="8">
        <v>1</v>
      </c>
      <c r="I18" s="8">
        <v>1</v>
      </c>
      <c r="J18" s="8">
        <v>0</v>
      </c>
      <c r="K18" s="8">
        <v>0</v>
      </c>
      <c r="L18" s="8">
        <v>0</v>
      </c>
      <c r="M18" s="8">
        <v>1</v>
      </c>
      <c r="N18" s="8" t="s">
        <v>335</v>
      </c>
      <c r="O18" s="9" t="s">
        <v>329</v>
      </c>
      <c r="P18" s="8" t="s">
        <v>333</v>
      </c>
      <c r="Q18" s="8" t="s">
        <v>330</v>
      </c>
      <c r="R18" s="8">
        <v>1</v>
      </c>
      <c r="S18" s="8">
        <v>0</v>
      </c>
      <c r="T18" s="8">
        <v>0</v>
      </c>
      <c r="U18" s="8">
        <v>0</v>
      </c>
      <c r="V18" s="8">
        <v>0</v>
      </c>
      <c r="W18" s="8">
        <v>0</v>
      </c>
      <c r="X18" s="8">
        <v>0</v>
      </c>
      <c r="Y18" s="8" t="s">
        <v>334</v>
      </c>
      <c r="Z18" s="8" t="s">
        <v>333</v>
      </c>
      <c r="AA18" s="8" t="s">
        <v>158</v>
      </c>
      <c r="AB18" s="8"/>
      <c r="AC18" s="8"/>
      <c r="AD18" s="8"/>
      <c r="AE18" s="8" t="s">
        <v>328</v>
      </c>
      <c r="AF18" s="8"/>
      <c r="AG18" s="8">
        <v>1</v>
      </c>
      <c r="AH18" s="8">
        <f>IF(Ueberblick[[#This Row],[Branchen, Produktionsprozesse Haushalte]]&lt;&gt;"",1,0)</f>
        <v>1</v>
      </c>
      <c r="AI18" s="8">
        <f>IF(Ueberblick[[#This Row],[Querschnittstechnologien im GHD-Sektor]]&lt;&gt;"",1,0)</f>
        <v>0</v>
      </c>
      <c r="AJ18" s="8">
        <f>IF(OR(Ueberblick[[#This Row],[Branchen, Produktionsprozesse Industrie]]&lt;&gt;"",Ueberblick[[#This Row],[Querschnittstechnologien Industrie]]&lt;&gt;""),1,0)</f>
        <v>0</v>
      </c>
      <c r="AK18" s="8" t="s">
        <v>325</v>
      </c>
      <c r="AL18" s="8">
        <v>1</v>
      </c>
      <c r="AM18" s="8">
        <v>1</v>
      </c>
      <c r="AN18" s="8">
        <v>1</v>
      </c>
      <c r="AO18" s="8">
        <v>0.5</v>
      </c>
      <c r="AP18" s="8">
        <v>0</v>
      </c>
      <c r="AQ18" s="8">
        <v>0</v>
      </c>
      <c r="AR18" s="8">
        <v>0</v>
      </c>
      <c r="AS18" s="8">
        <v>0</v>
      </c>
      <c r="AT18" s="8">
        <v>0</v>
      </c>
      <c r="AU18" s="8" t="s">
        <v>333</v>
      </c>
      <c r="AV18" s="8" t="s">
        <v>337</v>
      </c>
      <c r="AW18" s="8">
        <v>0</v>
      </c>
      <c r="AX18" s="8">
        <v>1</v>
      </c>
      <c r="AY18" s="8">
        <v>0</v>
      </c>
      <c r="AZ18" s="8">
        <v>1</v>
      </c>
      <c r="BA18" s="8">
        <v>0</v>
      </c>
      <c r="BB18" s="8">
        <v>0</v>
      </c>
      <c r="BC18" s="8">
        <v>2015</v>
      </c>
      <c r="BD18" s="8" t="str">
        <f>LEFT(Gesamtueberblick!$BC18,4)</f>
        <v>2015</v>
      </c>
      <c r="BE18" s="8">
        <v>0.5</v>
      </c>
      <c r="BF18" s="8">
        <v>0</v>
      </c>
      <c r="BG18" s="8">
        <v>0</v>
      </c>
      <c r="BH18" s="8">
        <v>0</v>
      </c>
      <c r="BI18" s="10"/>
      <c r="BJ18" s="10"/>
      <c r="BK18" s="10"/>
      <c r="BL18" s="10"/>
      <c r="BM18" s="10"/>
      <c r="BN18" s="10"/>
      <c r="BO18" s="10"/>
      <c r="BP18" s="10"/>
      <c r="BQ18" s="10"/>
      <c r="BR18" s="10"/>
      <c r="BS18" s="10"/>
      <c r="BT18" s="10"/>
      <c r="BU18" s="10"/>
      <c r="BV18" s="10"/>
      <c r="BW18" s="93">
        <v>0.5</v>
      </c>
      <c r="BX18" s="93"/>
      <c r="BY18" s="93">
        <v>0.5</v>
      </c>
      <c r="BZ18" s="93">
        <v>0.5</v>
      </c>
      <c r="CA18" s="93"/>
      <c r="CB18" s="93"/>
      <c r="CC18" s="8" t="s">
        <v>1432</v>
      </c>
      <c r="CD18" s="8" t="s">
        <v>331</v>
      </c>
      <c r="CE18" s="8">
        <v>1</v>
      </c>
      <c r="CF18" s="8">
        <v>0</v>
      </c>
      <c r="CG18" s="8">
        <v>0</v>
      </c>
      <c r="CH18" s="8">
        <v>1</v>
      </c>
      <c r="CI18" s="8">
        <v>0</v>
      </c>
      <c r="CJ18" s="8">
        <v>0</v>
      </c>
    </row>
    <row r="19" spans="1:88" ht="165.75" x14ac:dyDescent="0.25">
      <c r="A19" s="6" t="s">
        <v>133</v>
      </c>
      <c r="B19" s="6" t="s">
        <v>1683</v>
      </c>
      <c r="C19" s="8" t="s">
        <v>54</v>
      </c>
      <c r="D19" s="8" t="s">
        <v>134</v>
      </c>
      <c r="E19" s="8" t="s">
        <v>69</v>
      </c>
      <c r="F19" s="8" t="s">
        <v>0</v>
      </c>
      <c r="G19" s="8" t="s">
        <v>169</v>
      </c>
      <c r="H19" s="8">
        <v>1</v>
      </c>
      <c r="I19" s="8">
        <v>1</v>
      </c>
      <c r="J19" s="8">
        <v>0</v>
      </c>
      <c r="K19" s="8">
        <v>1</v>
      </c>
      <c r="L19" s="8">
        <v>0</v>
      </c>
      <c r="M19" s="8">
        <v>0</v>
      </c>
      <c r="N19" s="8" t="s">
        <v>147</v>
      </c>
      <c r="O19" s="9" t="s">
        <v>148</v>
      </c>
      <c r="P19" s="8" t="s">
        <v>147</v>
      </c>
      <c r="Q19" s="8" t="s">
        <v>149</v>
      </c>
      <c r="R19" s="8">
        <v>1</v>
      </c>
      <c r="S19" s="8">
        <v>1</v>
      </c>
      <c r="T19" s="8">
        <v>0</v>
      </c>
      <c r="U19" s="8">
        <v>0</v>
      </c>
      <c r="V19" s="8">
        <v>1</v>
      </c>
      <c r="W19" s="8">
        <v>0</v>
      </c>
      <c r="X19" s="8">
        <v>0</v>
      </c>
      <c r="Y19" s="8" t="s">
        <v>163</v>
      </c>
      <c r="Z19" s="8" t="s">
        <v>164</v>
      </c>
      <c r="AA19" s="8" t="s">
        <v>110</v>
      </c>
      <c r="AB19" s="8" t="s">
        <v>1157</v>
      </c>
      <c r="AC19" s="8" t="s">
        <v>5</v>
      </c>
      <c r="AD19" s="8" t="s">
        <v>162</v>
      </c>
      <c r="AE19" s="8" t="s">
        <v>152</v>
      </c>
      <c r="AF19" s="8"/>
      <c r="AG19" s="8" t="s">
        <v>147</v>
      </c>
      <c r="AH19" s="8">
        <f>IF(Ueberblick[[#This Row],[Branchen, Produktionsprozesse Haushalte]]&lt;&gt;"",1,0)</f>
        <v>1</v>
      </c>
      <c r="AI19" s="8">
        <f>IF(Ueberblick[[#This Row],[Querschnittstechnologien im GHD-Sektor]]&lt;&gt;"",1,0)</f>
        <v>1</v>
      </c>
      <c r="AJ19" s="8">
        <f>IF(OR(Ueberblick[[#This Row],[Branchen, Produktionsprozesse Industrie]]&lt;&gt;"",Ueberblick[[#This Row],[Querschnittstechnologien Industrie]]&lt;&gt;""),1,0)</f>
        <v>1</v>
      </c>
      <c r="AK19" s="8" t="s">
        <v>49</v>
      </c>
      <c r="AL19" s="8">
        <v>1</v>
      </c>
      <c r="AM19" s="8">
        <v>1</v>
      </c>
      <c r="AN19" s="8">
        <v>1</v>
      </c>
      <c r="AO19" s="8">
        <v>0.5</v>
      </c>
      <c r="AP19" s="8">
        <v>0.5</v>
      </c>
      <c r="AQ19" s="8">
        <v>0.5</v>
      </c>
      <c r="AR19" s="8">
        <v>1</v>
      </c>
      <c r="AS19" s="8">
        <v>1</v>
      </c>
      <c r="AT19" s="8">
        <v>1</v>
      </c>
      <c r="AU19" s="8" t="s">
        <v>170</v>
      </c>
      <c r="AV19" s="8" t="s">
        <v>31</v>
      </c>
      <c r="AW19" s="8">
        <v>0</v>
      </c>
      <c r="AX19" s="8">
        <v>1</v>
      </c>
      <c r="AY19" s="8">
        <v>0</v>
      </c>
      <c r="AZ19" s="8">
        <v>1</v>
      </c>
      <c r="BA19" s="8">
        <v>0</v>
      </c>
      <c r="BB19" s="8">
        <v>0</v>
      </c>
      <c r="BC19" s="8" t="s">
        <v>41</v>
      </c>
      <c r="BD19" s="8" t="str">
        <f>LEFT(Gesamtueberblick!$BC19,4)</f>
        <v>2010</v>
      </c>
      <c r="BE19" s="8">
        <v>1</v>
      </c>
      <c r="BF19" s="8">
        <v>0</v>
      </c>
      <c r="BG19" s="8">
        <v>0</v>
      </c>
      <c r="BH19" s="8">
        <v>0</v>
      </c>
      <c r="BI19" s="10">
        <v>2</v>
      </c>
      <c r="BJ19" s="10">
        <v>0.48499999999999999</v>
      </c>
      <c r="BK19" s="10">
        <v>1.8109999999999999</v>
      </c>
      <c r="BL19" s="10">
        <v>0.41</v>
      </c>
      <c r="BM19" s="10">
        <v>4.7220000000000004</v>
      </c>
      <c r="BN19" s="10">
        <v>3.5230000000000001</v>
      </c>
      <c r="BO19" s="10">
        <v>2.1429999999999998</v>
      </c>
      <c r="BP19" s="10">
        <v>14.275</v>
      </c>
      <c r="BQ19" s="10"/>
      <c r="BR19" s="10"/>
      <c r="BS19" s="10">
        <v>6.7320000000000002</v>
      </c>
      <c r="BT19" s="10"/>
      <c r="BU19" s="10">
        <v>35.728000000000002</v>
      </c>
      <c r="BV19" s="10"/>
      <c r="BW19" s="93">
        <v>1</v>
      </c>
      <c r="BX19" s="93">
        <v>1</v>
      </c>
      <c r="BY19" s="93">
        <v>1</v>
      </c>
      <c r="BZ19" s="93">
        <v>1</v>
      </c>
      <c r="CA19" s="93"/>
      <c r="CB19" s="93">
        <v>0.5</v>
      </c>
      <c r="CC19" s="8" t="s">
        <v>1433</v>
      </c>
      <c r="CD19" s="8" t="s">
        <v>219</v>
      </c>
      <c r="CE19" s="8">
        <v>1</v>
      </c>
      <c r="CF19" s="8">
        <v>1</v>
      </c>
      <c r="CG19" s="8">
        <v>1</v>
      </c>
      <c r="CH19" s="8">
        <v>1</v>
      </c>
      <c r="CI19" s="8">
        <v>0</v>
      </c>
      <c r="CJ19" s="8">
        <v>1</v>
      </c>
    </row>
    <row r="20" spans="1:88" s="11" customFormat="1" ht="102" x14ac:dyDescent="0.25">
      <c r="A20" s="6" t="s">
        <v>10</v>
      </c>
      <c r="B20" s="6" t="s">
        <v>1684</v>
      </c>
      <c r="C20" s="8" t="s">
        <v>9</v>
      </c>
      <c r="D20" s="8" t="s">
        <v>68</v>
      </c>
      <c r="E20" s="8" t="s">
        <v>131</v>
      </c>
      <c r="F20" s="8" t="s">
        <v>60</v>
      </c>
      <c r="G20" s="8" t="s">
        <v>1434</v>
      </c>
      <c r="H20" s="8">
        <v>1</v>
      </c>
      <c r="I20" s="8">
        <v>1</v>
      </c>
      <c r="J20" s="8">
        <v>0</v>
      </c>
      <c r="K20" s="8">
        <v>1</v>
      </c>
      <c r="L20" s="8">
        <v>0</v>
      </c>
      <c r="M20" s="8">
        <v>1</v>
      </c>
      <c r="N20" s="8" t="s">
        <v>171</v>
      </c>
      <c r="O20" s="9" t="s">
        <v>148</v>
      </c>
      <c r="P20" s="8" t="s">
        <v>172</v>
      </c>
      <c r="Q20" s="8" t="s">
        <v>149</v>
      </c>
      <c r="R20" s="8">
        <v>1</v>
      </c>
      <c r="S20" s="8">
        <v>1</v>
      </c>
      <c r="T20" s="8">
        <v>0</v>
      </c>
      <c r="U20" s="8">
        <v>0</v>
      </c>
      <c r="V20" s="8">
        <v>1</v>
      </c>
      <c r="W20" s="8">
        <v>0</v>
      </c>
      <c r="X20" s="8">
        <v>0</v>
      </c>
      <c r="Y20" s="8" t="s">
        <v>173</v>
      </c>
      <c r="Z20" s="8">
        <v>434</v>
      </c>
      <c r="AA20" s="8" t="s">
        <v>110</v>
      </c>
      <c r="AB20" s="8" t="s">
        <v>175</v>
      </c>
      <c r="AC20" s="8"/>
      <c r="AD20" s="8"/>
      <c r="AE20" s="8"/>
      <c r="AF20" s="8"/>
      <c r="AG20" s="8" t="s">
        <v>176</v>
      </c>
      <c r="AH20" s="8">
        <f>IF(Ueberblick[[#This Row],[Branchen, Produktionsprozesse Haushalte]]&lt;&gt;"",1,0)</f>
        <v>0</v>
      </c>
      <c r="AI20" s="8">
        <f>IF(Ueberblick[[#This Row],[Querschnittstechnologien im GHD-Sektor]]&lt;&gt;"",1,0)</f>
        <v>0</v>
      </c>
      <c r="AJ20" s="8">
        <f>IF(OR(Ueberblick[[#This Row],[Branchen, Produktionsprozesse Industrie]]&lt;&gt;"",Ueberblick[[#This Row],[Querschnittstechnologien Industrie]]&lt;&gt;""),1,0)</f>
        <v>1</v>
      </c>
      <c r="AK20" s="8" t="s">
        <v>51</v>
      </c>
      <c r="AL20" s="8">
        <v>1</v>
      </c>
      <c r="AM20" s="8">
        <v>1</v>
      </c>
      <c r="AN20" s="8">
        <v>1</v>
      </c>
      <c r="AO20" s="8">
        <v>0.5</v>
      </c>
      <c r="AP20" s="8">
        <v>0.5</v>
      </c>
      <c r="AQ20" s="8">
        <v>0.5</v>
      </c>
      <c r="AR20" s="8">
        <v>1</v>
      </c>
      <c r="AS20" s="8">
        <v>1</v>
      </c>
      <c r="AT20" s="8">
        <v>1</v>
      </c>
      <c r="AU20" s="8" t="s">
        <v>176</v>
      </c>
      <c r="AV20" s="8" t="s">
        <v>31</v>
      </c>
      <c r="AW20" s="8">
        <v>0</v>
      </c>
      <c r="AX20" s="8">
        <v>1</v>
      </c>
      <c r="AY20" s="8">
        <v>0</v>
      </c>
      <c r="AZ20" s="8">
        <v>1</v>
      </c>
      <c r="BA20" s="8">
        <v>0</v>
      </c>
      <c r="BB20" s="8">
        <v>0</v>
      </c>
      <c r="BC20" s="8" t="s">
        <v>42</v>
      </c>
      <c r="BD20" s="8" t="str">
        <f>LEFT(Gesamtueberblick!$BC20,4)</f>
        <v>2011</v>
      </c>
      <c r="BE20" s="8">
        <v>1</v>
      </c>
      <c r="BF20" s="8">
        <v>0</v>
      </c>
      <c r="BG20" s="8">
        <v>0</v>
      </c>
      <c r="BH20" s="8">
        <v>0</v>
      </c>
      <c r="BI20" s="10">
        <v>2.66</v>
      </c>
      <c r="BJ20" s="10"/>
      <c r="BK20" s="10"/>
      <c r="BL20" s="10"/>
      <c r="BM20" s="10"/>
      <c r="BN20" s="10"/>
      <c r="BO20" s="10"/>
      <c r="BP20" s="10"/>
      <c r="BQ20" s="10"/>
      <c r="BR20" s="10"/>
      <c r="BS20" s="10"/>
      <c r="BT20" s="10"/>
      <c r="BU20" s="10"/>
      <c r="BV20" s="10"/>
      <c r="BW20" s="93">
        <v>1</v>
      </c>
      <c r="BX20" s="93"/>
      <c r="BY20" s="93"/>
      <c r="BZ20" s="93"/>
      <c r="CA20" s="93"/>
      <c r="CB20" s="93">
        <v>0.5</v>
      </c>
      <c r="CC20" s="8" t="s">
        <v>1435</v>
      </c>
      <c r="CD20" s="8" t="s">
        <v>313</v>
      </c>
      <c r="CE20" s="8">
        <v>0</v>
      </c>
      <c r="CF20" s="8">
        <v>0</v>
      </c>
      <c r="CG20" s="8">
        <v>1</v>
      </c>
      <c r="CH20" s="8">
        <v>0</v>
      </c>
      <c r="CI20" s="8">
        <v>0</v>
      </c>
      <c r="CJ20" s="8">
        <v>1</v>
      </c>
    </row>
    <row r="21" spans="1:88" ht="409.5" x14ac:dyDescent="0.25">
      <c r="A21" s="6" t="s">
        <v>1710</v>
      </c>
      <c r="B21" s="6" t="s">
        <v>1685</v>
      </c>
      <c r="C21" s="8" t="s">
        <v>833</v>
      </c>
      <c r="D21" s="8" t="s">
        <v>62</v>
      </c>
      <c r="E21" s="8" t="s">
        <v>200</v>
      </c>
      <c r="F21" s="8" t="s">
        <v>841</v>
      </c>
      <c r="G21" s="8" t="s">
        <v>411</v>
      </c>
      <c r="H21" s="8">
        <v>1</v>
      </c>
      <c r="I21" s="8">
        <v>1</v>
      </c>
      <c r="J21" s="8">
        <v>1</v>
      </c>
      <c r="K21" s="8">
        <v>1</v>
      </c>
      <c r="L21" s="8">
        <v>0</v>
      </c>
      <c r="M21" s="8">
        <v>0</v>
      </c>
      <c r="N21" s="8" t="s">
        <v>277</v>
      </c>
      <c r="O21" s="9" t="s">
        <v>278</v>
      </c>
      <c r="P21" s="8" t="s">
        <v>279</v>
      </c>
      <c r="Q21" s="9" t="s">
        <v>412</v>
      </c>
      <c r="R21" s="8">
        <v>1</v>
      </c>
      <c r="S21" s="8">
        <v>1</v>
      </c>
      <c r="T21" s="8">
        <v>1</v>
      </c>
      <c r="U21" s="8">
        <v>1</v>
      </c>
      <c r="V21" s="8">
        <v>1</v>
      </c>
      <c r="W21" s="8">
        <v>1</v>
      </c>
      <c r="X21" s="8">
        <v>1</v>
      </c>
      <c r="Y21" s="8" t="s">
        <v>270</v>
      </c>
      <c r="Z21" s="8">
        <v>186</v>
      </c>
      <c r="AA21" s="8" t="s">
        <v>214</v>
      </c>
      <c r="AB21" s="8" t="s">
        <v>38</v>
      </c>
      <c r="AC21" s="8" t="s">
        <v>25</v>
      </c>
      <c r="AD21" s="8" t="s">
        <v>25</v>
      </c>
      <c r="AE21" s="8" t="s">
        <v>269</v>
      </c>
      <c r="AF21" s="8"/>
      <c r="AG21" s="8" t="s">
        <v>272</v>
      </c>
      <c r="AH21" s="8">
        <f>IF(Ueberblick[[#This Row],[Branchen, Produktionsprozesse Haushalte]]&lt;&gt;"",1,0)</f>
        <v>1</v>
      </c>
      <c r="AI21" s="8">
        <f>IF(Ueberblick[[#This Row],[Querschnittstechnologien im GHD-Sektor]]&lt;&gt;"",1,0)</f>
        <v>1</v>
      </c>
      <c r="AJ21" s="8">
        <f>IF(OR(Ueberblick[[#This Row],[Branchen, Produktionsprozesse Industrie]]&lt;&gt;"",Ueberblick[[#This Row],[Querschnittstechnologien Industrie]]&lt;&gt;""),1,0)</f>
        <v>1</v>
      </c>
      <c r="AK21" s="8" t="s">
        <v>56</v>
      </c>
      <c r="AL21" s="8">
        <v>1</v>
      </c>
      <c r="AM21" s="8">
        <v>1</v>
      </c>
      <c r="AN21" s="8">
        <v>1</v>
      </c>
      <c r="AO21" s="8">
        <v>1</v>
      </c>
      <c r="AP21" s="8">
        <v>1</v>
      </c>
      <c r="AQ21" s="8">
        <v>1</v>
      </c>
      <c r="AR21" s="8">
        <v>1</v>
      </c>
      <c r="AS21" s="8">
        <v>1</v>
      </c>
      <c r="AT21" s="8">
        <v>0</v>
      </c>
      <c r="AU21" s="8" t="s">
        <v>273</v>
      </c>
      <c r="AV21" s="8" t="s">
        <v>274</v>
      </c>
      <c r="AW21" s="8">
        <v>0</v>
      </c>
      <c r="AX21" s="8">
        <v>1</v>
      </c>
      <c r="AY21" s="8">
        <v>0.5</v>
      </c>
      <c r="AZ21" s="8">
        <v>1</v>
      </c>
      <c r="BA21" s="8">
        <v>0</v>
      </c>
      <c r="BB21" s="8">
        <v>0.5</v>
      </c>
      <c r="BC21" s="8" t="s">
        <v>275</v>
      </c>
      <c r="BD21" s="8">
        <v>2015</v>
      </c>
      <c r="BE21" s="8">
        <v>1</v>
      </c>
      <c r="BF21" s="8">
        <v>1</v>
      </c>
      <c r="BG21" s="8">
        <v>1</v>
      </c>
      <c r="BH21" s="8">
        <v>0</v>
      </c>
      <c r="BI21" s="10" t="s">
        <v>26</v>
      </c>
      <c r="BJ21" s="10"/>
      <c r="BK21" s="10"/>
      <c r="BL21" s="10"/>
      <c r="BM21" s="10"/>
      <c r="BN21" s="10"/>
      <c r="BO21" s="10"/>
      <c r="BP21" s="10"/>
      <c r="BQ21" s="10"/>
      <c r="BR21" s="10"/>
      <c r="BS21" s="10"/>
      <c r="BT21" s="10"/>
      <c r="BU21" s="10"/>
      <c r="BV21" s="10"/>
      <c r="BW21" s="93">
        <v>1</v>
      </c>
      <c r="BX21" s="93">
        <v>1</v>
      </c>
      <c r="BY21" s="93">
        <v>1</v>
      </c>
      <c r="BZ21" s="93">
        <v>1</v>
      </c>
      <c r="CA21" s="93">
        <v>1</v>
      </c>
      <c r="CB21" s="93"/>
      <c r="CC21" s="8" t="s">
        <v>1436</v>
      </c>
      <c r="CD21" s="8" t="s">
        <v>276</v>
      </c>
      <c r="CE21" s="8">
        <v>0</v>
      </c>
      <c r="CF21" s="8">
        <v>0</v>
      </c>
      <c r="CG21" s="8">
        <v>1</v>
      </c>
      <c r="CH21" s="8">
        <v>1</v>
      </c>
      <c r="CI21" s="8">
        <v>1</v>
      </c>
      <c r="CJ21" s="8">
        <v>1</v>
      </c>
    </row>
    <row r="22" spans="1:88" s="11" customFormat="1" ht="76.5" x14ac:dyDescent="0.25">
      <c r="A22" s="6" t="s">
        <v>16</v>
      </c>
      <c r="B22" s="6" t="s">
        <v>1686</v>
      </c>
      <c r="C22" s="8" t="s">
        <v>15</v>
      </c>
      <c r="D22" s="8" t="s">
        <v>65</v>
      </c>
      <c r="E22" s="8" t="s">
        <v>200</v>
      </c>
      <c r="F22" s="8" t="s">
        <v>0</v>
      </c>
      <c r="G22" s="8" t="s">
        <v>208</v>
      </c>
      <c r="H22" s="8">
        <v>1</v>
      </c>
      <c r="I22" s="8">
        <v>1</v>
      </c>
      <c r="J22" s="8">
        <v>1</v>
      </c>
      <c r="K22" s="8">
        <v>0</v>
      </c>
      <c r="L22" s="8">
        <v>0</v>
      </c>
      <c r="M22" s="8">
        <v>0</v>
      </c>
      <c r="N22" s="8" t="s">
        <v>201</v>
      </c>
      <c r="O22" s="9" t="s">
        <v>206</v>
      </c>
      <c r="P22" s="8" t="s">
        <v>207</v>
      </c>
      <c r="Q22" s="8" t="s">
        <v>198</v>
      </c>
      <c r="R22" s="8">
        <v>1</v>
      </c>
      <c r="S22" s="8">
        <v>1</v>
      </c>
      <c r="T22" s="8">
        <v>0</v>
      </c>
      <c r="U22" s="8">
        <v>0</v>
      </c>
      <c r="V22" s="8">
        <v>0</v>
      </c>
      <c r="W22" s="8">
        <v>0.5</v>
      </c>
      <c r="X22" s="8">
        <v>0</v>
      </c>
      <c r="Y22" s="8" t="s">
        <v>199</v>
      </c>
      <c r="Z22" s="8">
        <v>77</v>
      </c>
      <c r="AA22" s="8" t="s">
        <v>110</v>
      </c>
      <c r="AB22" s="8" t="s">
        <v>209</v>
      </c>
      <c r="AC22" s="8"/>
      <c r="AD22" s="8"/>
      <c r="AE22" s="8"/>
      <c r="AF22" s="8"/>
      <c r="AG22" s="8">
        <v>54</v>
      </c>
      <c r="AH22" s="8">
        <f>IF(Ueberblick[[#This Row],[Branchen, Produktionsprozesse Haushalte]]&lt;&gt;"",1,0)</f>
        <v>0</v>
      </c>
      <c r="AI22" s="8">
        <f>IF(Ueberblick[[#This Row],[Querschnittstechnologien im GHD-Sektor]]&lt;&gt;"",1,0)</f>
        <v>0</v>
      </c>
      <c r="AJ22" s="8">
        <f>IF(OR(Ueberblick[[#This Row],[Branchen, Produktionsprozesse Industrie]]&lt;&gt;"",Ueberblick[[#This Row],[Querschnittstechnologien Industrie]]&lt;&gt;""),1,0)</f>
        <v>1</v>
      </c>
      <c r="AK22" s="8" t="s">
        <v>35</v>
      </c>
      <c r="AL22" s="8">
        <v>1</v>
      </c>
      <c r="AM22" s="8">
        <v>1</v>
      </c>
      <c r="AN22" s="8">
        <v>0</v>
      </c>
      <c r="AO22" s="8">
        <v>0</v>
      </c>
      <c r="AP22" s="8">
        <v>0</v>
      </c>
      <c r="AQ22" s="8">
        <v>0</v>
      </c>
      <c r="AR22" s="8">
        <v>0</v>
      </c>
      <c r="AS22" s="8">
        <v>0</v>
      </c>
      <c r="AT22" s="8">
        <v>1</v>
      </c>
      <c r="AU22" s="8" t="s">
        <v>210</v>
      </c>
      <c r="AV22" s="8" t="s">
        <v>31</v>
      </c>
      <c r="AW22" s="8">
        <v>0</v>
      </c>
      <c r="AX22" s="8">
        <v>1</v>
      </c>
      <c r="AY22" s="8">
        <v>0</v>
      </c>
      <c r="AZ22" s="8">
        <v>1</v>
      </c>
      <c r="BA22" s="8">
        <v>0</v>
      </c>
      <c r="BB22" s="8">
        <v>0</v>
      </c>
      <c r="BC22" s="8" t="s">
        <v>17</v>
      </c>
      <c r="BD22" s="8" t="str">
        <f>LEFT(Gesamtueberblick!$BC22,4)</f>
        <v>2014</v>
      </c>
      <c r="BE22" s="8">
        <v>1</v>
      </c>
      <c r="BF22" s="8">
        <v>0</v>
      </c>
      <c r="BG22" s="8">
        <v>1</v>
      </c>
      <c r="BH22" s="8">
        <v>0</v>
      </c>
      <c r="BI22" s="10" t="s">
        <v>46</v>
      </c>
      <c r="BJ22" s="10"/>
      <c r="BK22" s="10"/>
      <c r="BL22" s="10"/>
      <c r="BM22" s="10"/>
      <c r="BN22" s="10"/>
      <c r="BO22" s="10"/>
      <c r="BP22" s="10"/>
      <c r="BQ22" s="10"/>
      <c r="BR22" s="10"/>
      <c r="BS22" s="10"/>
      <c r="BT22" s="10"/>
      <c r="BU22" s="10"/>
      <c r="BV22" s="10"/>
      <c r="BW22" s="93"/>
      <c r="BX22" s="93"/>
      <c r="BY22" s="93"/>
      <c r="BZ22" s="93"/>
      <c r="CA22" s="93"/>
      <c r="CB22" s="93"/>
      <c r="CC22" s="8" t="s">
        <v>1423</v>
      </c>
      <c r="CD22" s="8" t="s">
        <v>314</v>
      </c>
      <c r="CE22" s="8">
        <v>0</v>
      </c>
      <c r="CF22" s="8">
        <v>0</v>
      </c>
      <c r="CG22" s="8">
        <v>1</v>
      </c>
      <c r="CH22" s="8">
        <v>0</v>
      </c>
      <c r="CI22" s="8">
        <v>0</v>
      </c>
      <c r="CJ22" s="8">
        <v>0</v>
      </c>
    </row>
    <row r="23" spans="1:88" ht="76.5" x14ac:dyDescent="0.25">
      <c r="A23" s="6" t="s">
        <v>7</v>
      </c>
      <c r="B23" s="6" t="s">
        <v>1687</v>
      </c>
      <c r="C23" s="8" t="s">
        <v>6</v>
      </c>
      <c r="D23" s="8" t="s">
        <v>62</v>
      </c>
      <c r="E23" s="8" t="s">
        <v>131</v>
      </c>
      <c r="F23" s="8" t="s">
        <v>0</v>
      </c>
      <c r="G23" s="8" t="s">
        <v>156</v>
      </c>
      <c r="H23" s="8">
        <v>0</v>
      </c>
      <c r="I23" s="8">
        <v>1</v>
      </c>
      <c r="J23" s="8">
        <v>0</v>
      </c>
      <c r="K23" s="8">
        <v>0</v>
      </c>
      <c r="L23" s="8">
        <v>0</v>
      </c>
      <c r="M23" s="8">
        <v>1</v>
      </c>
      <c r="N23" s="8" t="s">
        <v>153</v>
      </c>
      <c r="O23" s="9" t="s">
        <v>155</v>
      </c>
      <c r="P23" s="8" t="s">
        <v>131</v>
      </c>
      <c r="Q23" s="8" t="s">
        <v>157</v>
      </c>
      <c r="R23" s="8">
        <v>0.5</v>
      </c>
      <c r="S23" s="8">
        <v>0</v>
      </c>
      <c r="T23" s="8">
        <v>1</v>
      </c>
      <c r="U23" s="8">
        <v>0</v>
      </c>
      <c r="V23" s="8">
        <v>0</v>
      </c>
      <c r="W23" s="8">
        <v>0.5</v>
      </c>
      <c r="X23" s="8">
        <v>0</v>
      </c>
      <c r="Y23" s="8" t="s">
        <v>154</v>
      </c>
      <c r="Z23" s="8">
        <v>14</v>
      </c>
      <c r="AA23" s="8" t="s">
        <v>158</v>
      </c>
      <c r="AB23" s="8" t="s">
        <v>161</v>
      </c>
      <c r="AC23" s="8"/>
      <c r="AD23" s="8"/>
      <c r="AE23" s="8"/>
      <c r="AF23" s="8"/>
      <c r="AG23" s="8">
        <v>15</v>
      </c>
      <c r="AH23" s="8">
        <f>IF(Ueberblick[[#This Row],[Branchen, Produktionsprozesse Haushalte]]&lt;&gt;"",1,0)</f>
        <v>0</v>
      </c>
      <c r="AI23" s="8">
        <f>IF(Ueberblick[[#This Row],[Querschnittstechnologien im GHD-Sektor]]&lt;&gt;"",1,0)</f>
        <v>0</v>
      </c>
      <c r="AJ23" s="8">
        <f>IF(OR(Ueberblick[[#This Row],[Branchen, Produktionsprozesse Industrie]]&lt;&gt;"",Ueberblick[[#This Row],[Querschnittstechnologien Industrie]]&lt;&gt;""),1,0)</f>
        <v>1</v>
      </c>
      <c r="AK23" s="8" t="s">
        <v>8</v>
      </c>
      <c r="AL23" s="8">
        <v>0.5</v>
      </c>
      <c r="AM23" s="8">
        <v>1</v>
      </c>
      <c r="AN23" s="8">
        <v>0</v>
      </c>
      <c r="AO23" s="8">
        <v>0.5</v>
      </c>
      <c r="AP23" s="8">
        <v>0</v>
      </c>
      <c r="AQ23" s="8">
        <v>0</v>
      </c>
      <c r="AR23" s="8">
        <v>0</v>
      </c>
      <c r="AS23" s="8">
        <v>0</v>
      </c>
      <c r="AT23" s="8">
        <v>0</v>
      </c>
      <c r="AU23" s="8">
        <v>15</v>
      </c>
      <c r="AV23" s="8" t="s">
        <v>33</v>
      </c>
      <c r="AW23" s="8">
        <v>0</v>
      </c>
      <c r="AX23" s="8">
        <v>1</v>
      </c>
      <c r="AY23" s="8">
        <v>0</v>
      </c>
      <c r="AZ23" s="8">
        <v>0</v>
      </c>
      <c r="BA23" s="8">
        <v>0</v>
      </c>
      <c r="BB23" s="8">
        <v>0</v>
      </c>
      <c r="BC23" s="8">
        <v>2010</v>
      </c>
      <c r="BD23" s="8" t="str">
        <f>LEFT(Gesamtueberblick!$BC23,4)</f>
        <v>2010</v>
      </c>
      <c r="BE23" s="8">
        <v>0</v>
      </c>
      <c r="BF23" s="8">
        <v>0</v>
      </c>
      <c r="BG23" s="8">
        <v>0</v>
      </c>
      <c r="BH23" s="8">
        <v>0</v>
      </c>
      <c r="BI23" s="10">
        <v>2.4</v>
      </c>
      <c r="BJ23" s="10"/>
      <c r="BK23" s="10"/>
      <c r="BL23" s="10"/>
      <c r="BM23" s="10"/>
      <c r="BN23" s="10"/>
      <c r="BO23" s="10"/>
      <c r="BP23" s="10"/>
      <c r="BQ23" s="10"/>
      <c r="BR23" s="10"/>
      <c r="BS23" s="10"/>
      <c r="BT23" s="10"/>
      <c r="BU23" s="10"/>
      <c r="BV23" s="10"/>
      <c r="BW23" s="93"/>
      <c r="BX23" s="93"/>
      <c r="BY23" s="93"/>
      <c r="BZ23" s="93"/>
      <c r="CA23" s="93"/>
      <c r="CB23" s="93"/>
      <c r="CC23" s="8" t="s">
        <v>1423</v>
      </c>
      <c r="CD23" s="8" t="s">
        <v>218</v>
      </c>
      <c r="CE23" s="8">
        <v>0</v>
      </c>
      <c r="CF23" s="8">
        <v>0</v>
      </c>
      <c r="CG23" s="8">
        <v>1</v>
      </c>
      <c r="CH23" s="8">
        <v>0</v>
      </c>
      <c r="CI23" s="8">
        <v>0</v>
      </c>
      <c r="CJ23" s="8">
        <v>0</v>
      </c>
    </row>
    <row r="24" spans="1:88" s="11" customFormat="1" ht="216.75" x14ac:dyDescent="0.25">
      <c r="A24" s="6" t="s">
        <v>18</v>
      </c>
      <c r="B24" s="6" t="s">
        <v>1688</v>
      </c>
      <c r="C24" s="8" t="s">
        <v>48</v>
      </c>
      <c r="D24" s="8" t="s">
        <v>63</v>
      </c>
      <c r="E24" s="8" t="s">
        <v>200</v>
      </c>
      <c r="F24" s="8" t="s">
        <v>0</v>
      </c>
      <c r="G24" s="8" t="s">
        <v>229</v>
      </c>
      <c r="H24" s="8">
        <v>1</v>
      </c>
      <c r="I24" s="8">
        <v>1</v>
      </c>
      <c r="J24" s="8">
        <v>0</v>
      </c>
      <c r="K24" s="8">
        <v>0</v>
      </c>
      <c r="L24" s="8">
        <v>0</v>
      </c>
      <c r="M24" s="8">
        <v>0.5</v>
      </c>
      <c r="N24" s="8" t="s">
        <v>230</v>
      </c>
      <c r="O24" s="9" t="s">
        <v>227</v>
      </c>
      <c r="P24" s="8" t="s">
        <v>225</v>
      </c>
      <c r="Q24" s="9" t="s">
        <v>226</v>
      </c>
      <c r="R24" s="9">
        <v>1</v>
      </c>
      <c r="S24" s="9">
        <v>1</v>
      </c>
      <c r="T24" s="9">
        <v>0</v>
      </c>
      <c r="U24" s="9">
        <v>0</v>
      </c>
      <c r="V24" s="9">
        <v>0</v>
      </c>
      <c r="W24" s="9">
        <v>1</v>
      </c>
      <c r="X24" s="9">
        <v>0</v>
      </c>
      <c r="Y24" s="9" t="s">
        <v>238</v>
      </c>
      <c r="Z24" s="8" t="s">
        <v>236</v>
      </c>
      <c r="AA24" s="8" t="s">
        <v>110</v>
      </c>
      <c r="AB24" s="8" t="s">
        <v>36</v>
      </c>
      <c r="AC24" s="8" t="s">
        <v>37</v>
      </c>
      <c r="AD24" s="8" t="s">
        <v>224</v>
      </c>
      <c r="AE24" s="8" t="s">
        <v>1166</v>
      </c>
      <c r="AF24" s="8"/>
      <c r="AG24" s="8">
        <v>49</v>
      </c>
      <c r="AH24" s="8">
        <f>IF(Ueberblick[[#This Row],[Branchen, Produktionsprozesse Haushalte]]&lt;&gt;"",1,0)</f>
        <v>1</v>
      </c>
      <c r="AI24" s="8">
        <f>IF(Ueberblick[[#This Row],[Querschnittstechnologien im GHD-Sektor]]&lt;&gt;"",1,0)</f>
        <v>1</v>
      </c>
      <c r="AJ24" s="8">
        <f>IF(OR(Ueberblick[[#This Row],[Branchen, Produktionsprozesse Industrie]]&lt;&gt;"",Ueberblick[[#This Row],[Querschnittstechnologien Industrie]]&lt;&gt;""),1,0)</f>
        <v>1</v>
      </c>
      <c r="AK24" s="8" t="s">
        <v>53</v>
      </c>
      <c r="AL24" s="8">
        <v>1</v>
      </c>
      <c r="AM24" s="8">
        <v>1</v>
      </c>
      <c r="AN24" s="8">
        <v>1</v>
      </c>
      <c r="AO24" s="8">
        <v>1</v>
      </c>
      <c r="AP24" s="8">
        <v>1</v>
      </c>
      <c r="AQ24" s="8">
        <v>1</v>
      </c>
      <c r="AR24" s="8">
        <v>0</v>
      </c>
      <c r="AS24" s="8">
        <v>0</v>
      </c>
      <c r="AT24" s="8">
        <v>1</v>
      </c>
      <c r="AU24" s="8" t="s">
        <v>228</v>
      </c>
      <c r="AV24" s="8" t="s">
        <v>31</v>
      </c>
      <c r="AW24" s="8">
        <v>0</v>
      </c>
      <c r="AX24" s="8">
        <v>1</v>
      </c>
      <c r="AY24" s="8">
        <v>0</v>
      </c>
      <c r="AZ24" s="8">
        <v>1</v>
      </c>
      <c r="BA24" s="8">
        <v>0</v>
      </c>
      <c r="BB24" s="8">
        <v>0</v>
      </c>
      <c r="BC24" s="8" t="s">
        <v>19</v>
      </c>
      <c r="BD24" s="8" t="str">
        <f>LEFT(Gesamtueberblick!$BC24,4)</f>
        <v>2010</v>
      </c>
      <c r="BE24" s="8">
        <v>1</v>
      </c>
      <c r="BF24" s="8">
        <v>0</v>
      </c>
      <c r="BG24" s="8">
        <v>1</v>
      </c>
      <c r="BH24" s="8">
        <v>1</v>
      </c>
      <c r="BI24" s="10" t="s">
        <v>20</v>
      </c>
      <c r="BJ24" s="10"/>
      <c r="BK24" s="10"/>
      <c r="BL24" s="10"/>
      <c r="BM24" s="10"/>
      <c r="BN24" s="10"/>
      <c r="BO24" s="10"/>
      <c r="BP24" s="10"/>
      <c r="BQ24" s="10"/>
      <c r="BR24" s="10"/>
      <c r="BS24" s="10"/>
      <c r="BT24" s="10"/>
      <c r="BU24" s="10"/>
      <c r="BV24" s="10"/>
      <c r="BW24" s="93">
        <v>1</v>
      </c>
      <c r="BX24" s="93">
        <v>1</v>
      </c>
      <c r="BY24" s="93">
        <v>1</v>
      </c>
      <c r="BZ24" s="93">
        <v>1</v>
      </c>
      <c r="CA24" s="93">
        <v>1</v>
      </c>
      <c r="CB24" s="93">
        <v>1</v>
      </c>
      <c r="CC24" s="8" t="s">
        <v>1437</v>
      </c>
      <c r="CD24" s="8" t="s">
        <v>268</v>
      </c>
      <c r="CE24" s="8">
        <v>1</v>
      </c>
      <c r="CF24" s="8">
        <v>0</v>
      </c>
      <c r="CG24" s="8">
        <v>1</v>
      </c>
      <c r="CH24" s="8">
        <v>1</v>
      </c>
      <c r="CI24" s="8">
        <v>0</v>
      </c>
      <c r="CJ24" s="8">
        <v>0</v>
      </c>
    </row>
    <row r="25" spans="1:88" ht="242.25" x14ac:dyDescent="0.25">
      <c r="A25" s="6" t="s">
        <v>338</v>
      </c>
      <c r="B25" s="6" t="s">
        <v>1689</v>
      </c>
      <c r="C25" s="8" t="s">
        <v>340</v>
      </c>
      <c r="D25" s="8" t="s">
        <v>834</v>
      </c>
      <c r="E25" s="8" t="s">
        <v>131</v>
      </c>
      <c r="F25" s="8" t="s">
        <v>339</v>
      </c>
      <c r="G25" s="8" t="s">
        <v>807</v>
      </c>
      <c r="H25" s="8">
        <v>1</v>
      </c>
      <c r="I25" s="8">
        <v>1</v>
      </c>
      <c r="J25" s="8">
        <v>0</v>
      </c>
      <c r="K25" s="8">
        <v>0</v>
      </c>
      <c r="L25" s="8">
        <v>0</v>
      </c>
      <c r="M25" s="8">
        <v>1</v>
      </c>
      <c r="N25" s="8" t="s">
        <v>808</v>
      </c>
      <c r="O25" s="9" t="s">
        <v>805</v>
      </c>
      <c r="P25" s="8" t="s">
        <v>806</v>
      </c>
      <c r="Q25" s="9" t="s">
        <v>801</v>
      </c>
      <c r="R25" s="8">
        <v>1</v>
      </c>
      <c r="S25" s="8">
        <v>1</v>
      </c>
      <c r="T25" s="8">
        <v>0</v>
      </c>
      <c r="U25" s="8">
        <v>0</v>
      </c>
      <c r="V25" s="8">
        <v>0</v>
      </c>
      <c r="W25" s="8">
        <v>1</v>
      </c>
      <c r="X25" s="8">
        <v>0</v>
      </c>
      <c r="Y25" s="8">
        <v>1996</v>
      </c>
      <c r="Z25" s="8">
        <v>49</v>
      </c>
      <c r="AA25" s="8" t="s">
        <v>158</v>
      </c>
      <c r="AB25" s="8"/>
      <c r="AC25" s="8" t="s">
        <v>799</v>
      </c>
      <c r="AD25" s="8" t="s">
        <v>798</v>
      </c>
      <c r="AE25" s="8" t="s">
        <v>800</v>
      </c>
      <c r="AF25" s="8"/>
      <c r="AG25" s="8" t="s">
        <v>802</v>
      </c>
      <c r="AH25" s="8">
        <f>IF(Ueberblick[[#This Row],[Branchen, Produktionsprozesse Haushalte]]&lt;&gt;"",1,0)</f>
        <v>1</v>
      </c>
      <c r="AI25" s="8">
        <f>IF(Ueberblick[[#This Row],[Querschnittstechnologien im GHD-Sektor]]&lt;&gt;"",1,0)</f>
        <v>1</v>
      </c>
      <c r="AJ25" s="8">
        <f>IF(OR(Ueberblick[[#This Row],[Branchen, Produktionsprozesse Industrie]]&lt;&gt;"",Ueberblick[[#This Row],[Querschnittstechnologien Industrie]]&lt;&gt;""),1,0)</f>
        <v>1</v>
      </c>
      <c r="AK25" s="8" t="s">
        <v>803</v>
      </c>
      <c r="AL25" s="8">
        <v>1</v>
      </c>
      <c r="AM25" s="8">
        <v>1</v>
      </c>
      <c r="AN25" s="8">
        <v>1</v>
      </c>
      <c r="AO25" s="8">
        <v>1</v>
      </c>
      <c r="AP25" s="8">
        <v>0</v>
      </c>
      <c r="AQ25" s="8">
        <v>0</v>
      </c>
      <c r="AR25" s="8">
        <v>0</v>
      </c>
      <c r="AS25" s="8">
        <v>0</v>
      </c>
      <c r="AT25" s="8">
        <v>0</v>
      </c>
      <c r="AU25" s="8" t="s">
        <v>802</v>
      </c>
      <c r="AV25" s="8" t="s">
        <v>33</v>
      </c>
      <c r="AW25" s="8">
        <v>0</v>
      </c>
      <c r="AX25" s="8">
        <v>1</v>
      </c>
      <c r="AY25" s="8">
        <v>0</v>
      </c>
      <c r="AZ25" s="8">
        <v>0</v>
      </c>
      <c r="BA25" s="8">
        <v>0</v>
      </c>
      <c r="BB25" s="8">
        <v>0</v>
      </c>
      <c r="BC25" s="8" t="s">
        <v>84</v>
      </c>
      <c r="BD25" s="40" t="s">
        <v>1170</v>
      </c>
      <c r="BE25" s="8">
        <v>0</v>
      </c>
      <c r="BF25" s="8">
        <v>0</v>
      </c>
      <c r="BG25" s="8">
        <v>0</v>
      </c>
      <c r="BH25" s="8">
        <v>0</v>
      </c>
      <c r="BI25" s="10"/>
      <c r="BJ25" s="10"/>
      <c r="BK25" s="10"/>
      <c r="BL25" s="10"/>
      <c r="BM25" s="10"/>
      <c r="BN25" s="10"/>
      <c r="BO25" s="10"/>
      <c r="BP25" s="10"/>
      <c r="BQ25" s="10"/>
      <c r="BR25" s="10"/>
      <c r="BS25" s="10"/>
      <c r="BT25" s="10"/>
      <c r="BU25" s="10"/>
      <c r="BV25" s="10"/>
      <c r="BW25" s="93"/>
      <c r="BX25" s="93">
        <v>1</v>
      </c>
      <c r="BY25" s="93">
        <v>1</v>
      </c>
      <c r="BZ25" s="93">
        <v>1</v>
      </c>
      <c r="CA25" s="93">
        <v>1</v>
      </c>
      <c r="CB25" s="93"/>
      <c r="CC25" s="8" t="s">
        <v>1438</v>
      </c>
      <c r="CD25" s="8" t="s">
        <v>804</v>
      </c>
      <c r="CE25" s="8">
        <v>0</v>
      </c>
      <c r="CF25" s="8">
        <v>0</v>
      </c>
      <c r="CG25" s="8">
        <v>0</v>
      </c>
      <c r="CH25" s="8">
        <v>0</v>
      </c>
      <c r="CI25" s="8">
        <v>0</v>
      </c>
      <c r="CJ25" s="8">
        <v>0</v>
      </c>
    </row>
    <row r="26" spans="1:88" s="11" customFormat="1" ht="409.5" x14ac:dyDescent="0.25">
      <c r="A26" s="6" t="s">
        <v>351</v>
      </c>
      <c r="B26" s="6" t="s">
        <v>1690</v>
      </c>
      <c r="C26" s="8" t="s">
        <v>352</v>
      </c>
      <c r="D26" s="8" t="s">
        <v>61</v>
      </c>
      <c r="E26" s="8"/>
      <c r="F26" s="8" t="s">
        <v>353</v>
      </c>
      <c r="G26" s="8" t="s">
        <v>292</v>
      </c>
      <c r="H26" s="8">
        <v>1</v>
      </c>
      <c r="I26" s="8">
        <v>1</v>
      </c>
      <c r="J26" s="8">
        <v>1</v>
      </c>
      <c r="K26" s="8">
        <v>1</v>
      </c>
      <c r="L26" s="8">
        <v>1</v>
      </c>
      <c r="M26" s="8">
        <v>1</v>
      </c>
      <c r="N26" s="8" t="s">
        <v>289</v>
      </c>
      <c r="O26" s="9" t="s">
        <v>287</v>
      </c>
      <c r="P26" s="8">
        <v>55</v>
      </c>
      <c r="Q26" s="9" t="s">
        <v>290</v>
      </c>
      <c r="R26" s="8">
        <v>1</v>
      </c>
      <c r="S26" s="8">
        <v>1</v>
      </c>
      <c r="T26" s="8">
        <v>1</v>
      </c>
      <c r="U26" s="8">
        <v>0</v>
      </c>
      <c r="V26" s="8">
        <v>1</v>
      </c>
      <c r="W26" s="8">
        <v>1</v>
      </c>
      <c r="X26" s="8">
        <v>1</v>
      </c>
      <c r="Y26" s="8"/>
      <c r="Z26" s="8" t="s">
        <v>291</v>
      </c>
      <c r="AA26" s="8" t="s">
        <v>110</v>
      </c>
      <c r="AB26" s="8" t="s">
        <v>297</v>
      </c>
      <c r="AC26" s="8" t="s">
        <v>298</v>
      </c>
      <c r="AD26" s="8"/>
      <c r="AE26" s="8" t="s">
        <v>288</v>
      </c>
      <c r="AF26" s="8"/>
      <c r="AG26" s="8" t="s">
        <v>293</v>
      </c>
      <c r="AH26" s="8">
        <f>IF(Ueberblick[[#This Row],[Branchen, Produktionsprozesse Haushalte]]&lt;&gt;"",1,0)</f>
        <v>1</v>
      </c>
      <c r="AI26" s="8">
        <f>IF(Ueberblick[[#This Row],[Querschnittstechnologien im GHD-Sektor]]&lt;&gt;"",1,0)</f>
        <v>0</v>
      </c>
      <c r="AJ26" s="8">
        <f>IF(OR(Ueberblick[[#This Row],[Branchen, Produktionsprozesse Industrie]]&lt;&gt;"",Ueberblick[[#This Row],[Querschnittstechnologien Industrie]]&lt;&gt;""),1,0)</f>
        <v>1</v>
      </c>
      <c r="AK26" s="8" t="s">
        <v>296</v>
      </c>
      <c r="AL26" s="8">
        <v>1</v>
      </c>
      <c r="AM26" s="8">
        <v>1</v>
      </c>
      <c r="AN26" s="8">
        <v>1</v>
      </c>
      <c r="AO26" s="8">
        <v>1</v>
      </c>
      <c r="AP26" s="8">
        <v>1</v>
      </c>
      <c r="AQ26" s="8">
        <v>1</v>
      </c>
      <c r="AR26" s="8">
        <v>1</v>
      </c>
      <c r="AS26" s="8">
        <v>1</v>
      </c>
      <c r="AT26" s="8">
        <v>1</v>
      </c>
      <c r="AU26" s="8" t="s">
        <v>294</v>
      </c>
      <c r="AV26" s="8" t="s">
        <v>83</v>
      </c>
      <c r="AW26" s="8">
        <v>1</v>
      </c>
      <c r="AX26" s="8">
        <v>1</v>
      </c>
      <c r="AY26" s="8">
        <v>1</v>
      </c>
      <c r="AZ26" s="8">
        <v>0</v>
      </c>
      <c r="BA26" s="8">
        <v>0</v>
      </c>
      <c r="BB26" s="8">
        <v>0</v>
      </c>
      <c r="BC26" s="8" t="s">
        <v>50</v>
      </c>
      <c r="BD26" s="8" t="str">
        <f>LEFT(Gesamtueberblick!$BC26,4)</f>
        <v>2015</v>
      </c>
      <c r="BE26" s="8">
        <v>1</v>
      </c>
      <c r="BF26" s="8">
        <v>1</v>
      </c>
      <c r="BG26" s="8">
        <v>1</v>
      </c>
      <c r="BH26" s="8">
        <v>1</v>
      </c>
      <c r="BI26" s="10" t="s">
        <v>29</v>
      </c>
      <c r="BJ26" s="10"/>
      <c r="BK26" s="10"/>
      <c r="BL26" s="10"/>
      <c r="BM26" s="10"/>
      <c r="BN26" s="10"/>
      <c r="BO26" s="10"/>
      <c r="BP26" s="10"/>
      <c r="BQ26" s="10"/>
      <c r="BR26" s="10"/>
      <c r="BS26" s="10"/>
      <c r="BT26" s="10"/>
      <c r="BU26" s="10"/>
      <c r="BV26" s="10"/>
      <c r="BW26" s="93">
        <v>1</v>
      </c>
      <c r="BX26" s="93">
        <v>1</v>
      </c>
      <c r="BY26" s="93">
        <v>1</v>
      </c>
      <c r="BZ26" s="93">
        <v>1</v>
      </c>
      <c r="CA26" s="93">
        <v>1</v>
      </c>
      <c r="CB26" s="93">
        <v>1</v>
      </c>
      <c r="CC26" s="8" t="s">
        <v>1439</v>
      </c>
      <c r="CD26" s="8" t="s">
        <v>295</v>
      </c>
      <c r="CE26" s="8">
        <v>0</v>
      </c>
      <c r="CF26" s="8">
        <v>1</v>
      </c>
      <c r="CG26" s="8">
        <v>1</v>
      </c>
      <c r="CH26" s="8">
        <v>1</v>
      </c>
      <c r="CI26" s="8">
        <v>1</v>
      </c>
      <c r="CJ26" s="8">
        <v>1</v>
      </c>
    </row>
    <row r="27" spans="1:88" s="11" customFormat="1" ht="229.5" x14ac:dyDescent="0.25">
      <c r="A27" s="6" t="s">
        <v>24</v>
      </c>
      <c r="B27" s="6" t="s">
        <v>1691</v>
      </c>
      <c r="C27" s="8" t="s">
        <v>23</v>
      </c>
      <c r="D27" s="8" t="s">
        <v>245</v>
      </c>
      <c r="E27" s="8" t="s">
        <v>244</v>
      </c>
      <c r="F27" s="8" t="s">
        <v>0</v>
      </c>
      <c r="G27" s="8" t="s">
        <v>1714</v>
      </c>
      <c r="H27" s="8">
        <v>0</v>
      </c>
      <c r="I27" s="8">
        <v>1</v>
      </c>
      <c r="J27" s="8">
        <v>0</v>
      </c>
      <c r="K27" s="8">
        <v>1</v>
      </c>
      <c r="L27" s="8">
        <v>0</v>
      </c>
      <c r="M27" s="8">
        <v>1</v>
      </c>
      <c r="N27" s="13" t="s">
        <v>251</v>
      </c>
      <c r="O27" s="9" t="s">
        <v>252</v>
      </c>
      <c r="P27" s="8" t="s">
        <v>250</v>
      </c>
      <c r="Q27" s="9" t="s">
        <v>253</v>
      </c>
      <c r="R27" s="8">
        <v>1</v>
      </c>
      <c r="S27" s="8">
        <v>1</v>
      </c>
      <c r="T27" s="8">
        <v>0</v>
      </c>
      <c r="U27" s="8">
        <v>0</v>
      </c>
      <c r="V27" s="8">
        <v>0</v>
      </c>
      <c r="W27" s="8">
        <v>1</v>
      </c>
      <c r="X27" s="8">
        <v>0</v>
      </c>
      <c r="Y27" s="8" t="s">
        <v>249</v>
      </c>
      <c r="Z27" s="8" t="s">
        <v>250</v>
      </c>
      <c r="AA27" s="8" t="s">
        <v>110</v>
      </c>
      <c r="AB27" s="8" t="s">
        <v>964</v>
      </c>
      <c r="AC27" s="8" t="s">
        <v>965</v>
      </c>
      <c r="AD27" s="8"/>
      <c r="AE27" s="8" t="s">
        <v>246</v>
      </c>
      <c r="AF27" s="8"/>
      <c r="AG27" s="8" t="s">
        <v>250</v>
      </c>
      <c r="AH27" s="8">
        <f>IF(Ueberblick[[#This Row],[Branchen, Produktionsprozesse Haushalte]]&lt;&gt;"",1,0)</f>
        <v>1</v>
      </c>
      <c r="AI27" s="8">
        <f>IF(Ueberblick[[#This Row],[Querschnittstechnologien im GHD-Sektor]]&lt;&gt;"",1,0)</f>
        <v>0</v>
      </c>
      <c r="AJ27" s="8">
        <f>IF(OR(Ueberblick[[#This Row],[Branchen, Produktionsprozesse Industrie]]&lt;&gt;"",Ueberblick[[#This Row],[Querschnittstechnologien Industrie]]&lt;&gt;""),1,0)</f>
        <v>1</v>
      </c>
      <c r="AK27" s="8" t="s">
        <v>55</v>
      </c>
      <c r="AL27" s="8">
        <v>1</v>
      </c>
      <c r="AM27" s="8">
        <v>1</v>
      </c>
      <c r="AN27" s="8">
        <v>1</v>
      </c>
      <c r="AO27" s="8">
        <v>0</v>
      </c>
      <c r="AP27" s="8">
        <v>1</v>
      </c>
      <c r="AQ27" s="8">
        <v>1</v>
      </c>
      <c r="AR27" s="8">
        <v>1</v>
      </c>
      <c r="AS27" s="8">
        <v>1</v>
      </c>
      <c r="AT27" s="8">
        <v>1</v>
      </c>
      <c r="AU27" s="8" t="s">
        <v>250</v>
      </c>
      <c r="AV27" s="8" t="s">
        <v>247</v>
      </c>
      <c r="AW27" s="8">
        <v>0</v>
      </c>
      <c r="AX27" s="8">
        <v>1</v>
      </c>
      <c r="AY27" s="8">
        <v>0</v>
      </c>
      <c r="AZ27" s="8">
        <v>0</v>
      </c>
      <c r="BA27" s="8">
        <v>0</v>
      </c>
      <c r="BB27" s="8">
        <v>1</v>
      </c>
      <c r="BC27" s="8" t="s">
        <v>248</v>
      </c>
      <c r="BD27" s="8" t="str">
        <f>LEFT(Gesamtueberblick!$BC27,4)</f>
        <v>2013</v>
      </c>
      <c r="BE27" s="8">
        <v>0</v>
      </c>
      <c r="BF27" s="8">
        <v>0.5</v>
      </c>
      <c r="BG27" s="8">
        <v>0</v>
      </c>
      <c r="BH27" s="8">
        <v>1</v>
      </c>
      <c r="BI27" s="10" t="s">
        <v>4</v>
      </c>
      <c r="BJ27" s="10"/>
      <c r="BK27" s="10"/>
      <c r="BL27" s="10"/>
      <c r="BM27" s="10"/>
      <c r="BN27" s="10"/>
      <c r="BO27" s="10">
        <v>1.9</v>
      </c>
      <c r="BP27" s="10">
        <v>1.7</v>
      </c>
      <c r="BQ27" s="10"/>
      <c r="BR27" s="10"/>
      <c r="BS27" s="10">
        <v>120</v>
      </c>
      <c r="BT27" s="10">
        <v>120</v>
      </c>
      <c r="BU27" s="10"/>
      <c r="BV27" s="10"/>
      <c r="BW27" s="93">
        <v>1</v>
      </c>
      <c r="BX27" s="93">
        <v>1</v>
      </c>
      <c r="BY27" s="93">
        <v>1</v>
      </c>
      <c r="BZ27" s="93"/>
      <c r="CA27" s="93"/>
      <c r="CB27" s="93"/>
      <c r="CC27" s="8" t="s">
        <v>1440</v>
      </c>
      <c r="CD27" s="8" t="s">
        <v>1441</v>
      </c>
      <c r="CE27" s="8">
        <v>0</v>
      </c>
      <c r="CF27" s="8">
        <v>1</v>
      </c>
      <c r="CG27" s="8">
        <v>1</v>
      </c>
      <c r="CH27" s="8">
        <v>1</v>
      </c>
      <c r="CI27" s="8">
        <v>1</v>
      </c>
      <c r="CJ27" s="8">
        <v>0</v>
      </c>
    </row>
    <row r="28" spans="1:88" s="11" customFormat="1" x14ac:dyDescent="0.25">
      <c r="A28" s="6"/>
      <c r="B28" s="6"/>
      <c r="C28" s="8"/>
      <c r="D28" s="8"/>
      <c r="E28" s="8"/>
      <c r="F28" s="8"/>
      <c r="G28" s="8"/>
      <c r="H28" s="8"/>
      <c r="I28" s="8"/>
      <c r="J28" s="8"/>
      <c r="K28" s="8"/>
      <c r="L28" s="8"/>
      <c r="M28" s="8"/>
      <c r="N28" s="13"/>
      <c r="O28" s="9"/>
      <c r="P28" s="8"/>
      <c r="Q28" s="9"/>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10"/>
      <c r="BJ28" s="10"/>
      <c r="BK28" s="10"/>
      <c r="BL28" s="10"/>
      <c r="BM28" s="10"/>
      <c r="BN28" s="10"/>
      <c r="BO28" s="10"/>
      <c r="BP28" s="10"/>
      <c r="BQ28" s="10"/>
      <c r="BR28" s="10"/>
      <c r="BS28" s="10"/>
      <c r="BT28" s="10"/>
      <c r="BU28" s="10"/>
      <c r="BV28" s="10"/>
      <c r="BW28" s="93"/>
      <c r="BX28" s="93"/>
      <c r="BY28" s="93"/>
      <c r="BZ28" s="93"/>
      <c r="CA28" s="93"/>
      <c r="CB28" s="93"/>
      <c r="CC28" s="8"/>
      <c r="CD28" s="8"/>
      <c r="CE28" s="8"/>
      <c r="CF28" s="8"/>
      <c r="CG28" s="8"/>
      <c r="CH28" s="8"/>
      <c r="CI28" s="8"/>
      <c r="CJ28" s="8"/>
    </row>
    <row r="29" spans="1:88" ht="76.5" x14ac:dyDescent="0.25">
      <c r="A29" s="6" t="s">
        <v>1724</v>
      </c>
      <c r="B29" s="6" t="s">
        <v>1729</v>
      </c>
      <c r="C29" s="32" t="s">
        <v>1725</v>
      </c>
      <c r="D29" s="32" t="s">
        <v>1734</v>
      </c>
      <c r="E29" s="8" t="s">
        <v>1716</v>
      </c>
      <c r="F29" s="8" t="s">
        <v>0</v>
      </c>
      <c r="G29" s="9" t="s">
        <v>1726</v>
      </c>
      <c r="H29" s="8" t="s">
        <v>1722</v>
      </c>
      <c r="I29" s="8">
        <v>1</v>
      </c>
      <c r="J29" s="8" t="s">
        <v>1723</v>
      </c>
      <c r="K29" s="8">
        <v>0</v>
      </c>
      <c r="L29" s="113" t="s">
        <v>1735</v>
      </c>
      <c r="M29" s="8" t="s">
        <v>1722</v>
      </c>
      <c r="N29" s="12" t="s">
        <v>1727</v>
      </c>
      <c r="O29" s="8"/>
      <c r="P29" s="8"/>
      <c r="Q29" s="8" t="s">
        <v>1728</v>
      </c>
      <c r="R29" s="8">
        <v>1</v>
      </c>
      <c r="S29" s="8">
        <v>1</v>
      </c>
      <c r="T29" s="8">
        <v>1</v>
      </c>
      <c r="U29" s="8">
        <v>0</v>
      </c>
      <c r="V29" s="8">
        <v>1</v>
      </c>
      <c r="W29" s="8">
        <v>1</v>
      </c>
      <c r="X29" s="8" t="s">
        <v>1722</v>
      </c>
      <c r="Y29" s="8" t="s">
        <v>1764</v>
      </c>
      <c r="Z29" s="8" t="s">
        <v>1752</v>
      </c>
      <c r="AA29" s="8" t="s">
        <v>158</v>
      </c>
      <c r="AB29" s="8"/>
      <c r="AC29" s="8"/>
      <c r="AD29" s="8"/>
      <c r="AE29" s="8"/>
      <c r="AF29" s="8"/>
      <c r="AG29" s="8" t="s">
        <v>1719</v>
      </c>
      <c r="AH29" s="8">
        <v>0</v>
      </c>
      <c r="AI29" s="8">
        <v>0</v>
      </c>
      <c r="AJ29" s="8" t="s">
        <v>1722</v>
      </c>
      <c r="AK29" s="8"/>
      <c r="AL29" s="8">
        <v>1</v>
      </c>
      <c r="AM29" s="8">
        <v>1</v>
      </c>
      <c r="AN29" s="8">
        <v>1</v>
      </c>
      <c r="AO29" s="8">
        <v>0</v>
      </c>
      <c r="AP29" s="8">
        <v>1</v>
      </c>
      <c r="AQ29" s="8" t="s">
        <v>1735</v>
      </c>
      <c r="AR29" s="8" t="s">
        <v>1735</v>
      </c>
      <c r="AS29" s="8">
        <v>0</v>
      </c>
      <c r="AT29" s="8">
        <v>0.5</v>
      </c>
      <c r="AU29" s="8"/>
      <c r="AV29" s="8"/>
      <c r="AW29" s="8">
        <v>1</v>
      </c>
      <c r="AX29" s="8">
        <v>1</v>
      </c>
      <c r="AY29" s="8">
        <v>0.5</v>
      </c>
      <c r="AZ29" s="8">
        <v>0.5</v>
      </c>
      <c r="BA29" s="8">
        <v>0</v>
      </c>
      <c r="BB29" s="8">
        <v>0</v>
      </c>
      <c r="BC29" s="8"/>
      <c r="BD29" s="8" t="str">
        <f>LEFT(Gesamtueberblick!$BC29,4)</f>
        <v/>
      </c>
      <c r="BE29" s="8"/>
      <c r="BF29" s="8"/>
      <c r="BG29" s="8"/>
      <c r="BH29" s="8"/>
      <c r="BI29" s="10"/>
      <c r="BJ29" s="10"/>
      <c r="BK29" s="10"/>
      <c r="BL29" s="10"/>
      <c r="BM29" s="10"/>
      <c r="BN29" s="10"/>
      <c r="BO29" s="10"/>
      <c r="BP29" s="10"/>
      <c r="BQ29" s="10"/>
      <c r="BR29" s="10"/>
      <c r="BS29" s="10"/>
      <c r="BT29" s="10"/>
      <c r="BU29" s="10"/>
      <c r="BV29" s="10"/>
      <c r="BW29" s="93"/>
      <c r="BX29" s="93"/>
      <c r="BY29" s="93"/>
      <c r="BZ29" s="93"/>
      <c r="CA29" s="93"/>
      <c r="CB29" s="93"/>
      <c r="CC29" s="8"/>
      <c r="CD29" s="8" t="s">
        <v>1720</v>
      </c>
      <c r="CE29" s="8" t="s">
        <v>1723</v>
      </c>
      <c r="CF29" s="8" t="s">
        <v>1723</v>
      </c>
      <c r="CG29" s="8" t="s">
        <v>1723</v>
      </c>
      <c r="CH29" s="8" t="s">
        <v>1723</v>
      </c>
      <c r="CI29" s="8" t="s">
        <v>1723</v>
      </c>
      <c r="CJ29" s="8" t="s">
        <v>1723</v>
      </c>
    </row>
    <row r="30" spans="1:88" ht="204" x14ac:dyDescent="0.25">
      <c r="A30" s="6" t="s">
        <v>1737</v>
      </c>
      <c r="B30" s="6" t="s">
        <v>1738</v>
      </c>
      <c r="C30" s="32" t="s">
        <v>1739</v>
      </c>
      <c r="D30" s="32" t="s">
        <v>63</v>
      </c>
      <c r="E30" s="8" t="s">
        <v>1740</v>
      </c>
      <c r="F30" s="8" t="s">
        <v>1741</v>
      </c>
      <c r="G30" s="9" t="s">
        <v>1744</v>
      </c>
      <c r="H30" s="8" t="s">
        <v>1722</v>
      </c>
      <c r="I30" s="8">
        <v>1</v>
      </c>
      <c r="J30" s="8">
        <v>1</v>
      </c>
      <c r="K30" s="8">
        <v>0</v>
      </c>
      <c r="L30" s="113">
        <v>1</v>
      </c>
      <c r="M30" s="8" t="s">
        <v>1722</v>
      </c>
      <c r="N30" s="12" t="s">
        <v>1742</v>
      </c>
      <c r="O30" s="8"/>
      <c r="P30" s="8"/>
      <c r="Q30" s="8" t="s">
        <v>1763</v>
      </c>
      <c r="R30" s="8">
        <v>1</v>
      </c>
      <c r="S30" s="8">
        <v>1</v>
      </c>
      <c r="T30" s="8">
        <v>0</v>
      </c>
      <c r="U30" s="8">
        <v>0</v>
      </c>
      <c r="V30" s="8">
        <v>0</v>
      </c>
      <c r="W30" s="8">
        <v>1</v>
      </c>
      <c r="X30" s="8">
        <v>0</v>
      </c>
      <c r="Y30" s="8" t="s">
        <v>1765</v>
      </c>
      <c r="Z30" s="12" t="s">
        <v>1742</v>
      </c>
      <c r="AA30" s="8" t="s">
        <v>110</v>
      </c>
      <c r="AB30" s="8"/>
      <c r="AC30" s="8"/>
      <c r="AD30" s="8"/>
      <c r="AE30" s="8"/>
      <c r="AF30" s="8"/>
      <c r="AG30" s="8">
        <v>100008</v>
      </c>
      <c r="AH30" s="8">
        <v>1</v>
      </c>
      <c r="AI30" s="8">
        <v>1</v>
      </c>
      <c r="AJ30" s="8">
        <v>1</v>
      </c>
      <c r="AK30" s="8"/>
      <c r="AL30" s="8">
        <v>1</v>
      </c>
      <c r="AM30" s="8">
        <v>1</v>
      </c>
      <c r="AN30" s="8">
        <v>1</v>
      </c>
      <c r="AO30" s="8">
        <v>0</v>
      </c>
      <c r="AP30" s="8">
        <v>1</v>
      </c>
      <c r="AQ30" s="8">
        <v>0</v>
      </c>
      <c r="AR30" s="8">
        <v>1</v>
      </c>
      <c r="AS30" s="8">
        <v>0</v>
      </c>
      <c r="AT30" s="8">
        <v>1</v>
      </c>
      <c r="AU30" s="8"/>
      <c r="AV30" s="8"/>
      <c r="AW30" s="8">
        <v>0</v>
      </c>
      <c r="AX30" s="8">
        <v>1</v>
      </c>
      <c r="AY30" s="8">
        <v>1</v>
      </c>
      <c r="AZ30" s="8">
        <v>0</v>
      </c>
      <c r="BA30" s="8">
        <v>0</v>
      </c>
      <c r="BB30" s="8">
        <v>0</v>
      </c>
      <c r="BC30" s="8"/>
      <c r="BD30" s="8"/>
      <c r="BE30" s="8"/>
      <c r="BF30" s="8"/>
      <c r="BG30" s="8"/>
      <c r="BH30" s="8"/>
      <c r="BI30" s="10"/>
      <c r="BJ30" s="10"/>
      <c r="BK30" s="10"/>
      <c r="BL30" s="10"/>
      <c r="BM30" s="10"/>
      <c r="BN30" s="10"/>
      <c r="BO30" s="10"/>
      <c r="BP30" s="10"/>
      <c r="BQ30" s="10"/>
      <c r="BR30" s="10"/>
      <c r="BS30" s="10"/>
      <c r="BT30" s="10"/>
      <c r="BU30" s="10"/>
      <c r="BV30" s="10"/>
      <c r="BW30" s="93"/>
      <c r="BX30" s="93"/>
      <c r="BY30" s="93"/>
      <c r="BZ30" s="93"/>
      <c r="CA30" s="93"/>
      <c r="CB30" s="93"/>
      <c r="CC30" s="8"/>
      <c r="CD30" s="8" t="s">
        <v>1743</v>
      </c>
      <c r="CE30" s="8">
        <v>0</v>
      </c>
      <c r="CF30" s="8">
        <v>0</v>
      </c>
      <c r="CG30" s="8">
        <v>0</v>
      </c>
      <c r="CH30" s="8">
        <v>0</v>
      </c>
      <c r="CI30" s="8">
        <v>0</v>
      </c>
      <c r="CJ30" s="8">
        <v>0</v>
      </c>
    </row>
    <row r="31" spans="1:88" ht="63.75" x14ac:dyDescent="0.25">
      <c r="A31" s="6" t="s">
        <v>1767</v>
      </c>
      <c r="B31" s="6" t="s">
        <v>1768</v>
      </c>
      <c r="C31" s="114" t="s">
        <v>1769</v>
      </c>
      <c r="D31" s="32" t="s">
        <v>1770</v>
      </c>
      <c r="E31" s="8" t="s">
        <v>1771</v>
      </c>
      <c r="F31" s="8" t="s">
        <v>1772</v>
      </c>
      <c r="G31" s="9" t="s">
        <v>1773</v>
      </c>
      <c r="H31" s="8">
        <v>1</v>
      </c>
      <c r="I31" s="8">
        <v>1</v>
      </c>
      <c r="J31" s="8">
        <v>1</v>
      </c>
      <c r="K31" s="8">
        <v>1</v>
      </c>
      <c r="L31" s="113">
        <v>0</v>
      </c>
      <c r="M31" s="8">
        <v>1</v>
      </c>
      <c r="N31" s="12"/>
      <c r="O31" s="8"/>
      <c r="P31" s="8"/>
      <c r="Q31" s="8" t="s">
        <v>1774</v>
      </c>
      <c r="R31" s="8">
        <v>1</v>
      </c>
      <c r="S31" s="8">
        <v>1</v>
      </c>
      <c r="T31" s="8">
        <v>0</v>
      </c>
      <c r="U31" s="8">
        <v>0</v>
      </c>
      <c r="V31" s="8">
        <v>1</v>
      </c>
      <c r="W31" s="8">
        <v>0</v>
      </c>
      <c r="X31" s="8">
        <v>1</v>
      </c>
      <c r="Y31" s="8"/>
      <c r="Z31" s="12"/>
      <c r="AA31" s="8"/>
      <c r="AB31" s="8"/>
      <c r="AC31" s="8"/>
      <c r="AD31" s="8"/>
      <c r="AE31" s="8"/>
      <c r="AF31" s="8"/>
      <c r="AG31" s="8">
        <v>12</v>
      </c>
      <c r="AH31" s="8">
        <v>0</v>
      </c>
      <c r="AI31" s="8">
        <v>1</v>
      </c>
      <c r="AJ31" s="8">
        <v>1</v>
      </c>
      <c r="AK31" s="8"/>
      <c r="AL31" s="8"/>
      <c r="AM31" s="8"/>
      <c r="AN31" s="8"/>
      <c r="AO31" s="8"/>
      <c r="AP31" s="8"/>
      <c r="AQ31" s="8"/>
      <c r="AR31" s="8"/>
      <c r="AS31" s="8"/>
      <c r="AT31" s="8"/>
      <c r="AU31" s="8">
        <v>11</v>
      </c>
      <c r="AV31" s="8"/>
      <c r="AW31" s="8"/>
      <c r="AX31" s="8"/>
      <c r="AY31" s="8"/>
      <c r="AZ31" s="8"/>
      <c r="BA31" s="8"/>
      <c r="BB31" s="8"/>
      <c r="BC31" s="8"/>
      <c r="BD31" s="8"/>
      <c r="BE31" s="8"/>
      <c r="BF31" s="8"/>
      <c r="BG31" s="8"/>
      <c r="BH31" s="8"/>
      <c r="BI31" s="10"/>
      <c r="BJ31" s="10"/>
      <c r="BK31" s="10"/>
      <c r="BL31" s="10"/>
      <c r="BM31" s="10"/>
      <c r="BN31" s="10"/>
      <c r="BO31" s="10"/>
      <c r="BP31" s="10"/>
      <c r="BQ31" s="10"/>
      <c r="BR31" s="10"/>
      <c r="BS31" s="10"/>
      <c r="BT31" s="10"/>
      <c r="BU31" s="10"/>
      <c r="BV31" s="10"/>
      <c r="BW31" s="93"/>
      <c r="BX31" s="93"/>
      <c r="BY31" s="93"/>
      <c r="BZ31" s="93"/>
      <c r="CA31" s="93"/>
      <c r="CB31" s="93"/>
      <c r="CC31" s="8"/>
      <c r="CD31" s="8"/>
      <c r="CE31" s="8"/>
      <c r="CF31" s="8"/>
      <c r="CG31" s="8"/>
      <c r="CH31" s="8"/>
      <c r="CI31" s="8"/>
      <c r="CJ31" s="8"/>
    </row>
    <row r="32" spans="1:88" s="11" customFormat="1" ht="51" x14ac:dyDescent="0.25">
      <c r="A32" s="6" t="s">
        <v>1745</v>
      </c>
      <c r="B32" s="6" t="s">
        <v>1746</v>
      </c>
      <c r="C32" s="8" t="s">
        <v>1747</v>
      </c>
      <c r="D32" s="8" t="s">
        <v>1748</v>
      </c>
      <c r="E32" s="8" t="s">
        <v>131</v>
      </c>
      <c r="F32" s="8" t="s">
        <v>1741</v>
      </c>
      <c r="G32" s="9" t="s">
        <v>1749</v>
      </c>
      <c r="H32" s="8">
        <v>1</v>
      </c>
      <c r="I32" s="8">
        <v>0</v>
      </c>
      <c r="J32" s="8">
        <v>0</v>
      </c>
      <c r="K32" s="8">
        <v>0</v>
      </c>
      <c r="L32" s="8">
        <v>0</v>
      </c>
      <c r="M32" s="8">
        <v>1</v>
      </c>
      <c r="N32" s="13" t="s">
        <v>1750</v>
      </c>
      <c r="O32" s="9"/>
      <c r="P32" s="8"/>
      <c r="Q32" s="9" t="s">
        <v>1751</v>
      </c>
      <c r="R32" s="8">
        <v>1</v>
      </c>
      <c r="S32" s="8">
        <v>0</v>
      </c>
      <c r="T32" s="8">
        <v>0</v>
      </c>
      <c r="U32" s="8">
        <v>0</v>
      </c>
      <c r="V32" s="8">
        <v>0</v>
      </c>
      <c r="W32" s="8">
        <v>0</v>
      </c>
      <c r="X32" s="8">
        <v>0</v>
      </c>
      <c r="Y32" s="8">
        <v>2014</v>
      </c>
      <c r="Z32" s="8" t="s">
        <v>1750</v>
      </c>
      <c r="AA32" s="8" t="s">
        <v>110</v>
      </c>
      <c r="AB32" s="8"/>
      <c r="AC32" s="8"/>
      <c r="AD32" s="8"/>
      <c r="AE32" s="8"/>
      <c r="AF32" s="8"/>
      <c r="AG32" s="8">
        <v>1292</v>
      </c>
      <c r="AH32" s="8">
        <f>IF(Ueberblick[[#This Row],[Branchen, Produktionsprozesse Haushalte]]&lt;&gt;"",1,0)</f>
        <v>0</v>
      </c>
      <c r="AI32" s="8">
        <f>IF(Ueberblick[[#This Row],[Querschnittstechnologien im GHD-Sektor]]&lt;&gt;"",1,0)</f>
        <v>0</v>
      </c>
      <c r="AJ32" s="8">
        <f>IF(OR(Ueberblick[[#This Row],[Branchen, Produktionsprozesse Industrie]]&lt;&gt;"",Ueberblick[[#This Row],[Querschnittstechnologien Industrie]]&lt;&gt;""),1,0)</f>
        <v>0</v>
      </c>
      <c r="AK32" s="8"/>
      <c r="AL32" s="8">
        <v>0</v>
      </c>
      <c r="AM32" s="8">
        <v>1</v>
      </c>
      <c r="AN32" s="8">
        <v>1</v>
      </c>
      <c r="AO32" s="8">
        <v>0</v>
      </c>
      <c r="AP32" s="8">
        <v>1</v>
      </c>
      <c r="AQ32" s="8">
        <v>0</v>
      </c>
      <c r="AR32" s="8">
        <v>0</v>
      </c>
      <c r="AS32" s="8">
        <v>0</v>
      </c>
      <c r="AT32" s="8">
        <v>0</v>
      </c>
      <c r="AU32" s="8"/>
      <c r="AV32" s="8"/>
      <c r="AW32" s="8">
        <v>0</v>
      </c>
      <c r="AX32" s="8">
        <v>1</v>
      </c>
      <c r="AY32" s="8">
        <v>0</v>
      </c>
      <c r="AZ32" s="8">
        <v>0</v>
      </c>
      <c r="BA32" s="8">
        <v>0</v>
      </c>
      <c r="BB32" s="8">
        <v>0</v>
      </c>
      <c r="BC32" s="8"/>
      <c r="BD32" s="8" t="str">
        <f>LEFT(Gesamtueberblick!$BC32,4)</f>
        <v/>
      </c>
      <c r="BE32" s="8"/>
      <c r="BF32" s="8"/>
      <c r="BG32" s="8"/>
      <c r="BH32" s="8"/>
      <c r="BI32" s="10"/>
      <c r="BJ32" s="10"/>
      <c r="BK32" s="10"/>
      <c r="BL32" s="10"/>
      <c r="BM32" s="10"/>
      <c r="BN32" s="10"/>
      <c r="BO32" s="10"/>
      <c r="BP32" s="10"/>
      <c r="BQ32" s="10"/>
      <c r="BR32" s="10"/>
      <c r="BS32" s="10"/>
      <c r="BT32" s="10"/>
      <c r="BU32" s="10"/>
      <c r="BV32" s="10"/>
      <c r="BW32" s="93"/>
      <c r="BX32" s="93"/>
      <c r="BY32" s="93"/>
      <c r="BZ32" s="93"/>
      <c r="CA32" s="93"/>
      <c r="CB32" s="93"/>
      <c r="CC32" s="8"/>
      <c r="CD32" s="8" t="s">
        <v>1753</v>
      </c>
      <c r="CE32" s="8">
        <v>0</v>
      </c>
      <c r="CF32" s="8">
        <v>0</v>
      </c>
      <c r="CG32" s="8">
        <v>0</v>
      </c>
      <c r="CH32" s="8">
        <v>0</v>
      </c>
      <c r="CI32" s="8">
        <v>0</v>
      </c>
      <c r="CJ32" s="8">
        <v>0</v>
      </c>
    </row>
    <row r="33" spans="1:88" s="11" customFormat="1" ht="114.75" x14ac:dyDescent="0.25">
      <c r="A33" s="6" t="s">
        <v>1755</v>
      </c>
      <c r="B33" s="6" t="s">
        <v>1721</v>
      </c>
      <c r="C33" s="8" t="s">
        <v>1715</v>
      </c>
      <c r="D33" s="8" t="s">
        <v>1734</v>
      </c>
      <c r="E33" s="8" t="s">
        <v>1716</v>
      </c>
      <c r="F33" s="8" t="s">
        <v>0</v>
      </c>
      <c r="G33" s="8" t="s">
        <v>1731</v>
      </c>
      <c r="H33" s="8" t="s">
        <v>1722</v>
      </c>
      <c r="I33" s="8" t="s">
        <v>1723</v>
      </c>
      <c r="J33" s="8" t="s">
        <v>1723</v>
      </c>
      <c r="K33" s="8" t="s">
        <v>1723</v>
      </c>
      <c r="L33" s="8" t="s">
        <v>1735</v>
      </c>
      <c r="M33" s="8" t="s">
        <v>1722</v>
      </c>
      <c r="N33" s="8" t="s">
        <v>1717</v>
      </c>
      <c r="O33" s="8"/>
      <c r="P33" s="8"/>
      <c r="Q33" s="8" t="s">
        <v>1718</v>
      </c>
      <c r="R33" s="8" t="s">
        <v>1722</v>
      </c>
      <c r="S33" s="8" t="s">
        <v>1722</v>
      </c>
      <c r="T33" s="8" t="s">
        <v>1722</v>
      </c>
      <c r="U33" s="8" t="s">
        <v>1723</v>
      </c>
      <c r="V33" s="8" t="s">
        <v>1722</v>
      </c>
      <c r="W33" s="8" t="s">
        <v>1722</v>
      </c>
      <c r="X33" s="8" t="s">
        <v>1722</v>
      </c>
      <c r="Y33" s="8" t="s">
        <v>1764</v>
      </c>
      <c r="Z33" s="8" t="s">
        <v>1736</v>
      </c>
      <c r="AA33" s="8" t="s">
        <v>158</v>
      </c>
      <c r="AB33" s="8"/>
      <c r="AC33" s="8"/>
      <c r="AD33" s="8"/>
      <c r="AE33" s="8"/>
      <c r="AF33" s="8"/>
      <c r="AG33" s="8" t="s">
        <v>1719</v>
      </c>
      <c r="AH33" s="8" t="s">
        <v>1723</v>
      </c>
      <c r="AI33" s="8" t="s">
        <v>1723</v>
      </c>
      <c r="AJ33" s="8" t="s">
        <v>1722</v>
      </c>
      <c r="AK33" s="8"/>
      <c r="AL33" s="8">
        <v>1</v>
      </c>
      <c r="AM33" s="8">
        <v>1</v>
      </c>
      <c r="AN33" s="8">
        <v>1</v>
      </c>
      <c r="AO33" s="8">
        <v>0</v>
      </c>
      <c r="AP33" s="8">
        <v>1</v>
      </c>
      <c r="AQ33" s="8" t="s">
        <v>1735</v>
      </c>
      <c r="AR33" s="8" t="s">
        <v>1735</v>
      </c>
      <c r="AS33" s="8">
        <v>0</v>
      </c>
      <c r="AT33" s="8">
        <v>0.5</v>
      </c>
      <c r="AU33" s="8"/>
      <c r="AV33" s="8"/>
      <c r="AW33" s="8">
        <v>0</v>
      </c>
      <c r="AX33" s="8">
        <v>1</v>
      </c>
      <c r="AY33" s="8">
        <v>0.5</v>
      </c>
      <c r="AZ33" s="8">
        <v>0.5</v>
      </c>
      <c r="BA33" s="8">
        <v>0</v>
      </c>
      <c r="BB33" s="8">
        <v>0</v>
      </c>
      <c r="BC33" s="8"/>
      <c r="BD33" s="8" t="str">
        <f>LEFT(Gesamtueberblick!$BC33,4)</f>
        <v/>
      </c>
      <c r="BE33" s="8"/>
      <c r="BF33" s="8"/>
      <c r="BG33" s="8"/>
      <c r="BH33" s="8"/>
      <c r="BI33" s="10"/>
      <c r="BJ33" s="10"/>
      <c r="BK33" s="10"/>
      <c r="BL33" s="10"/>
      <c r="BM33" s="10"/>
      <c r="BN33" s="10"/>
      <c r="BO33" s="10"/>
      <c r="BP33" s="10"/>
      <c r="BQ33" s="10"/>
      <c r="BR33" s="10"/>
      <c r="BS33" s="10"/>
      <c r="BT33" s="10"/>
      <c r="BU33" s="10"/>
      <c r="BV33" s="10"/>
      <c r="BW33" s="93"/>
      <c r="BX33" s="93"/>
      <c r="BY33" s="93"/>
      <c r="BZ33" s="93"/>
      <c r="CA33" s="93"/>
      <c r="CB33" s="93"/>
      <c r="CC33" s="8"/>
      <c r="CD33" s="8" t="s">
        <v>1730</v>
      </c>
      <c r="CE33" s="8" t="s">
        <v>1723</v>
      </c>
      <c r="CF33" s="8" t="s">
        <v>1723</v>
      </c>
      <c r="CG33" s="8" t="s">
        <v>1723</v>
      </c>
      <c r="CH33" s="8" t="s">
        <v>1723</v>
      </c>
      <c r="CI33" s="8" t="s">
        <v>1723</v>
      </c>
      <c r="CJ33" s="8" t="s">
        <v>1723</v>
      </c>
    </row>
    <row r="34" spans="1:88" s="11" customFormat="1" ht="76.5" x14ac:dyDescent="0.25">
      <c r="A34" s="6" t="s">
        <v>1754</v>
      </c>
      <c r="B34" s="6" t="s">
        <v>1762</v>
      </c>
      <c r="C34" s="8" t="s">
        <v>1758</v>
      </c>
      <c r="D34" s="8" t="s">
        <v>1757</v>
      </c>
      <c r="E34" s="8" t="s">
        <v>200</v>
      </c>
      <c r="F34" s="8" t="s">
        <v>1741</v>
      </c>
      <c r="G34" s="9" t="s">
        <v>1759</v>
      </c>
      <c r="H34" s="8">
        <v>1</v>
      </c>
      <c r="I34" s="8">
        <v>0</v>
      </c>
      <c r="J34" s="8">
        <v>0</v>
      </c>
      <c r="K34" s="8">
        <v>0</v>
      </c>
      <c r="L34" s="8">
        <v>0</v>
      </c>
      <c r="M34" s="8">
        <v>1</v>
      </c>
      <c r="N34" s="8" t="s">
        <v>1756</v>
      </c>
      <c r="O34" s="8"/>
      <c r="P34" s="8"/>
      <c r="Q34" s="8" t="s">
        <v>1760</v>
      </c>
      <c r="R34" s="8">
        <v>1</v>
      </c>
      <c r="S34" s="8">
        <v>1</v>
      </c>
      <c r="T34" s="8">
        <v>1</v>
      </c>
      <c r="U34" s="8">
        <v>1</v>
      </c>
      <c r="V34" s="8">
        <v>1</v>
      </c>
      <c r="W34" s="8">
        <v>0</v>
      </c>
      <c r="X34" s="8">
        <v>1</v>
      </c>
      <c r="Y34" s="8" t="s">
        <v>1761</v>
      </c>
      <c r="Z34" s="8" t="s">
        <v>1766</v>
      </c>
      <c r="AA34" s="8" t="s">
        <v>158</v>
      </c>
      <c r="AB34" s="8"/>
      <c r="AC34" s="8"/>
      <c r="AD34" s="8"/>
      <c r="AE34" s="8"/>
      <c r="AF34" s="8"/>
      <c r="AG34" s="8"/>
      <c r="AH34" s="8"/>
      <c r="AI34" s="8"/>
      <c r="AJ34" s="8"/>
      <c r="AK34" s="8"/>
      <c r="AL34" s="8">
        <v>0</v>
      </c>
      <c r="AM34" s="8">
        <v>1</v>
      </c>
      <c r="AN34" s="8">
        <v>1</v>
      </c>
      <c r="AO34" s="8">
        <v>0</v>
      </c>
      <c r="AP34" s="8">
        <v>1</v>
      </c>
      <c r="AQ34" s="8">
        <v>1</v>
      </c>
      <c r="AR34" s="8">
        <v>0</v>
      </c>
      <c r="AS34" s="8">
        <v>0</v>
      </c>
      <c r="AT34" s="8">
        <v>0</v>
      </c>
      <c r="AU34" s="8"/>
      <c r="AV34" s="8"/>
      <c r="AW34" s="8">
        <v>1</v>
      </c>
      <c r="AX34" s="8">
        <v>1</v>
      </c>
      <c r="AY34" s="8">
        <v>1</v>
      </c>
      <c r="AZ34" s="8">
        <v>0</v>
      </c>
      <c r="BA34" s="8">
        <v>0</v>
      </c>
      <c r="BB34" s="8">
        <v>1</v>
      </c>
      <c r="BC34" s="8"/>
      <c r="BD34" s="8"/>
      <c r="BE34" s="8"/>
      <c r="BF34" s="8"/>
      <c r="BG34" s="8"/>
      <c r="BH34" s="8"/>
      <c r="BI34" s="10"/>
      <c r="BJ34" s="10"/>
      <c r="BK34" s="10"/>
      <c r="BL34" s="10"/>
      <c r="BM34" s="10"/>
      <c r="BN34" s="10"/>
      <c r="BO34" s="10"/>
      <c r="BP34" s="10"/>
      <c r="BQ34" s="10"/>
      <c r="BR34" s="10"/>
      <c r="BS34" s="10"/>
      <c r="BT34" s="10"/>
      <c r="BU34" s="10"/>
      <c r="BV34" s="10"/>
      <c r="BW34" s="93"/>
      <c r="BX34" s="93"/>
      <c r="BY34" s="93"/>
      <c r="BZ34" s="93"/>
      <c r="CA34" s="93"/>
      <c r="CB34" s="93"/>
      <c r="CC34" s="8"/>
      <c r="CD34" s="8"/>
      <c r="CE34" s="8"/>
      <c r="CF34" s="8"/>
      <c r="CG34" s="8"/>
      <c r="CH34" s="8"/>
      <c r="CI34" s="8"/>
      <c r="CJ34" s="8"/>
    </row>
    <row r="35" spans="1:88"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10"/>
      <c r="BJ35" s="10"/>
      <c r="BK35" s="10"/>
      <c r="BL35" s="10"/>
      <c r="BM35" s="10"/>
      <c r="BN35" s="10"/>
      <c r="BO35" s="10"/>
      <c r="BP35" s="10"/>
      <c r="BQ35" s="10"/>
      <c r="BR35" s="10"/>
      <c r="BS35" s="10"/>
      <c r="BT35" s="10"/>
      <c r="BU35" s="10"/>
      <c r="BV35" s="10"/>
      <c r="BW35" s="93"/>
      <c r="BX35" s="93"/>
      <c r="BY35" s="93"/>
      <c r="BZ35" s="93"/>
      <c r="CA35" s="93"/>
      <c r="CB35" s="93"/>
      <c r="CC35" s="8"/>
      <c r="CD35" s="8"/>
      <c r="CE35" s="8"/>
      <c r="CF35" s="8"/>
      <c r="CG35" s="8"/>
      <c r="CH35" s="8"/>
      <c r="CI35" s="8"/>
      <c r="CJ35" s="8"/>
    </row>
    <row r="36" spans="1:88" x14ac:dyDescent="0.25">
      <c r="N36" s="7"/>
      <c r="AB36" s="7"/>
      <c r="AC36" s="7"/>
      <c r="AD36" s="7"/>
      <c r="AG36" s="14"/>
      <c r="AH36" s="14"/>
      <c r="AI36" s="14"/>
      <c r="AJ36" s="14"/>
      <c r="AQ36" s="14"/>
    </row>
    <row r="37" spans="1:88" x14ac:dyDescent="0.25">
      <c r="N37" s="7"/>
      <c r="AB37" s="7"/>
      <c r="AC37" s="7"/>
      <c r="AD37" s="7"/>
      <c r="AG37" s="14"/>
      <c r="AH37" s="14"/>
      <c r="AI37" s="14"/>
      <c r="AJ37" s="14"/>
      <c r="AQ37" s="14"/>
    </row>
    <row r="38" spans="1:88" x14ac:dyDescent="0.25">
      <c r="N38" s="7"/>
      <c r="AB38" s="7"/>
      <c r="AC38" s="7"/>
      <c r="AD38" s="7"/>
      <c r="AG38" s="14"/>
      <c r="AH38" s="14"/>
      <c r="AI38" s="14"/>
      <c r="AJ38" s="14"/>
      <c r="AQ38" s="14"/>
    </row>
    <row r="39" spans="1:88" x14ac:dyDescent="0.25">
      <c r="N39" s="7"/>
      <c r="AB39" s="7"/>
      <c r="AC39" s="7"/>
      <c r="AD39" s="7"/>
      <c r="AG39" s="14"/>
      <c r="AH39" s="14"/>
      <c r="AI39" s="14"/>
      <c r="AJ39" s="14"/>
      <c r="AQ39" s="14"/>
    </row>
    <row r="40" spans="1:88" x14ac:dyDescent="0.25">
      <c r="N40" s="7"/>
      <c r="AB40" s="7"/>
      <c r="AC40" s="7"/>
      <c r="AD40" s="7"/>
      <c r="AG40" s="14"/>
      <c r="AH40" s="14"/>
      <c r="AI40" s="14"/>
      <c r="AJ40" s="14"/>
      <c r="AQ40" s="14"/>
    </row>
    <row r="41" spans="1:88" x14ac:dyDescent="0.25">
      <c r="N41" s="7"/>
      <c r="AB41" s="7"/>
      <c r="AC41" s="7"/>
      <c r="AD41" s="7"/>
      <c r="AG41" s="14"/>
      <c r="AH41" s="14"/>
      <c r="AI41" s="14"/>
      <c r="AJ41" s="14"/>
    </row>
    <row r="42" spans="1:88" x14ac:dyDescent="0.25">
      <c r="N42" s="7"/>
      <c r="AB42" s="7"/>
      <c r="AC42" s="7"/>
      <c r="AD42" s="7"/>
      <c r="AE42" s="7"/>
      <c r="AF42" s="7"/>
    </row>
    <row r="43" spans="1:88" x14ac:dyDescent="0.25">
      <c r="N43" s="7"/>
      <c r="AB43" s="7"/>
      <c r="AC43" s="7"/>
      <c r="AD43" s="7"/>
      <c r="AE43" s="7"/>
      <c r="AF43" s="7"/>
    </row>
    <row r="44" spans="1:88" x14ac:dyDescent="0.25">
      <c r="N44" s="7"/>
      <c r="AB44" s="7"/>
      <c r="AC44" s="7"/>
      <c r="AD44" s="7"/>
      <c r="AE44" s="7"/>
      <c r="AF44" s="7"/>
    </row>
    <row r="45" spans="1:88" x14ac:dyDescent="0.25">
      <c r="N45" s="7"/>
      <c r="AB45" s="7"/>
      <c r="AC45" s="7"/>
      <c r="AD45" s="7"/>
      <c r="AE45" s="7"/>
      <c r="AF45" s="7"/>
    </row>
    <row r="46" spans="1:88" x14ac:dyDescent="0.25">
      <c r="N46" s="7"/>
      <c r="AB46" s="7"/>
      <c r="AC46" s="7"/>
      <c r="AD46" s="7"/>
      <c r="AE46" s="7"/>
      <c r="AF46" s="7"/>
    </row>
    <row r="47" spans="1:88" x14ac:dyDescent="0.25">
      <c r="N47" s="7"/>
      <c r="AB47" s="7"/>
      <c r="AC47" s="7"/>
      <c r="AD47" s="7"/>
      <c r="AE47" s="7"/>
      <c r="AF47" s="7"/>
    </row>
    <row r="48" spans="1:88" x14ac:dyDescent="0.25">
      <c r="N48" s="7"/>
      <c r="AB48" s="7"/>
      <c r="AC48" s="7"/>
      <c r="AD48" s="7"/>
      <c r="AE48" s="7"/>
      <c r="AF48" s="7"/>
    </row>
    <row r="49" spans="14:32" x14ac:dyDescent="0.25">
      <c r="N49" s="7"/>
      <c r="AB49" s="7"/>
      <c r="AC49" s="7"/>
      <c r="AD49" s="7"/>
      <c r="AE49" s="7"/>
      <c r="AF49" s="7"/>
    </row>
    <row r="50" spans="14:32" x14ac:dyDescent="0.25">
      <c r="N50" s="7"/>
      <c r="AB50" s="7"/>
      <c r="AC50" s="7"/>
      <c r="AD50" s="7"/>
      <c r="AE50" s="7"/>
      <c r="AF50" s="7"/>
    </row>
    <row r="51" spans="14:32" x14ac:dyDescent="0.25">
      <c r="N51" s="7"/>
      <c r="AB51" s="7"/>
      <c r="AC51" s="7"/>
      <c r="AD51" s="7"/>
      <c r="AE51" s="7"/>
      <c r="AF51" s="7"/>
    </row>
    <row r="52" spans="14:32" x14ac:dyDescent="0.25">
      <c r="N52" s="7"/>
      <c r="AB52" s="7"/>
      <c r="AC52" s="7"/>
      <c r="AD52" s="7"/>
      <c r="AE52" s="7"/>
      <c r="AF52" s="7"/>
    </row>
    <row r="53" spans="14:32" x14ac:dyDescent="0.25">
      <c r="N53" s="7"/>
      <c r="AB53" s="7"/>
      <c r="AC53" s="7"/>
      <c r="AD53" s="7"/>
      <c r="AE53" s="7"/>
      <c r="AF53" s="7"/>
    </row>
    <row r="54" spans="14:32" x14ac:dyDescent="0.25">
      <c r="N54" s="7"/>
      <c r="AB54" s="7"/>
      <c r="AC54" s="7"/>
      <c r="AD54" s="7"/>
      <c r="AE54" s="7"/>
      <c r="AF54" s="7"/>
    </row>
    <row r="55" spans="14:32" x14ac:dyDescent="0.25">
      <c r="N55" s="7"/>
      <c r="AB55" s="7"/>
      <c r="AC55" s="7"/>
      <c r="AD55" s="7"/>
      <c r="AE55" s="7"/>
      <c r="AF55" s="7"/>
    </row>
    <row r="56" spans="14:32" x14ac:dyDescent="0.25">
      <c r="N56" s="7"/>
      <c r="AB56" s="7"/>
      <c r="AC56" s="7"/>
      <c r="AD56" s="7"/>
      <c r="AE56" s="7"/>
      <c r="AF56" s="7"/>
    </row>
    <row r="57" spans="14:32" x14ac:dyDescent="0.25">
      <c r="N57" s="7"/>
      <c r="AB57" s="7"/>
      <c r="AC57" s="7"/>
      <c r="AD57" s="7"/>
      <c r="AE57" s="7"/>
      <c r="AF57" s="7"/>
    </row>
    <row r="58" spans="14:32" x14ac:dyDescent="0.25">
      <c r="N58" s="7"/>
      <c r="AB58" s="7"/>
      <c r="AC58" s="7"/>
      <c r="AD58" s="7"/>
      <c r="AE58" s="7"/>
      <c r="AF58" s="7"/>
    </row>
    <row r="59" spans="14:32" x14ac:dyDescent="0.25">
      <c r="N59" s="7"/>
      <c r="AB59" s="7"/>
      <c r="AC59" s="7"/>
      <c r="AD59" s="7"/>
      <c r="AE59" s="7"/>
      <c r="AF59" s="7"/>
    </row>
    <row r="60" spans="14:32" x14ac:dyDescent="0.25">
      <c r="N60" s="7"/>
      <c r="AB60" s="7"/>
      <c r="AC60" s="7"/>
      <c r="AD60" s="7"/>
      <c r="AE60" s="7"/>
      <c r="AF60" s="7"/>
    </row>
    <row r="61" spans="14:32" x14ac:dyDescent="0.25">
      <c r="N61" s="7"/>
      <c r="AB61" s="7"/>
      <c r="AC61" s="7"/>
      <c r="AD61" s="7"/>
      <c r="AE61" s="7"/>
      <c r="AF61" s="7"/>
    </row>
    <row r="62" spans="14:32" x14ac:dyDescent="0.25">
      <c r="N62" s="7"/>
      <c r="AB62" s="7"/>
      <c r="AC62" s="7"/>
      <c r="AD62" s="7"/>
      <c r="AE62" s="7"/>
      <c r="AF62" s="7"/>
    </row>
    <row r="63" spans="14:32" x14ac:dyDescent="0.25">
      <c r="N63" s="7"/>
      <c r="AB63" s="7"/>
      <c r="AC63" s="7"/>
      <c r="AD63" s="7"/>
      <c r="AE63" s="7"/>
      <c r="AF63" s="7"/>
    </row>
    <row r="64" spans="14:32" x14ac:dyDescent="0.25">
      <c r="N64" s="7"/>
      <c r="AB64" s="7"/>
      <c r="AC64" s="7"/>
      <c r="AD64" s="7"/>
      <c r="AE64" s="7"/>
      <c r="AF64" s="7"/>
    </row>
    <row r="65" spans="14:32" x14ac:dyDescent="0.25">
      <c r="N65" s="7"/>
      <c r="AB65" s="7"/>
      <c r="AC65" s="7"/>
      <c r="AD65" s="7"/>
      <c r="AE65" s="7"/>
      <c r="AF65" s="7"/>
    </row>
    <row r="66" spans="14:32" x14ac:dyDescent="0.25">
      <c r="N66" s="7"/>
      <c r="AB66" s="7"/>
      <c r="AC66" s="7"/>
      <c r="AD66" s="7"/>
      <c r="AE66" s="7"/>
      <c r="AF66" s="7"/>
    </row>
    <row r="67" spans="14:32" x14ac:dyDescent="0.25">
      <c r="N67" s="7"/>
      <c r="AB67" s="7"/>
      <c r="AC67" s="7"/>
      <c r="AD67" s="7"/>
      <c r="AE67" s="7"/>
      <c r="AF67" s="7"/>
    </row>
    <row r="68" spans="14:32" x14ac:dyDescent="0.25">
      <c r="N68" s="7"/>
      <c r="AB68" s="7"/>
      <c r="AC68" s="7"/>
      <c r="AD68" s="7"/>
      <c r="AE68" s="7"/>
      <c r="AF68" s="7"/>
    </row>
    <row r="69" spans="14:32" x14ac:dyDescent="0.25">
      <c r="N69" s="7"/>
      <c r="AB69" s="7"/>
      <c r="AC69" s="7"/>
      <c r="AD69" s="7"/>
      <c r="AE69" s="7"/>
      <c r="AF69" s="7"/>
    </row>
    <row r="70" spans="14:32" x14ac:dyDescent="0.25">
      <c r="N70" s="7"/>
      <c r="AB70" s="7"/>
      <c r="AC70" s="7"/>
      <c r="AD70" s="7"/>
      <c r="AE70" s="7"/>
      <c r="AF70" s="7"/>
    </row>
    <row r="71" spans="14:32" x14ac:dyDescent="0.25">
      <c r="N71" s="7"/>
      <c r="AB71" s="7"/>
      <c r="AC71" s="7"/>
      <c r="AD71" s="7"/>
      <c r="AE71" s="7"/>
      <c r="AF71" s="7"/>
    </row>
    <row r="72" spans="14:32" x14ac:dyDescent="0.25">
      <c r="N72" s="7"/>
      <c r="AB72" s="7"/>
      <c r="AC72" s="7"/>
      <c r="AD72" s="7"/>
      <c r="AE72" s="7"/>
      <c r="AF72" s="7"/>
    </row>
    <row r="73" spans="14:32" x14ac:dyDescent="0.25">
      <c r="N73" s="7"/>
      <c r="AB73" s="7"/>
      <c r="AC73" s="7"/>
      <c r="AD73" s="7"/>
      <c r="AE73" s="7"/>
      <c r="AF73" s="7"/>
    </row>
    <row r="74" spans="14:32" x14ac:dyDescent="0.25">
      <c r="N74" s="7"/>
      <c r="AB74" s="7"/>
      <c r="AC74" s="7"/>
      <c r="AD74" s="7"/>
      <c r="AE74" s="7"/>
      <c r="AF74" s="7"/>
    </row>
    <row r="75" spans="14:32" x14ac:dyDescent="0.25">
      <c r="N75" s="7"/>
      <c r="AB75" s="7"/>
      <c r="AC75" s="7"/>
      <c r="AD75" s="7"/>
      <c r="AE75" s="7"/>
      <c r="AF75" s="7"/>
    </row>
    <row r="76" spans="14:32" x14ac:dyDescent="0.25">
      <c r="N76" s="7"/>
      <c r="AB76" s="7"/>
      <c r="AC76" s="7"/>
      <c r="AD76" s="7"/>
      <c r="AE76" s="7"/>
      <c r="AF76" s="7"/>
    </row>
    <row r="77" spans="14:32" x14ac:dyDescent="0.25">
      <c r="N77" s="7"/>
      <c r="AB77" s="7"/>
      <c r="AC77" s="7"/>
      <c r="AD77" s="7"/>
      <c r="AE77" s="7"/>
      <c r="AF77" s="7"/>
    </row>
    <row r="78" spans="14:32" x14ac:dyDescent="0.25">
      <c r="N78" s="7"/>
      <c r="AB78" s="7"/>
      <c r="AC78" s="7"/>
      <c r="AD78" s="7"/>
      <c r="AE78" s="7"/>
      <c r="AF78" s="7"/>
    </row>
    <row r="79" spans="14:32" x14ac:dyDescent="0.25">
      <c r="N79" s="7"/>
      <c r="AB79" s="7"/>
      <c r="AC79" s="7"/>
      <c r="AD79" s="7"/>
      <c r="AE79" s="7"/>
      <c r="AF79" s="7"/>
    </row>
    <row r="80" spans="14:32" x14ac:dyDescent="0.25">
      <c r="N80" s="7"/>
      <c r="AB80" s="7"/>
      <c r="AC80" s="7"/>
      <c r="AD80" s="7"/>
      <c r="AE80" s="7"/>
      <c r="AF80" s="7"/>
    </row>
    <row r="81" spans="14:32" x14ac:dyDescent="0.25">
      <c r="N81" s="7"/>
      <c r="AB81" s="7"/>
      <c r="AC81" s="7"/>
      <c r="AD81" s="7"/>
      <c r="AE81" s="7"/>
      <c r="AF81" s="7"/>
    </row>
    <row r="82" spans="14:32" x14ac:dyDescent="0.25">
      <c r="N82" s="7"/>
      <c r="AB82" s="7"/>
      <c r="AC82" s="7"/>
      <c r="AD82" s="7"/>
      <c r="AE82" s="7"/>
      <c r="AF82" s="7"/>
    </row>
    <row r="83" spans="14:32" x14ac:dyDescent="0.25">
      <c r="N83" s="7"/>
      <c r="AB83" s="7"/>
      <c r="AC83" s="7"/>
      <c r="AD83" s="7"/>
      <c r="AE83" s="7"/>
      <c r="AF83" s="7"/>
    </row>
    <row r="84" spans="14:32" x14ac:dyDescent="0.25">
      <c r="N84" s="7"/>
      <c r="AB84" s="7"/>
      <c r="AC84" s="7"/>
      <c r="AD84" s="7"/>
      <c r="AE84" s="7"/>
      <c r="AF84" s="7"/>
    </row>
    <row r="85" spans="14:32" x14ac:dyDescent="0.25">
      <c r="N85" s="7"/>
      <c r="AB85" s="7"/>
      <c r="AC85" s="7"/>
      <c r="AD85" s="7"/>
      <c r="AE85" s="7"/>
      <c r="AF85" s="7"/>
    </row>
    <row r="86" spans="14:32" x14ac:dyDescent="0.25">
      <c r="N86" s="7"/>
      <c r="AB86" s="7"/>
      <c r="AC86" s="7"/>
      <c r="AD86" s="7"/>
      <c r="AE86" s="7"/>
      <c r="AF86" s="7"/>
    </row>
    <row r="87" spans="14:32" x14ac:dyDescent="0.25">
      <c r="N87" s="7"/>
      <c r="AB87" s="7"/>
      <c r="AC87" s="7"/>
      <c r="AD87" s="7"/>
      <c r="AE87" s="7"/>
      <c r="AF87" s="7"/>
    </row>
    <row r="88" spans="14:32" x14ac:dyDescent="0.25">
      <c r="N88" s="7"/>
      <c r="AB88" s="7"/>
      <c r="AC88" s="7"/>
      <c r="AD88" s="7"/>
      <c r="AE88" s="7"/>
      <c r="AF88" s="7"/>
    </row>
    <row r="89" spans="14:32" x14ac:dyDescent="0.25">
      <c r="N89" s="7"/>
      <c r="AB89" s="7"/>
      <c r="AC89" s="7"/>
      <c r="AD89" s="7"/>
      <c r="AE89" s="7"/>
      <c r="AF89" s="7"/>
    </row>
    <row r="90" spans="14:32" x14ac:dyDescent="0.25">
      <c r="N90" s="7"/>
      <c r="AB90" s="7"/>
      <c r="AC90" s="7"/>
      <c r="AD90" s="7"/>
      <c r="AE90" s="7"/>
      <c r="AF90" s="7"/>
    </row>
    <row r="91" spans="14:32" x14ac:dyDescent="0.25">
      <c r="N91" s="7"/>
      <c r="AB91" s="7"/>
      <c r="AC91" s="7"/>
      <c r="AD91" s="7"/>
      <c r="AE91" s="7"/>
      <c r="AF91" s="7"/>
    </row>
    <row r="92" spans="14:32" x14ac:dyDescent="0.25">
      <c r="N92" s="7"/>
      <c r="AB92" s="7"/>
      <c r="AC92" s="7"/>
      <c r="AD92" s="7"/>
      <c r="AE92" s="7"/>
      <c r="AF92" s="7"/>
    </row>
    <row r="93" spans="14:32" x14ac:dyDescent="0.25">
      <c r="N93" s="7"/>
      <c r="AB93" s="7"/>
      <c r="AC93" s="7"/>
      <c r="AD93" s="7"/>
      <c r="AE93" s="7"/>
      <c r="AF93" s="7"/>
    </row>
    <row r="94" spans="14:32" x14ac:dyDescent="0.25">
      <c r="N94" s="7"/>
      <c r="AB94" s="7"/>
      <c r="AC94" s="7"/>
      <c r="AD94" s="7"/>
      <c r="AE94" s="7"/>
      <c r="AF94" s="7"/>
    </row>
    <row r="95" spans="14:32" x14ac:dyDescent="0.25">
      <c r="N95" s="7"/>
      <c r="AB95" s="7"/>
      <c r="AC95" s="7"/>
      <c r="AD95" s="7"/>
      <c r="AE95" s="7"/>
      <c r="AF95" s="7"/>
    </row>
    <row r="96" spans="14:32" x14ac:dyDescent="0.25">
      <c r="N96" s="7"/>
      <c r="AB96" s="7"/>
      <c r="AC96" s="7"/>
      <c r="AD96" s="7"/>
      <c r="AE96" s="7"/>
      <c r="AF96" s="7"/>
    </row>
    <row r="97" spans="14:32" x14ac:dyDescent="0.25">
      <c r="N97" s="7"/>
      <c r="AB97" s="7"/>
      <c r="AC97" s="7"/>
      <c r="AD97" s="7"/>
      <c r="AE97" s="7"/>
      <c r="AF97" s="7"/>
    </row>
    <row r="98" spans="14:32" x14ac:dyDescent="0.25">
      <c r="N98" s="7"/>
      <c r="AB98" s="7"/>
      <c r="AC98" s="7"/>
      <c r="AD98" s="7"/>
      <c r="AE98" s="7"/>
      <c r="AF98" s="7"/>
    </row>
    <row r="99" spans="14:32" x14ac:dyDescent="0.25">
      <c r="N99" s="7"/>
      <c r="AB99" s="7"/>
      <c r="AC99" s="7"/>
      <c r="AD99" s="7"/>
      <c r="AE99" s="7"/>
      <c r="AF99" s="7"/>
    </row>
    <row r="100" spans="14:32" x14ac:dyDescent="0.25">
      <c r="N100" s="7"/>
      <c r="AB100" s="7"/>
      <c r="AC100" s="7"/>
      <c r="AD100" s="7"/>
      <c r="AE100" s="7"/>
      <c r="AF100" s="7"/>
    </row>
    <row r="101" spans="14:32" x14ac:dyDescent="0.25">
      <c r="N101" s="7"/>
      <c r="AB101" s="7"/>
      <c r="AC101" s="7"/>
      <c r="AD101" s="7"/>
      <c r="AE101" s="7"/>
      <c r="AF101" s="7"/>
    </row>
    <row r="102" spans="14:32" x14ac:dyDescent="0.25">
      <c r="N102" s="7"/>
      <c r="AB102" s="7"/>
      <c r="AC102" s="7"/>
      <c r="AD102" s="7"/>
      <c r="AE102" s="7"/>
      <c r="AF102" s="7"/>
    </row>
    <row r="103" spans="14:32" x14ac:dyDescent="0.25">
      <c r="N103" s="7"/>
      <c r="AB103" s="7"/>
      <c r="AC103" s="7"/>
      <c r="AD103" s="7"/>
      <c r="AE103" s="7"/>
      <c r="AF103" s="7"/>
    </row>
    <row r="104" spans="14:32" x14ac:dyDescent="0.25">
      <c r="N104" s="7"/>
      <c r="AB104" s="7"/>
      <c r="AC104" s="7"/>
      <c r="AD104" s="7"/>
      <c r="AE104" s="7"/>
      <c r="AF104" s="7"/>
    </row>
    <row r="105" spans="14:32" x14ac:dyDescent="0.25">
      <c r="N105" s="7"/>
      <c r="AB105" s="7"/>
      <c r="AC105" s="7"/>
      <c r="AD105" s="7"/>
      <c r="AE105" s="7"/>
      <c r="AF105" s="7"/>
    </row>
    <row r="106" spans="14:32" x14ac:dyDescent="0.25">
      <c r="N106" s="7"/>
      <c r="AB106" s="7"/>
      <c r="AC106" s="7"/>
      <c r="AD106" s="7"/>
      <c r="AE106" s="7"/>
      <c r="AF106" s="7"/>
    </row>
    <row r="107" spans="14:32" x14ac:dyDescent="0.25">
      <c r="N107" s="7"/>
      <c r="AB107" s="7"/>
      <c r="AC107" s="7"/>
      <c r="AD107" s="7"/>
      <c r="AE107" s="7"/>
      <c r="AF107" s="7"/>
    </row>
  </sheetData>
  <autoFilter ref="A1:CG1" xr:uid="{00000000-0009-0000-0000-000000000000}"/>
  <pageMargins left="0.25" right="0.25" top="0.75" bottom="0.75" header="0.3" footer="0.3"/>
  <pageSetup paperSize="11" scale="60" orientation="landscape" horizontalDpi="300" verticalDpi="300" r:id="rId1"/>
  <rowBreaks count="1" manualBreakCount="1">
    <brk id="15" max="16383" man="1"/>
  </rowBreaks>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Dropdown!$A$2:$A$4</xm:f>
          </x14:formula1>
          <xm:sqref>AR32:AT32 H32:M32 AX32:AY32 R32:X32 BE32:BH32 BE3:BH28 R3:X28 AX3:AY28 AL3:AT28 CE3:CG28 H3:M28 AL32 AO32:AP32</xm:sqref>
        </x14:dataValidation>
        <x14:dataValidation type="list" allowBlank="1" showInputMessage="1" showErrorMessage="1" xr:uid="{9BA036D1-0FA3-4271-AC6B-805F0AE1B70E}">
          <x14:formula1>
            <xm:f>Dropdown!$B$2:$B$7</xm:f>
          </x14:formula1>
          <xm:sqref>AA3:AA34</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0346-B3FE-44EB-912A-6E37F5560A1D}">
  <sheetPr codeName="Tabelle39">
    <tabColor theme="5" tint="0.79998168889431442"/>
  </sheetPr>
  <dimension ref="A1:AB27"/>
  <sheetViews>
    <sheetView topLeftCell="A13" workbookViewId="0">
      <selection activeCell="B1" sqref="B1:AB1"/>
    </sheetView>
  </sheetViews>
  <sheetFormatPr baseColWidth="10" defaultColWidth="11" defaultRowHeight="12.75" x14ac:dyDescent="0.2"/>
  <cols>
    <col min="1" max="1" width="17.625" style="55" customWidth="1"/>
    <col min="2" max="19" width="5.875" style="55" customWidth="1"/>
    <col min="20" max="20" width="7" style="55" customWidth="1"/>
    <col min="21" max="28" width="5.875" style="55" customWidth="1"/>
    <col min="29" max="16384" width="11" style="55"/>
  </cols>
  <sheetData>
    <row r="1" spans="1:28" ht="165.75" customHeight="1" x14ac:dyDescent="0.2">
      <c r="A1" s="50" t="s">
        <v>1</v>
      </c>
      <c r="B1" s="53" t="s">
        <v>1097</v>
      </c>
      <c r="C1" s="53" t="s">
        <v>1098</v>
      </c>
      <c r="D1" s="53" t="s">
        <v>1099</v>
      </c>
      <c r="E1" s="53" t="s">
        <v>1100</v>
      </c>
      <c r="F1" s="53" t="s">
        <v>1101</v>
      </c>
      <c r="G1" s="53" t="s">
        <v>1102</v>
      </c>
      <c r="H1" s="53" t="s">
        <v>1103</v>
      </c>
      <c r="I1" s="53" t="s">
        <v>1104</v>
      </c>
      <c r="J1" s="53" t="s">
        <v>1105</v>
      </c>
      <c r="K1" s="53" t="s">
        <v>1033</v>
      </c>
      <c r="L1" s="53" t="s">
        <v>1068</v>
      </c>
      <c r="M1" s="53" t="s">
        <v>1067</v>
      </c>
      <c r="N1" s="53" t="s">
        <v>1085</v>
      </c>
      <c r="O1" s="53" t="s">
        <v>1046</v>
      </c>
      <c r="P1" s="53" t="s">
        <v>1066</v>
      </c>
      <c r="Q1" s="53" t="s">
        <v>1162</v>
      </c>
      <c r="R1" s="53" t="s">
        <v>1071</v>
      </c>
      <c r="S1" s="53" t="s">
        <v>1078</v>
      </c>
      <c r="T1" s="53" t="s">
        <v>1454</v>
      </c>
      <c r="U1" s="53" t="s">
        <v>1045</v>
      </c>
      <c r="V1" s="53" t="s">
        <v>1106</v>
      </c>
      <c r="W1" s="53" t="s">
        <v>1084</v>
      </c>
      <c r="X1" s="53" t="s">
        <v>1034</v>
      </c>
      <c r="Y1" s="53" t="s">
        <v>1051</v>
      </c>
      <c r="Z1" s="53" t="s">
        <v>1164</v>
      </c>
      <c r="AA1" s="53" t="s">
        <v>1079</v>
      </c>
      <c r="AB1" s="53" t="s">
        <v>799</v>
      </c>
    </row>
    <row r="2" spans="1:28" x14ac:dyDescent="0.2">
      <c r="A2" s="6" t="s">
        <v>12</v>
      </c>
      <c r="B2" s="61" t="str">
        <f>VLOOKUP(Tabelle1722[[#This Row],[Büros und Textilbetriebe gesamt]],Dropdown!$A$2:$D$4,4,FALSE)</f>
        <v>X</v>
      </c>
      <c r="C2" s="61" t="str">
        <f>VLOOKUP(Tabelle1722[[#This Row],[Handel gesamt]],Dropdown!$A$2:$D$4,4,FALSE)</f>
        <v>X</v>
      </c>
      <c r="D2" s="61" t="str">
        <f>VLOOKUP(Tabelle1722[[#This Row],[Gastgewerbe gesamt]],Dropdown!$A$2:$D$4,4,FALSE)</f>
        <v>X</v>
      </c>
      <c r="E2" s="61" t="str">
        <f>VLOOKUP(Tabelle1722[[#This Row],[Landwirtschaft gesamt]],Dropdown!$A$2:$D$4,4,FALSE)</f>
        <v>X</v>
      </c>
      <c r="F2" s="61" t="str">
        <f>VLOOKUP(Tabelle1722[[#This Row],[Gartenbau gesamt]],Dropdown!$A$2:$D$4,4,FALSE)</f>
        <v>X</v>
      </c>
      <c r="G2" s="61" t="str">
        <f>VLOOKUP(Tabelle1722[[#This Row],[Bäder gesamt]],Dropdown!$A$2:$D$4,4,FALSE)</f>
        <v>X</v>
      </c>
      <c r="H2" s="61" t="str">
        <f>VLOOKUP(Tabelle1722[[#This Row],[Wäschereien gesamt]],Dropdown!$A$2:$D$4,4,FALSE)</f>
        <v>X</v>
      </c>
      <c r="I2" s="61" t="str">
        <f>VLOOKUP(Tabelle1722[[#This Row],[produzierendes Gewerbe gesamt]],Dropdown!$A$2:$D$4,4,FALSE)</f>
        <v>X</v>
      </c>
      <c r="J2" s="61" t="str">
        <f>VLOOKUP(Tabelle1722[[#This Row],[Baugewerbe gesamt]],Dropdown!$A$2:$D$4,4,FALSE)</f>
        <v>X</v>
      </c>
      <c r="K2" s="61" t="str">
        <f>VLOOKUP(Tabelle1722[[#This Row],[Prozesskälte]],Dropdown!$A$2:$D$4,4,FALSE)</f>
        <v>-</v>
      </c>
      <c r="L2" s="61" t="str">
        <f>VLOOKUP(Tabelle1722[[#This Row],[Kühlhäuser]],Dropdown!$A$2:$D$4,4,FALSE)</f>
        <v>-</v>
      </c>
      <c r="M2" s="61" t="str">
        <f>VLOOKUP(Tabelle1722[[#This Row],[Kühlung im 
Lebensmitteleinzelhandel]],Dropdown!$A$2:$D$4,4,FALSE)</f>
        <v>-</v>
      </c>
      <c r="N2" s="61" t="str">
        <f>VLOOKUP(Tabelle1722[[#This Row],[Kühlung im Gastronomiebereich 
(Hotels, Restaurants)]],Dropdown!$A$2:$D$4,4,FALSE)</f>
        <v>-</v>
      </c>
      <c r="O2" s="61" t="str">
        <f>VLOOKUP(Tabelle1722[[#This Row],[Klimakälte]],Dropdown!$A$2:$D$4,4,FALSE)</f>
        <v>-</v>
      </c>
      <c r="P2" s="61" t="str">
        <f>VLOOKUP(Tabelle1722[[#This Row],[Warmwasserbereitstellung]],Dropdown!$A$2:$D$4,4,FALSE)</f>
        <v>-</v>
      </c>
      <c r="Q2" s="61" t="str">
        <f>VLOOKUP(Tabelle1722[[#This Row],[Raumwärme 
(elektrische Raumheizung)]],Dropdown!$A$2:$D$4,4,FALSE)</f>
        <v>-</v>
      </c>
      <c r="R2" s="61" t="str">
        <f>VLOOKUP(Tabelle1722[[#This Row],[Nachtspeicherheizungen]],Dropdown!$A$2:$D$4,4,FALSE)</f>
        <v>-</v>
      </c>
      <c r="S2" s="61" t="str">
        <f>VLOOKUP(Tabelle1722[[#This Row],[Wärmepumpen]],Dropdown!$A$2:$D$4,4,FALSE)</f>
        <v>-</v>
      </c>
      <c r="T2" s="61" t="str">
        <f>VLOOKUP(Tabelle1722[[#This Row],[Hybrid-Wärmeerzeugungssysteme]],Dropdown!$A$2:$D$4,4,FALSE)</f>
        <v>-</v>
      </c>
      <c r="U2" s="61" t="str">
        <f>VLOOKUP(Tabelle1722[[#This Row],[Pumpenanwendungen]],Dropdown!$A$2:$D$4,4,FALSE)</f>
        <v>-</v>
      </c>
      <c r="V2" s="61" t="str">
        <f>VLOOKUP(Tabelle1722[[#This Row],[Pumpenanwendungen in der 
Wasserversorgung]],Dropdown!$A$2:$D$4,4,FALSE)</f>
        <v>-</v>
      </c>
      <c r="W2" s="61" t="str">
        <f>VLOOKUP(Tabelle1722[[#This Row],[Beleuchtung im Gartenbau]],Dropdown!$A$2:$D$4,4,FALSE)</f>
        <v>-</v>
      </c>
      <c r="X2" s="61" t="str">
        <f>VLOOKUP(Tabelle1722[[#This Row],[Belüftung]],Dropdown!$A$2:$D$4,4,FALSE)</f>
        <v>-</v>
      </c>
      <c r="Y2" s="61" t="str">
        <f>VLOOKUP(Tabelle1722[[#This Row],[Abwasserbehandlung]],Dropdown!$A$2:$D$4,4,FALSE)</f>
        <v>-</v>
      </c>
      <c r="Z2" s="61" t="str">
        <f>VLOOKUP(Tabelle1722[[#This Row],[Notstromaggregate, Back-Up-
Server und Mobilfunkstationen]],Dropdown!$A$2:$D$4,4,FALSE)</f>
        <v>-</v>
      </c>
      <c r="AA2" s="61" t="str">
        <f>VLOOKUP(Tabelle1722[[#This Row],[Prozesswärme]],Dropdown!$A$2:$D$4,4,FALSE)</f>
        <v>-</v>
      </c>
      <c r="AB2" s="61" t="str">
        <f>VLOOKUP(Tabelle1722[[#This Row],[Druckluft]],Dropdown!$A$2:$D$4,4,FALSE)</f>
        <v>-</v>
      </c>
    </row>
    <row r="3" spans="1:28" ht="25.5" x14ac:dyDescent="0.2">
      <c r="A3" s="6" t="s">
        <v>347</v>
      </c>
      <c r="B3" s="61" t="str">
        <f>VLOOKUP(Tabelle1722[[#This Row],[Büros und Textilbetriebe gesamt]],Dropdown!$A$2:$D$4,4,FALSE)</f>
        <v>-</v>
      </c>
      <c r="C3" s="61" t="str">
        <f>VLOOKUP(Tabelle1722[[#This Row],[Handel gesamt]],Dropdown!$A$2:$D$4,4,FALSE)</f>
        <v>-</v>
      </c>
      <c r="D3" s="61" t="str">
        <f>VLOOKUP(Tabelle1722[[#This Row],[Gastgewerbe gesamt]],Dropdown!$A$2:$D$4,4,FALSE)</f>
        <v>-</v>
      </c>
      <c r="E3" s="61" t="str">
        <f>VLOOKUP(Tabelle1722[[#This Row],[Landwirtschaft gesamt]],Dropdown!$A$2:$D$4,4,FALSE)</f>
        <v>-</v>
      </c>
      <c r="F3" s="61" t="str">
        <f>VLOOKUP(Tabelle1722[[#This Row],[Gartenbau gesamt]],Dropdown!$A$2:$D$4,4,FALSE)</f>
        <v>-</v>
      </c>
      <c r="G3" s="61" t="str">
        <f>VLOOKUP(Tabelle1722[[#This Row],[Bäder gesamt]],Dropdown!$A$2:$D$4,4,FALSE)</f>
        <v>-</v>
      </c>
      <c r="H3" s="61" t="str">
        <f>VLOOKUP(Tabelle1722[[#This Row],[Wäschereien gesamt]],Dropdown!$A$2:$D$4,4,FALSE)</f>
        <v>-</v>
      </c>
      <c r="I3" s="61" t="str">
        <f>VLOOKUP(Tabelle1722[[#This Row],[produzierendes Gewerbe gesamt]],Dropdown!$A$2:$D$4,4,FALSE)</f>
        <v>-</v>
      </c>
      <c r="J3" s="61" t="str">
        <f>VLOOKUP(Tabelle1722[[#This Row],[Baugewerbe gesamt]],Dropdown!$A$2:$D$4,4,FALSE)</f>
        <v>-</v>
      </c>
      <c r="K3" s="61" t="str">
        <f>VLOOKUP(Tabelle1722[[#This Row],[Prozesskälte]],Dropdown!$A$2:$D$4,4,FALSE)</f>
        <v>X</v>
      </c>
      <c r="L3" s="61" t="str">
        <f>VLOOKUP(Tabelle1722[[#This Row],[Kühlhäuser]],Dropdown!$A$2:$D$4,4,FALSE)</f>
        <v>-</v>
      </c>
      <c r="M3" s="61" t="str">
        <f>VLOOKUP(Tabelle1722[[#This Row],[Kühlung im 
Lebensmitteleinzelhandel]],Dropdown!$A$2:$D$4,4,FALSE)</f>
        <v>-</v>
      </c>
      <c r="N3" s="61" t="str">
        <f>VLOOKUP(Tabelle1722[[#This Row],[Kühlung im Gastronomiebereich 
(Hotels, Restaurants)]],Dropdown!$A$2:$D$4,4,FALSE)</f>
        <v>-</v>
      </c>
      <c r="O3" s="61" t="str">
        <f>VLOOKUP(Tabelle1722[[#This Row],[Klimakälte]],Dropdown!$A$2:$D$4,4,FALSE)</f>
        <v>X</v>
      </c>
      <c r="P3" s="61" t="str">
        <f>VLOOKUP(Tabelle1722[[#This Row],[Warmwasserbereitstellung]],Dropdown!$A$2:$D$4,4,FALSE)</f>
        <v>X</v>
      </c>
      <c r="Q3" s="61" t="str">
        <f>VLOOKUP(Tabelle1722[[#This Row],[Raumwärme 
(elektrische Raumheizung)]],Dropdown!$A$2:$D$4,4,FALSE)</f>
        <v>X</v>
      </c>
      <c r="R3" s="61" t="str">
        <f>VLOOKUP(Tabelle1722[[#This Row],[Nachtspeicherheizungen]],Dropdown!$A$2:$D$4,4,FALSE)</f>
        <v>-</v>
      </c>
      <c r="S3" s="61" t="str">
        <f>VLOOKUP(Tabelle1722[[#This Row],[Wärmepumpen]],Dropdown!$A$2:$D$4,4,FALSE)</f>
        <v>-</v>
      </c>
      <c r="T3" s="61" t="str">
        <f>VLOOKUP(Tabelle1722[[#This Row],[Hybrid-Wärmeerzeugungssysteme]],Dropdown!$A$2:$D$4,4,FALSE)</f>
        <v>-</v>
      </c>
      <c r="U3" s="61" t="str">
        <f>VLOOKUP(Tabelle1722[[#This Row],[Pumpenanwendungen]],Dropdown!$A$2:$D$4,4,FALSE)</f>
        <v>-</v>
      </c>
      <c r="V3" s="61" t="str">
        <f>VLOOKUP(Tabelle1722[[#This Row],[Pumpenanwendungen in der 
Wasserversorgung]],Dropdown!$A$2:$D$4,4,FALSE)</f>
        <v>-</v>
      </c>
      <c r="W3" s="61" t="str">
        <f>VLOOKUP(Tabelle1722[[#This Row],[Beleuchtung im Gartenbau]],Dropdown!$A$2:$D$4,4,FALSE)</f>
        <v>-</v>
      </c>
      <c r="X3" s="61" t="str">
        <f>VLOOKUP(Tabelle1722[[#This Row],[Belüftung]],Dropdown!$A$2:$D$4,4,FALSE)</f>
        <v>X</v>
      </c>
      <c r="Y3" s="61" t="str">
        <f>VLOOKUP(Tabelle1722[[#This Row],[Abwasserbehandlung]],Dropdown!$A$2:$D$4,4,FALSE)</f>
        <v>-</v>
      </c>
      <c r="Z3" s="61" t="str">
        <f>VLOOKUP(Tabelle1722[[#This Row],[Notstromaggregate, Back-Up-
Server und Mobilfunkstationen]],Dropdown!$A$2:$D$4,4,FALSE)</f>
        <v>-</v>
      </c>
      <c r="AA3" s="61" t="str">
        <f>VLOOKUP(Tabelle1722[[#This Row],[Prozesswärme]],Dropdown!$A$2:$D$4,4,FALSE)</f>
        <v>-</v>
      </c>
      <c r="AB3" s="61" t="str">
        <f>VLOOKUP(Tabelle1722[[#This Row],[Druckluft]],Dropdown!$A$2:$D$4,4,FALSE)</f>
        <v>-</v>
      </c>
    </row>
    <row r="4" spans="1:28" ht="25.5" x14ac:dyDescent="0.2">
      <c r="A4" s="6" t="s">
        <v>348</v>
      </c>
      <c r="B4" s="61" t="str">
        <f>VLOOKUP(Tabelle1722[[#This Row],[Büros und Textilbetriebe gesamt]],Dropdown!$A$2:$D$4,4,FALSE)</f>
        <v>-</v>
      </c>
      <c r="C4" s="61" t="str">
        <f>VLOOKUP(Tabelle1722[[#This Row],[Handel gesamt]],Dropdown!$A$2:$D$4,4,FALSE)</f>
        <v>-</v>
      </c>
      <c r="D4" s="61" t="str">
        <f>VLOOKUP(Tabelle1722[[#This Row],[Gastgewerbe gesamt]],Dropdown!$A$2:$D$4,4,FALSE)</f>
        <v>-</v>
      </c>
      <c r="E4" s="61" t="str">
        <f>VLOOKUP(Tabelle1722[[#This Row],[Landwirtschaft gesamt]],Dropdown!$A$2:$D$4,4,FALSE)</f>
        <v>-</v>
      </c>
      <c r="F4" s="61" t="str">
        <f>VLOOKUP(Tabelle1722[[#This Row],[Gartenbau gesamt]],Dropdown!$A$2:$D$4,4,FALSE)</f>
        <v>-</v>
      </c>
      <c r="G4" s="61" t="str">
        <f>VLOOKUP(Tabelle1722[[#This Row],[Bäder gesamt]],Dropdown!$A$2:$D$4,4,FALSE)</f>
        <v>-</v>
      </c>
      <c r="H4" s="61" t="str">
        <f>VLOOKUP(Tabelle1722[[#This Row],[Wäschereien gesamt]],Dropdown!$A$2:$D$4,4,FALSE)</f>
        <v>-</v>
      </c>
      <c r="I4" s="61" t="str">
        <f>VLOOKUP(Tabelle1722[[#This Row],[produzierendes Gewerbe gesamt]],Dropdown!$A$2:$D$4,4,FALSE)</f>
        <v>-</v>
      </c>
      <c r="J4" s="61" t="str">
        <f>VLOOKUP(Tabelle1722[[#This Row],[Baugewerbe gesamt]],Dropdown!$A$2:$D$4,4,FALSE)</f>
        <v>-</v>
      </c>
      <c r="K4" s="61" t="str">
        <f>VLOOKUP(Tabelle1722[[#This Row],[Prozesskälte]],Dropdown!$A$2:$D$4,4,FALSE)</f>
        <v>-</v>
      </c>
      <c r="L4" s="61" t="str">
        <f>VLOOKUP(Tabelle1722[[#This Row],[Kühlhäuser]],Dropdown!$A$2:$D$4,4,FALSE)</f>
        <v>-</v>
      </c>
      <c r="M4" s="61" t="str">
        <f>VLOOKUP(Tabelle1722[[#This Row],[Kühlung im 
Lebensmitteleinzelhandel]],Dropdown!$A$2:$D$4,4,FALSE)</f>
        <v>-</v>
      </c>
      <c r="N4" s="61" t="str">
        <f>VLOOKUP(Tabelle1722[[#This Row],[Kühlung im Gastronomiebereich 
(Hotels, Restaurants)]],Dropdown!$A$2:$D$4,4,FALSE)</f>
        <v>-</v>
      </c>
      <c r="O4" s="61" t="str">
        <f>VLOOKUP(Tabelle1722[[#This Row],[Klimakälte]],Dropdown!$A$2:$D$4,4,FALSE)</f>
        <v>-</v>
      </c>
      <c r="P4" s="61" t="str">
        <f>VLOOKUP(Tabelle1722[[#This Row],[Warmwasserbereitstellung]],Dropdown!$A$2:$D$4,4,FALSE)</f>
        <v>-</v>
      </c>
      <c r="Q4" s="61" t="str">
        <f>VLOOKUP(Tabelle1722[[#This Row],[Raumwärme 
(elektrische Raumheizung)]],Dropdown!$A$2:$D$4,4,FALSE)</f>
        <v>-</v>
      </c>
      <c r="R4" s="61" t="str">
        <f>VLOOKUP(Tabelle1722[[#This Row],[Nachtspeicherheizungen]],Dropdown!$A$2:$D$4,4,FALSE)</f>
        <v>-</v>
      </c>
      <c r="S4" s="61" t="str">
        <f>VLOOKUP(Tabelle1722[[#This Row],[Wärmepumpen]],Dropdown!$A$2:$D$4,4,FALSE)</f>
        <v>-</v>
      </c>
      <c r="T4" s="61" t="str">
        <f>VLOOKUP(Tabelle1722[[#This Row],[Hybrid-Wärmeerzeugungssysteme]],Dropdown!$A$2:$D$4,4,FALSE)</f>
        <v>-</v>
      </c>
      <c r="U4" s="61" t="str">
        <f>VLOOKUP(Tabelle1722[[#This Row],[Pumpenanwendungen]],Dropdown!$A$2:$D$4,4,FALSE)</f>
        <v>-</v>
      </c>
      <c r="V4" s="61" t="str">
        <f>VLOOKUP(Tabelle1722[[#This Row],[Pumpenanwendungen in der 
Wasserversorgung]],Dropdown!$A$2:$D$4,4,FALSE)</f>
        <v>-</v>
      </c>
      <c r="W4" s="61" t="str">
        <f>VLOOKUP(Tabelle1722[[#This Row],[Beleuchtung im Gartenbau]],Dropdown!$A$2:$D$4,4,FALSE)</f>
        <v>-</v>
      </c>
      <c r="X4" s="61" t="str">
        <f>VLOOKUP(Tabelle1722[[#This Row],[Belüftung]],Dropdown!$A$2:$D$4,4,FALSE)</f>
        <v>-</v>
      </c>
      <c r="Y4" s="61" t="str">
        <f>VLOOKUP(Tabelle1722[[#This Row],[Abwasserbehandlung]],Dropdown!$A$2:$D$4,4,FALSE)</f>
        <v>-</v>
      </c>
      <c r="Z4" s="61" t="str">
        <f>VLOOKUP(Tabelle1722[[#This Row],[Notstromaggregate, Back-Up-
Server und Mobilfunkstationen]],Dropdown!$A$2:$D$4,4,FALSE)</f>
        <v>-</v>
      </c>
      <c r="AA4" s="61" t="str">
        <f>VLOOKUP(Tabelle1722[[#This Row],[Prozesswärme]],Dropdown!$A$2:$D$4,4,FALSE)</f>
        <v>-</v>
      </c>
      <c r="AB4" s="61" t="str">
        <f>VLOOKUP(Tabelle1722[[#This Row],[Druckluft]],Dropdown!$A$2:$D$4,4,FALSE)</f>
        <v>-</v>
      </c>
    </row>
    <row r="5" spans="1:28" x14ac:dyDescent="0.2">
      <c r="A5" s="6" t="s">
        <v>183</v>
      </c>
      <c r="B5" s="61" t="str">
        <f>VLOOKUP(Tabelle1722[[#This Row],[Büros und Textilbetriebe gesamt]],Dropdown!$A$2:$D$4,4,FALSE)</f>
        <v>-</v>
      </c>
      <c r="C5" s="61" t="str">
        <f>VLOOKUP(Tabelle1722[[#This Row],[Handel gesamt]],Dropdown!$A$2:$D$4,4,FALSE)</f>
        <v>-</v>
      </c>
      <c r="D5" s="61" t="str">
        <f>VLOOKUP(Tabelle1722[[#This Row],[Gastgewerbe gesamt]],Dropdown!$A$2:$D$4,4,FALSE)</f>
        <v>-</v>
      </c>
      <c r="E5" s="61" t="str">
        <f>VLOOKUP(Tabelle1722[[#This Row],[Landwirtschaft gesamt]],Dropdown!$A$2:$D$4,4,FALSE)</f>
        <v>-</v>
      </c>
      <c r="F5" s="61" t="str">
        <f>VLOOKUP(Tabelle1722[[#This Row],[Gartenbau gesamt]],Dropdown!$A$2:$D$4,4,FALSE)</f>
        <v>-</v>
      </c>
      <c r="G5" s="61" t="str">
        <f>VLOOKUP(Tabelle1722[[#This Row],[Bäder gesamt]],Dropdown!$A$2:$D$4,4,FALSE)</f>
        <v>-</v>
      </c>
      <c r="H5" s="61" t="str">
        <f>VLOOKUP(Tabelle1722[[#This Row],[Wäschereien gesamt]],Dropdown!$A$2:$D$4,4,FALSE)</f>
        <v>-</v>
      </c>
      <c r="I5" s="61" t="str">
        <f>VLOOKUP(Tabelle1722[[#This Row],[produzierendes Gewerbe gesamt]],Dropdown!$A$2:$D$4,4,FALSE)</f>
        <v>-</v>
      </c>
      <c r="J5" s="61" t="str">
        <f>VLOOKUP(Tabelle1722[[#This Row],[Baugewerbe gesamt]],Dropdown!$A$2:$D$4,4,FALSE)</f>
        <v>-</v>
      </c>
      <c r="K5" s="61" t="str">
        <f>VLOOKUP(Tabelle1722[[#This Row],[Prozesskälte]],Dropdown!$A$2:$D$4,4,FALSE)</f>
        <v>X</v>
      </c>
      <c r="L5" s="61" t="str">
        <f>VLOOKUP(Tabelle1722[[#This Row],[Kühlhäuser]],Dropdown!$A$2:$D$4,4,FALSE)</f>
        <v>X</v>
      </c>
      <c r="M5" s="61" t="str">
        <f>VLOOKUP(Tabelle1722[[#This Row],[Kühlung im 
Lebensmitteleinzelhandel]],Dropdown!$A$2:$D$4,4,FALSE)</f>
        <v>-</v>
      </c>
      <c r="N5" s="61" t="str">
        <f>VLOOKUP(Tabelle1722[[#This Row],[Kühlung im Gastronomiebereich 
(Hotels, Restaurants)]],Dropdown!$A$2:$D$4,4,FALSE)</f>
        <v>-</v>
      </c>
      <c r="O5" s="61" t="str">
        <f>VLOOKUP(Tabelle1722[[#This Row],[Klimakälte]],Dropdown!$A$2:$D$4,4,FALSE)</f>
        <v>-</v>
      </c>
      <c r="P5" s="61" t="str">
        <f>VLOOKUP(Tabelle1722[[#This Row],[Warmwasserbereitstellung]],Dropdown!$A$2:$D$4,4,FALSE)</f>
        <v>-</v>
      </c>
      <c r="Q5" s="61" t="str">
        <f>VLOOKUP(Tabelle1722[[#This Row],[Raumwärme 
(elektrische Raumheizung)]],Dropdown!$A$2:$D$4,4,FALSE)</f>
        <v>X</v>
      </c>
      <c r="R5" s="61" t="str">
        <f>VLOOKUP(Tabelle1722[[#This Row],[Nachtspeicherheizungen]],Dropdown!$A$2:$D$4,4,FALSE)</f>
        <v>-</v>
      </c>
      <c r="S5" s="61" t="str">
        <f>VLOOKUP(Tabelle1722[[#This Row],[Wärmepumpen]],Dropdown!$A$2:$D$4,4,FALSE)</f>
        <v>-</v>
      </c>
      <c r="T5" s="61" t="str">
        <f>VLOOKUP(Tabelle1722[[#This Row],[Hybrid-Wärmeerzeugungssysteme]],Dropdown!$A$2:$D$4,4,FALSE)</f>
        <v>-</v>
      </c>
      <c r="U5" s="61" t="str">
        <f>VLOOKUP(Tabelle1722[[#This Row],[Pumpenanwendungen]],Dropdown!$A$2:$D$4,4,FALSE)</f>
        <v>-</v>
      </c>
      <c r="V5" s="61" t="str">
        <f>VLOOKUP(Tabelle1722[[#This Row],[Pumpenanwendungen in der 
Wasserversorgung]],Dropdown!$A$2:$D$4,4,FALSE)</f>
        <v>X</v>
      </c>
      <c r="W5" s="61" t="str">
        <f>VLOOKUP(Tabelle1722[[#This Row],[Beleuchtung im Gartenbau]],Dropdown!$A$2:$D$4,4,FALSE)</f>
        <v>X</v>
      </c>
      <c r="X5" s="61" t="str">
        <f>VLOOKUP(Tabelle1722[[#This Row],[Belüftung]],Dropdown!$A$2:$D$4,4,FALSE)</f>
        <v>-</v>
      </c>
      <c r="Y5" s="61" t="str">
        <f>VLOOKUP(Tabelle1722[[#This Row],[Abwasserbehandlung]],Dropdown!$A$2:$D$4,4,FALSE)</f>
        <v>-</v>
      </c>
      <c r="Z5" s="61" t="str">
        <f>VLOOKUP(Tabelle1722[[#This Row],[Notstromaggregate, Back-Up-
Server und Mobilfunkstationen]],Dropdown!$A$2:$D$4,4,FALSE)</f>
        <v>-</v>
      </c>
      <c r="AA5" s="61" t="str">
        <f>VLOOKUP(Tabelle1722[[#This Row],[Prozesswärme]],Dropdown!$A$2:$D$4,4,FALSE)</f>
        <v>-</v>
      </c>
      <c r="AB5" s="61" t="str">
        <f>VLOOKUP(Tabelle1722[[#This Row],[Druckluft]],Dropdown!$A$2:$D$4,4,FALSE)</f>
        <v>-</v>
      </c>
    </row>
    <row r="6" spans="1:28" ht="25.5" x14ac:dyDescent="0.2">
      <c r="A6" s="6" t="s">
        <v>258</v>
      </c>
      <c r="B6" s="61" t="str">
        <f>VLOOKUP(Tabelle1722[[#This Row],[Büros und Textilbetriebe gesamt]],Dropdown!$A$2:$D$4,4,FALSE)</f>
        <v>-</v>
      </c>
      <c r="C6" s="61" t="str">
        <f>VLOOKUP(Tabelle1722[[#This Row],[Handel gesamt]],Dropdown!$A$2:$D$4,4,FALSE)</f>
        <v>-</v>
      </c>
      <c r="D6" s="61" t="str">
        <f>VLOOKUP(Tabelle1722[[#This Row],[Gastgewerbe gesamt]],Dropdown!$A$2:$D$4,4,FALSE)</f>
        <v>-</v>
      </c>
      <c r="E6" s="61" t="str">
        <f>VLOOKUP(Tabelle1722[[#This Row],[Landwirtschaft gesamt]],Dropdown!$A$2:$D$4,4,FALSE)</f>
        <v>-</v>
      </c>
      <c r="F6" s="61" t="str">
        <f>VLOOKUP(Tabelle1722[[#This Row],[Gartenbau gesamt]],Dropdown!$A$2:$D$4,4,FALSE)</f>
        <v>-</v>
      </c>
      <c r="G6" s="61" t="str">
        <f>VLOOKUP(Tabelle1722[[#This Row],[Bäder gesamt]],Dropdown!$A$2:$D$4,4,FALSE)</f>
        <v>-</v>
      </c>
      <c r="H6" s="61" t="str">
        <f>VLOOKUP(Tabelle1722[[#This Row],[Wäschereien gesamt]],Dropdown!$A$2:$D$4,4,FALSE)</f>
        <v>-</v>
      </c>
      <c r="I6" s="61" t="str">
        <f>VLOOKUP(Tabelle1722[[#This Row],[produzierendes Gewerbe gesamt]],Dropdown!$A$2:$D$4,4,FALSE)</f>
        <v>-</v>
      </c>
      <c r="J6" s="61" t="str">
        <f>VLOOKUP(Tabelle1722[[#This Row],[Baugewerbe gesamt]],Dropdown!$A$2:$D$4,4,FALSE)</f>
        <v>-</v>
      </c>
      <c r="K6" s="61" t="str">
        <f>VLOOKUP(Tabelle1722[[#This Row],[Prozesskälte]],Dropdown!$A$2:$D$4,4,FALSE)</f>
        <v>-</v>
      </c>
      <c r="L6" s="61" t="str">
        <f>VLOOKUP(Tabelle1722[[#This Row],[Kühlhäuser]],Dropdown!$A$2:$D$4,4,FALSE)</f>
        <v>X</v>
      </c>
      <c r="M6" s="61" t="str">
        <f>VLOOKUP(Tabelle1722[[#This Row],[Kühlung im 
Lebensmitteleinzelhandel]],Dropdown!$A$2:$D$4,4,FALSE)</f>
        <v>X</v>
      </c>
      <c r="N6" s="61" t="str">
        <f>VLOOKUP(Tabelle1722[[#This Row],[Kühlung im Gastronomiebereich 
(Hotels, Restaurants)]],Dropdown!$A$2:$D$4,4,FALSE)</f>
        <v>X</v>
      </c>
      <c r="O6" s="61" t="str">
        <f>VLOOKUP(Tabelle1722[[#This Row],[Klimakälte]],Dropdown!$A$2:$D$4,4,FALSE)</f>
        <v>X</v>
      </c>
      <c r="P6" s="61" t="str">
        <f>VLOOKUP(Tabelle1722[[#This Row],[Warmwasserbereitstellung]],Dropdown!$A$2:$D$4,4,FALSE)</f>
        <v>X</v>
      </c>
      <c r="Q6" s="61" t="str">
        <f>VLOOKUP(Tabelle1722[[#This Row],[Raumwärme 
(elektrische Raumheizung)]],Dropdown!$A$2:$D$4,4,FALSE)</f>
        <v>-</v>
      </c>
      <c r="R6" s="61" t="str">
        <f>VLOOKUP(Tabelle1722[[#This Row],[Nachtspeicherheizungen]],Dropdown!$A$2:$D$4,4,FALSE)</f>
        <v>X</v>
      </c>
      <c r="S6" s="61" t="str">
        <f>VLOOKUP(Tabelle1722[[#This Row],[Wärmepumpen]],Dropdown!$A$2:$D$4,4,FALSE)</f>
        <v>-</v>
      </c>
      <c r="T6" s="61" t="str">
        <f>VLOOKUP(Tabelle1722[[#This Row],[Hybrid-Wärmeerzeugungssysteme]],Dropdown!$A$2:$D$4,4,FALSE)</f>
        <v>-</v>
      </c>
      <c r="U6" s="61" t="str">
        <f>VLOOKUP(Tabelle1722[[#This Row],[Pumpenanwendungen]],Dropdown!$A$2:$D$4,4,FALSE)</f>
        <v>-</v>
      </c>
      <c r="V6" s="61" t="str">
        <f>VLOOKUP(Tabelle1722[[#This Row],[Pumpenanwendungen in der 
Wasserversorgung]],Dropdown!$A$2:$D$4,4,FALSE)</f>
        <v>X</v>
      </c>
      <c r="W6" s="61" t="str">
        <f>VLOOKUP(Tabelle1722[[#This Row],[Beleuchtung im Gartenbau]],Dropdown!$A$2:$D$4,4,FALSE)</f>
        <v>-</v>
      </c>
      <c r="X6" s="61" t="str">
        <f>VLOOKUP(Tabelle1722[[#This Row],[Belüftung]],Dropdown!$A$2:$D$4,4,FALSE)</f>
        <v>X</v>
      </c>
      <c r="Y6" s="61" t="str">
        <f>VLOOKUP(Tabelle1722[[#This Row],[Abwasserbehandlung]],Dropdown!$A$2:$D$4,4,FALSE)</f>
        <v>X</v>
      </c>
      <c r="Z6" s="61" t="str">
        <f>VLOOKUP(Tabelle1722[[#This Row],[Notstromaggregate, Back-Up-
Server und Mobilfunkstationen]],Dropdown!$A$2:$D$4,4,FALSE)</f>
        <v>-</v>
      </c>
      <c r="AA6" s="61" t="str">
        <f>VLOOKUP(Tabelle1722[[#This Row],[Prozesswärme]],Dropdown!$A$2:$D$4,4,FALSE)</f>
        <v>-</v>
      </c>
      <c r="AB6" s="61" t="str">
        <f>VLOOKUP(Tabelle1722[[#This Row],[Druckluft]],Dropdown!$A$2:$D$4,4,FALSE)</f>
        <v>-</v>
      </c>
    </row>
    <row r="7" spans="1:28" x14ac:dyDescent="0.2">
      <c r="A7" s="6" t="s">
        <v>355</v>
      </c>
      <c r="B7" s="61" t="str">
        <f>VLOOKUP(Tabelle1722[[#This Row],[Büros und Textilbetriebe gesamt]],Dropdown!$A$2:$D$4,4,FALSE)</f>
        <v>-</v>
      </c>
      <c r="C7" s="61" t="str">
        <f>VLOOKUP(Tabelle1722[[#This Row],[Handel gesamt]],Dropdown!$A$2:$D$4,4,FALSE)</f>
        <v>-</v>
      </c>
      <c r="D7" s="61" t="str">
        <f>VLOOKUP(Tabelle1722[[#This Row],[Gastgewerbe gesamt]],Dropdown!$A$2:$D$4,4,FALSE)</f>
        <v>-</v>
      </c>
      <c r="E7" s="61" t="str">
        <f>VLOOKUP(Tabelle1722[[#This Row],[Landwirtschaft gesamt]],Dropdown!$A$2:$D$4,4,FALSE)</f>
        <v>-</v>
      </c>
      <c r="F7" s="61" t="str">
        <f>VLOOKUP(Tabelle1722[[#This Row],[Gartenbau gesamt]],Dropdown!$A$2:$D$4,4,FALSE)</f>
        <v>-</v>
      </c>
      <c r="G7" s="61" t="str">
        <f>VLOOKUP(Tabelle1722[[#This Row],[Bäder gesamt]],Dropdown!$A$2:$D$4,4,FALSE)</f>
        <v>-</v>
      </c>
      <c r="H7" s="61" t="str">
        <f>VLOOKUP(Tabelle1722[[#This Row],[Wäschereien gesamt]],Dropdown!$A$2:$D$4,4,FALSE)</f>
        <v>-</v>
      </c>
      <c r="I7" s="61" t="str">
        <f>VLOOKUP(Tabelle1722[[#This Row],[produzierendes Gewerbe gesamt]],Dropdown!$A$2:$D$4,4,FALSE)</f>
        <v>-</v>
      </c>
      <c r="J7" s="61" t="str">
        <f>VLOOKUP(Tabelle1722[[#This Row],[Baugewerbe gesamt]],Dropdown!$A$2:$D$4,4,FALSE)</f>
        <v>-</v>
      </c>
      <c r="K7" s="61" t="str">
        <f>VLOOKUP(Tabelle1722[[#This Row],[Prozesskälte]],Dropdown!$A$2:$D$4,4,FALSE)</f>
        <v>X</v>
      </c>
      <c r="L7" s="61" t="str">
        <f>VLOOKUP(Tabelle1722[[#This Row],[Kühlhäuser]],Dropdown!$A$2:$D$4,4,FALSE)</f>
        <v>-</v>
      </c>
      <c r="M7" s="61" t="str">
        <f>VLOOKUP(Tabelle1722[[#This Row],[Kühlung im 
Lebensmitteleinzelhandel]],Dropdown!$A$2:$D$4,4,FALSE)</f>
        <v>-</v>
      </c>
      <c r="N7" s="61" t="str">
        <f>VLOOKUP(Tabelle1722[[#This Row],[Kühlung im Gastronomiebereich 
(Hotels, Restaurants)]],Dropdown!$A$2:$D$4,4,FALSE)</f>
        <v>-</v>
      </c>
      <c r="O7" s="61" t="str">
        <f>VLOOKUP(Tabelle1722[[#This Row],[Klimakälte]],Dropdown!$A$2:$D$4,4,FALSE)</f>
        <v>X</v>
      </c>
      <c r="P7" s="61" t="str">
        <f>VLOOKUP(Tabelle1722[[#This Row],[Warmwasserbereitstellung]],Dropdown!$A$2:$D$4,4,FALSE)</f>
        <v>-</v>
      </c>
      <c r="Q7" s="61" t="str">
        <f>VLOOKUP(Tabelle1722[[#This Row],[Raumwärme 
(elektrische Raumheizung)]],Dropdown!$A$2:$D$4,4,FALSE)</f>
        <v>-</v>
      </c>
      <c r="R7" s="61" t="str">
        <f>VLOOKUP(Tabelle1722[[#This Row],[Nachtspeicherheizungen]],Dropdown!$A$2:$D$4,4,FALSE)</f>
        <v>-</v>
      </c>
      <c r="S7" s="61" t="str">
        <f>VLOOKUP(Tabelle1722[[#This Row],[Wärmepumpen]],Dropdown!$A$2:$D$4,4,FALSE)</f>
        <v>-</v>
      </c>
      <c r="T7" s="61" t="str">
        <f>VLOOKUP(Tabelle1722[[#This Row],[Hybrid-Wärmeerzeugungssysteme]],Dropdown!$A$2:$D$4,4,FALSE)</f>
        <v>-</v>
      </c>
      <c r="U7" s="61" t="str">
        <f>VLOOKUP(Tabelle1722[[#This Row],[Pumpenanwendungen]],Dropdown!$A$2:$D$4,4,FALSE)</f>
        <v>-</v>
      </c>
      <c r="V7" s="61" t="str">
        <f>VLOOKUP(Tabelle1722[[#This Row],[Pumpenanwendungen in der 
Wasserversorgung]],Dropdown!$A$2:$D$4,4,FALSE)</f>
        <v>-</v>
      </c>
      <c r="W7" s="61" t="str">
        <f>VLOOKUP(Tabelle1722[[#This Row],[Beleuchtung im Gartenbau]],Dropdown!$A$2:$D$4,4,FALSE)</f>
        <v>-</v>
      </c>
      <c r="X7" s="61" t="str">
        <f>VLOOKUP(Tabelle1722[[#This Row],[Belüftung]],Dropdown!$A$2:$D$4,4,FALSE)</f>
        <v>-</v>
      </c>
      <c r="Y7" s="61" t="str">
        <f>VLOOKUP(Tabelle1722[[#This Row],[Abwasserbehandlung]],Dropdown!$A$2:$D$4,4,FALSE)</f>
        <v>-</v>
      </c>
      <c r="Z7" s="61" t="str">
        <f>VLOOKUP(Tabelle1722[[#This Row],[Notstromaggregate, Back-Up-
Server und Mobilfunkstationen]],Dropdown!$A$2:$D$4,4,FALSE)</f>
        <v>-</v>
      </c>
      <c r="AA7" s="61" t="str">
        <f>VLOOKUP(Tabelle1722[[#This Row],[Prozesswärme]],Dropdown!$A$2:$D$4,4,FALSE)</f>
        <v>-</v>
      </c>
      <c r="AB7" s="61" t="str">
        <f>VLOOKUP(Tabelle1722[[#This Row],[Druckluft]],Dropdown!$A$2:$D$4,4,FALSE)</f>
        <v>-</v>
      </c>
    </row>
    <row r="8" spans="1:28" x14ac:dyDescent="0.2">
      <c r="A8" s="6" t="s">
        <v>431</v>
      </c>
      <c r="B8" s="61" t="str">
        <f>VLOOKUP(Tabelle1722[[#This Row],[Büros und Textilbetriebe gesamt]],Dropdown!$A$2:$D$4,4,FALSE)</f>
        <v>-</v>
      </c>
      <c r="C8" s="61" t="str">
        <f>VLOOKUP(Tabelle1722[[#This Row],[Handel gesamt]],Dropdown!$A$2:$D$4,4,FALSE)</f>
        <v>-</v>
      </c>
      <c r="D8" s="61" t="str">
        <f>VLOOKUP(Tabelle1722[[#This Row],[Gastgewerbe gesamt]],Dropdown!$A$2:$D$4,4,FALSE)</f>
        <v>-</v>
      </c>
      <c r="E8" s="61" t="str">
        <f>VLOOKUP(Tabelle1722[[#This Row],[Landwirtschaft gesamt]],Dropdown!$A$2:$D$4,4,FALSE)</f>
        <v>-</v>
      </c>
      <c r="F8" s="61" t="str">
        <f>VLOOKUP(Tabelle1722[[#This Row],[Gartenbau gesamt]],Dropdown!$A$2:$D$4,4,FALSE)</f>
        <v>-</v>
      </c>
      <c r="G8" s="61" t="str">
        <f>VLOOKUP(Tabelle1722[[#This Row],[Bäder gesamt]],Dropdown!$A$2:$D$4,4,FALSE)</f>
        <v>-</v>
      </c>
      <c r="H8" s="61" t="str">
        <f>VLOOKUP(Tabelle1722[[#This Row],[Wäschereien gesamt]],Dropdown!$A$2:$D$4,4,FALSE)</f>
        <v>-</v>
      </c>
      <c r="I8" s="61" t="str">
        <f>VLOOKUP(Tabelle1722[[#This Row],[produzierendes Gewerbe gesamt]],Dropdown!$A$2:$D$4,4,FALSE)</f>
        <v>-</v>
      </c>
      <c r="J8" s="61" t="str">
        <f>VLOOKUP(Tabelle1722[[#This Row],[Baugewerbe gesamt]],Dropdown!$A$2:$D$4,4,FALSE)</f>
        <v>-</v>
      </c>
      <c r="K8" s="61" t="str">
        <f>VLOOKUP(Tabelle1722[[#This Row],[Prozesskälte]],Dropdown!$A$2:$D$4,4,FALSE)</f>
        <v>X</v>
      </c>
      <c r="L8" s="61" t="str">
        <f>VLOOKUP(Tabelle1722[[#This Row],[Kühlhäuser]],Dropdown!$A$2:$D$4,4,FALSE)</f>
        <v>X</v>
      </c>
      <c r="M8" s="61" t="str">
        <f>VLOOKUP(Tabelle1722[[#This Row],[Kühlung im 
Lebensmitteleinzelhandel]],Dropdown!$A$2:$D$4,4,FALSE)</f>
        <v>X</v>
      </c>
      <c r="N8" s="61" t="str">
        <f>VLOOKUP(Tabelle1722[[#This Row],[Kühlung im Gastronomiebereich 
(Hotels, Restaurants)]],Dropdown!$A$2:$D$4,4,FALSE)</f>
        <v>-</v>
      </c>
      <c r="O8" s="61" t="str">
        <f>VLOOKUP(Tabelle1722[[#This Row],[Klimakälte]],Dropdown!$A$2:$D$4,4,FALSE)</f>
        <v>X</v>
      </c>
      <c r="P8" s="61" t="str">
        <f>VLOOKUP(Tabelle1722[[#This Row],[Warmwasserbereitstellung]],Dropdown!$A$2:$D$4,4,FALSE)</f>
        <v>X</v>
      </c>
      <c r="Q8" s="61" t="str">
        <f>VLOOKUP(Tabelle1722[[#This Row],[Raumwärme 
(elektrische Raumheizung)]],Dropdown!$A$2:$D$4,4,FALSE)</f>
        <v>-</v>
      </c>
      <c r="R8" s="61" t="str">
        <f>VLOOKUP(Tabelle1722[[#This Row],[Nachtspeicherheizungen]],Dropdown!$A$2:$D$4,4,FALSE)</f>
        <v>X</v>
      </c>
      <c r="S8" s="61" t="str">
        <f>VLOOKUP(Tabelle1722[[#This Row],[Wärmepumpen]],Dropdown!$A$2:$D$4,4,FALSE)</f>
        <v>-</v>
      </c>
      <c r="T8" s="61" t="str">
        <f>VLOOKUP(Tabelle1722[[#This Row],[Hybrid-Wärmeerzeugungssysteme]],Dropdown!$A$2:$D$4,4,FALSE)</f>
        <v>-</v>
      </c>
      <c r="U8" s="61" t="str">
        <f>VLOOKUP(Tabelle1722[[#This Row],[Pumpenanwendungen]],Dropdown!$A$2:$D$4,4,FALSE)</f>
        <v>-</v>
      </c>
      <c r="V8" s="61" t="str">
        <f>VLOOKUP(Tabelle1722[[#This Row],[Pumpenanwendungen in der 
Wasserversorgung]],Dropdown!$A$2:$D$4,4,FALSE)</f>
        <v>-</v>
      </c>
      <c r="W8" s="61" t="str">
        <f>VLOOKUP(Tabelle1722[[#This Row],[Beleuchtung im Gartenbau]],Dropdown!$A$2:$D$4,4,FALSE)</f>
        <v>-</v>
      </c>
      <c r="X8" s="61" t="str">
        <f>VLOOKUP(Tabelle1722[[#This Row],[Belüftung]],Dropdown!$A$2:$D$4,4,FALSE)</f>
        <v>-</v>
      </c>
      <c r="Y8" s="61" t="str">
        <f>VLOOKUP(Tabelle1722[[#This Row],[Abwasserbehandlung]],Dropdown!$A$2:$D$4,4,FALSE)</f>
        <v>-</v>
      </c>
      <c r="Z8" s="61" t="str">
        <f>VLOOKUP(Tabelle1722[[#This Row],[Notstromaggregate, Back-Up-
Server und Mobilfunkstationen]],Dropdown!$A$2:$D$4,4,FALSE)</f>
        <v>-</v>
      </c>
      <c r="AA8" s="61" t="str">
        <f>VLOOKUP(Tabelle1722[[#This Row],[Prozesswärme]],Dropdown!$A$2:$D$4,4,FALSE)</f>
        <v>-</v>
      </c>
      <c r="AB8" s="61" t="str">
        <f>VLOOKUP(Tabelle1722[[#This Row],[Druckluft]],Dropdown!$A$2:$D$4,4,FALSE)</f>
        <v>-</v>
      </c>
    </row>
    <row r="9" spans="1:28" x14ac:dyDescent="0.2">
      <c r="A9" s="6" t="s">
        <v>410</v>
      </c>
      <c r="B9" s="61" t="str">
        <f>VLOOKUP(Tabelle1722[[#This Row],[Büros und Textilbetriebe gesamt]],Dropdown!$A$2:$D$4,4,FALSE)</f>
        <v>-</v>
      </c>
      <c r="C9" s="61" t="str">
        <f>VLOOKUP(Tabelle1722[[#This Row],[Handel gesamt]],Dropdown!$A$2:$D$4,4,FALSE)</f>
        <v>-</v>
      </c>
      <c r="D9" s="61" t="str">
        <f>VLOOKUP(Tabelle1722[[#This Row],[Gastgewerbe gesamt]],Dropdown!$A$2:$D$4,4,FALSE)</f>
        <v>-</v>
      </c>
      <c r="E9" s="61" t="str">
        <f>VLOOKUP(Tabelle1722[[#This Row],[Landwirtschaft gesamt]],Dropdown!$A$2:$D$4,4,FALSE)</f>
        <v>-</v>
      </c>
      <c r="F9" s="61" t="str">
        <f>VLOOKUP(Tabelle1722[[#This Row],[Gartenbau gesamt]],Dropdown!$A$2:$D$4,4,FALSE)</f>
        <v>-</v>
      </c>
      <c r="G9" s="61" t="str">
        <f>VLOOKUP(Tabelle1722[[#This Row],[Bäder gesamt]],Dropdown!$A$2:$D$4,4,FALSE)</f>
        <v>-</v>
      </c>
      <c r="H9" s="61" t="str">
        <f>VLOOKUP(Tabelle1722[[#This Row],[Wäschereien gesamt]],Dropdown!$A$2:$D$4,4,FALSE)</f>
        <v>-</v>
      </c>
      <c r="I9" s="61" t="str">
        <f>VLOOKUP(Tabelle1722[[#This Row],[produzierendes Gewerbe gesamt]],Dropdown!$A$2:$D$4,4,FALSE)</f>
        <v>-</v>
      </c>
      <c r="J9" s="61" t="str">
        <f>VLOOKUP(Tabelle1722[[#This Row],[Baugewerbe gesamt]],Dropdown!$A$2:$D$4,4,FALSE)</f>
        <v>-</v>
      </c>
      <c r="K9" s="61" t="str">
        <f>VLOOKUP(Tabelle1722[[#This Row],[Prozesskälte]],Dropdown!$A$2:$D$4,4,FALSE)</f>
        <v>-</v>
      </c>
      <c r="L9" s="61" t="str">
        <f>VLOOKUP(Tabelle1722[[#This Row],[Kühlhäuser]],Dropdown!$A$2:$D$4,4,FALSE)</f>
        <v>-</v>
      </c>
      <c r="M9" s="61" t="str">
        <f>VLOOKUP(Tabelle1722[[#This Row],[Kühlung im 
Lebensmitteleinzelhandel]],Dropdown!$A$2:$D$4,4,FALSE)</f>
        <v>-</v>
      </c>
      <c r="N9" s="61" t="str">
        <f>VLOOKUP(Tabelle1722[[#This Row],[Kühlung im Gastronomiebereich 
(Hotels, Restaurants)]],Dropdown!$A$2:$D$4,4,FALSE)</f>
        <v>-</v>
      </c>
      <c r="O9" s="61" t="str">
        <f>VLOOKUP(Tabelle1722[[#This Row],[Klimakälte]],Dropdown!$A$2:$D$4,4,FALSE)</f>
        <v>-</v>
      </c>
      <c r="P9" s="61" t="str">
        <f>VLOOKUP(Tabelle1722[[#This Row],[Warmwasserbereitstellung]],Dropdown!$A$2:$D$4,4,FALSE)</f>
        <v>-</v>
      </c>
      <c r="Q9" s="61" t="str">
        <f>VLOOKUP(Tabelle1722[[#This Row],[Raumwärme 
(elektrische Raumheizung)]],Dropdown!$A$2:$D$4,4,FALSE)</f>
        <v>-</v>
      </c>
      <c r="R9" s="61" t="str">
        <f>VLOOKUP(Tabelle1722[[#This Row],[Nachtspeicherheizungen]],Dropdown!$A$2:$D$4,4,FALSE)</f>
        <v>-</v>
      </c>
      <c r="S9" s="61" t="str">
        <f>VLOOKUP(Tabelle1722[[#This Row],[Wärmepumpen]],Dropdown!$A$2:$D$4,4,FALSE)</f>
        <v>-</v>
      </c>
      <c r="T9" s="61" t="str">
        <f>VLOOKUP(Tabelle1722[[#This Row],[Hybrid-Wärmeerzeugungssysteme]],Dropdown!$A$2:$D$4,4,FALSE)</f>
        <v>-</v>
      </c>
      <c r="U9" s="61" t="str">
        <f>VLOOKUP(Tabelle1722[[#This Row],[Pumpenanwendungen]],Dropdown!$A$2:$D$4,4,FALSE)</f>
        <v>-</v>
      </c>
      <c r="V9" s="61" t="str">
        <f>VLOOKUP(Tabelle1722[[#This Row],[Pumpenanwendungen in der 
Wasserversorgung]],Dropdown!$A$2:$D$4,4,FALSE)</f>
        <v>-</v>
      </c>
      <c r="W9" s="61" t="str">
        <f>VLOOKUP(Tabelle1722[[#This Row],[Beleuchtung im Gartenbau]],Dropdown!$A$2:$D$4,4,FALSE)</f>
        <v>-</v>
      </c>
      <c r="X9" s="61" t="str">
        <f>VLOOKUP(Tabelle1722[[#This Row],[Belüftung]],Dropdown!$A$2:$D$4,4,FALSE)</f>
        <v>-</v>
      </c>
      <c r="Y9" s="61" t="str">
        <f>VLOOKUP(Tabelle1722[[#This Row],[Abwasserbehandlung]],Dropdown!$A$2:$D$4,4,FALSE)</f>
        <v>-</v>
      </c>
      <c r="Z9" s="61" t="str">
        <f>VLOOKUP(Tabelle1722[[#This Row],[Notstromaggregate, Back-Up-
Server und Mobilfunkstationen]],Dropdown!$A$2:$D$4,4,FALSE)</f>
        <v>-</v>
      </c>
      <c r="AA9" s="61" t="str">
        <f>VLOOKUP(Tabelle1722[[#This Row],[Prozesswärme]],Dropdown!$A$2:$D$4,4,FALSE)</f>
        <v>-</v>
      </c>
      <c r="AB9" s="61" t="str">
        <f>VLOOKUP(Tabelle1722[[#This Row],[Druckluft]],Dropdown!$A$2:$D$4,4,FALSE)</f>
        <v>-</v>
      </c>
    </row>
    <row r="10" spans="1:28" x14ac:dyDescent="0.2">
      <c r="A10" s="6" t="s">
        <v>393</v>
      </c>
      <c r="B10" s="61" t="str">
        <f>VLOOKUP(Tabelle1722[[#This Row],[Büros und Textilbetriebe gesamt]],Dropdown!$A$2:$D$4,4,FALSE)</f>
        <v>-</v>
      </c>
      <c r="C10" s="61" t="str">
        <f>VLOOKUP(Tabelle1722[[#This Row],[Handel gesamt]],Dropdown!$A$2:$D$4,4,FALSE)</f>
        <v>-</v>
      </c>
      <c r="D10" s="61" t="str">
        <f>VLOOKUP(Tabelle1722[[#This Row],[Gastgewerbe gesamt]],Dropdown!$A$2:$D$4,4,FALSE)</f>
        <v>-</v>
      </c>
      <c r="E10" s="61" t="str">
        <f>VLOOKUP(Tabelle1722[[#This Row],[Landwirtschaft gesamt]],Dropdown!$A$2:$D$4,4,FALSE)</f>
        <v>-</v>
      </c>
      <c r="F10" s="61" t="str">
        <f>VLOOKUP(Tabelle1722[[#This Row],[Gartenbau gesamt]],Dropdown!$A$2:$D$4,4,FALSE)</f>
        <v>-</v>
      </c>
      <c r="G10" s="61" t="str">
        <f>VLOOKUP(Tabelle1722[[#This Row],[Bäder gesamt]],Dropdown!$A$2:$D$4,4,FALSE)</f>
        <v>-</v>
      </c>
      <c r="H10" s="61" t="str">
        <f>VLOOKUP(Tabelle1722[[#This Row],[Wäschereien gesamt]],Dropdown!$A$2:$D$4,4,FALSE)</f>
        <v>-</v>
      </c>
      <c r="I10" s="61" t="str">
        <f>VLOOKUP(Tabelle1722[[#This Row],[produzierendes Gewerbe gesamt]],Dropdown!$A$2:$D$4,4,FALSE)</f>
        <v>-</v>
      </c>
      <c r="J10" s="61" t="str">
        <f>VLOOKUP(Tabelle1722[[#This Row],[Baugewerbe gesamt]],Dropdown!$A$2:$D$4,4,FALSE)</f>
        <v>-</v>
      </c>
      <c r="K10" s="61" t="str">
        <f>VLOOKUP(Tabelle1722[[#This Row],[Prozesskälte]],Dropdown!$A$2:$D$4,4,FALSE)</f>
        <v>-</v>
      </c>
      <c r="L10" s="61" t="str">
        <f>VLOOKUP(Tabelle1722[[#This Row],[Kühlhäuser]],Dropdown!$A$2:$D$4,4,FALSE)</f>
        <v>-</v>
      </c>
      <c r="M10" s="61" t="str">
        <f>VLOOKUP(Tabelle1722[[#This Row],[Kühlung im 
Lebensmitteleinzelhandel]],Dropdown!$A$2:$D$4,4,FALSE)</f>
        <v>-</v>
      </c>
      <c r="N10" s="61" t="str">
        <f>VLOOKUP(Tabelle1722[[#This Row],[Kühlung im Gastronomiebereich 
(Hotels, Restaurants)]],Dropdown!$A$2:$D$4,4,FALSE)</f>
        <v>-</v>
      </c>
      <c r="O10" s="61" t="str">
        <f>VLOOKUP(Tabelle1722[[#This Row],[Klimakälte]],Dropdown!$A$2:$D$4,4,FALSE)</f>
        <v>-</v>
      </c>
      <c r="P10" s="61" t="str">
        <f>VLOOKUP(Tabelle1722[[#This Row],[Warmwasserbereitstellung]],Dropdown!$A$2:$D$4,4,FALSE)</f>
        <v>-</v>
      </c>
      <c r="Q10" s="61" t="str">
        <f>VLOOKUP(Tabelle1722[[#This Row],[Raumwärme 
(elektrische Raumheizung)]],Dropdown!$A$2:$D$4,4,FALSE)</f>
        <v>-</v>
      </c>
      <c r="R10" s="61" t="str">
        <f>VLOOKUP(Tabelle1722[[#This Row],[Nachtspeicherheizungen]],Dropdown!$A$2:$D$4,4,FALSE)</f>
        <v>-</v>
      </c>
      <c r="S10" s="61" t="str">
        <f>VLOOKUP(Tabelle1722[[#This Row],[Wärmepumpen]],Dropdown!$A$2:$D$4,4,FALSE)</f>
        <v>-</v>
      </c>
      <c r="T10" s="61" t="str">
        <f>VLOOKUP(Tabelle1722[[#This Row],[Hybrid-Wärmeerzeugungssysteme]],Dropdown!$A$2:$D$4,4,FALSE)</f>
        <v>X</v>
      </c>
      <c r="U10" s="61" t="str">
        <f>VLOOKUP(Tabelle1722[[#This Row],[Pumpenanwendungen]],Dropdown!$A$2:$D$4,4,FALSE)</f>
        <v>-</v>
      </c>
      <c r="V10" s="61" t="str">
        <f>VLOOKUP(Tabelle1722[[#This Row],[Pumpenanwendungen in der 
Wasserversorgung]],Dropdown!$A$2:$D$4,4,FALSE)</f>
        <v>-</v>
      </c>
      <c r="W10" s="61" t="str">
        <f>VLOOKUP(Tabelle1722[[#This Row],[Beleuchtung im Gartenbau]],Dropdown!$A$2:$D$4,4,FALSE)</f>
        <v>-</v>
      </c>
      <c r="X10" s="61" t="str">
        <f>VLOOKUP(Tabelle1722[[#This Row],[Belüftung]],Dropdown!$A$2:$D$4,4,FALSE)</f>
        <v>-</v>
      </c>
      <c r="Y10" s="61" t="str">
        <f>VLOOKUP(Tabelle1722[[#This Row],[Abwasserbehandlung]],Dropdown!$A$2:$D$4,4,FALSE)</f>
        <v>-</v>
      </c>
      <c r="Z10" s="61" t="str">
        <f>VLOOKUP(Tabelle1722[[#This Row],[Notstromaggregate, Back-Up-
Server und Mobilfunkstationen]],Dropdown!$A$2:$D$4,4,FALSE)</f>
        <v>-</v>
      </c>
      <c r="AA10" s="61" t="str">
        <f>VLOOKUP(Tabelle1722[[#This Row],[Prozesswärme]],Dropdown!$A$2:$D$4,4,FALSE)</f>
        <v>-</v>
      </c>
      <c r="AB10" s="61" t="str">
        <f>VLOOKUP(Tabelle1722[[#This Row],[Druckluft]],Dropdown!$A$2:$D$4,4,FALSE)</f>
        <v>-</v>
      </c>
    </row>
    <row r="11" spans="1:28" ht="38.25" x14ac:dyDescent="0.2">
      <c r="A11" s="6" t="s">
        <v>380</v>
      </c>
      <c r="B11" s="61" t="str">
        <f>VLOOKUP(Tabelle1722[[#This Row],[Büros und Textilbetriebe gesamt]],Dropdown!$A$2:$D$4,4,FALSE)</f>
        <v>-</v>
      </c>
      <c r="C11" s="61" t="str">
        <f>VLOOKUP(Tabelle1722[[#This Row],[Handel gesamt]],Dropdown!$A$2:$D$4,4,FALSE)</f>
        <v>-</v>
      </c>
      <c r="D11" s="61" t="str">
        <f>VLOOKUP(Tabelle1722[[#This Row],[Gastgewerbe gesamt]],Dropdown!$A$2:$D$4,4,FALSE)</f>
        <v>-</v>
      </c>
      <c r="E11" s="61" t="str">
        <f>VLOOKUP(Tabelle1722[[#This Row],[Landwirtschaft gesamt]],Dropdown!$A$2:$D$4,4,FALSE)</f>
        <v>-</v>
      </c>
      <c r="F11" s="61" t="str">
        <f>VLOOKUP(Tabelle1722[[#This Row],[Gartenbau gesamt]],Dropdown!$A$2:$D$4,4,FALSE)</f>
        <v>-</v>
      </c>
      <c r="G11" s="61" t="str">
        <f>VLOOKUP(Tabelle1722[[#This Row],[Bäder gesamt]],Dropdown!$A$2:$D$4,4,FALSE)</f>
        <v>-</v>
      </c>
      <c r="H11" s="61" t="str">
        <f>VLOOKUP(Tabelle1722[[#This Row],[Wäschereien gesamt]],Dropdown!$A$2:$D$4,4,FALSE)</f>
        <v>-</v>
      </c>
      <c r="I11" s="61" t="str">
        <f>VLOOKUP(Tabelle1722[[#This Row],[produzierendes Gewerbe gesamt]],Dropdown!$A$2:$D$4,4,FALSE)</f>
        <v>-</v>
      </c>
      <c r="J11" s="61" t="str">
        <f>VLOOKUP(Tabelle1722[[#This Row],[Baugewerbe gesamt]],Dropdown!$A$2:$D$4,4,FALSE)</f>
        <v>-</v>
      </c>
      <c r="K11" s="61" t="str">
        <f>VLOOKUP(Tabelle1722[[#This Row],[Prozesskälte]],Dropdown!$A$2:$D$4,4,FALSE)</f>
        <v>-</v>
      </c>
      <c r="L11" s="61" t="str">
        <f>VLOOKUP(Tabelle1722[[#This Row],[Kühlhäuser]],Dropdown!$A$2:$D$4,4,FALSE)</f>
        <v>-</v>
      </c>
      <c r="M11" s="61" t="str">
        <f>VLOOKUP(Tabelle1722[[#This Row],[Kühlung im 
Lebensmitteleinzelhandel]],Dropdown!$A$2:$D$4,4,FALSE)</f>
        <v>-</v>
      </c>
      <c r="N11" s="61" t="str">
        <f>VLOOKUP(Tabelle1722[[#This Row],[Kühlung im Gastronomiebereich 
(Hotels, Restaurants)]],Dropdown!$A$2:$D$4,4,FALSE)</f>
        <v>-</v>
      </c>
      <c r="O11" s="61" t="str">
        <f>VLOOKUP(Tabelle1722[[#This Row],[Klimakälte]],Dropdown!$A$2:$D$4,4,FALSE)</f>
        <v>-</v>
      </c>
      <c r="P11" s="61" t="str">
        <f>VLOOKUP(Tabelle1722[[#This Row],[Warmwasserbereitstellung]],Dropdown!$A$2:$D$4,4,FALSE)</f>
        <v>-</v>
      </c>
      <c r="Q11" s="61" t="str">
        <f>VLOOKUP(Tabelle1722[[#This Row],[Raumwärme 
(elektrische Raumheizung)]],Dropdown!$A$2:$D$4,4,FALSE)</f>
        <v>-</v>
      </c>
      <c r="R11" s="61" t="str">
        <f>VLOOKUP(Tabelle1722[[#This Row],[Nachtspeicherheizungen]],Dropdown!$A$2:$D$4,4,FALSE)</f>
        <v>-</v>
      </c>
      <c r="S11" s="61" t="str">
        <f>VLOOKUP(Tabelle1722[[#This Row],[Wärmepumpen]],Dropdown!$A$2:$D$4,4,FALSE)</f>
        <v>-</v>
      </c>
      <c r="T11" s="61" t="str">
        <f>VLOOKUP(Tabelle1722[[#This Row],[Hybrid-Wärmeerzeugungssysteme]],Dropdown!$A$2:$D$4,4,FALSE)</f>
        <v>-</v>
      </c>
      <c r="U11" s="61" t="str">
        <f>VLOOKUP(Tabelle1722[[#This Row],[Pumpenanwendungen]],Dropdown!$A$2:$D$4,4,FALSE)</f>
        <v>-</v>
      </c>
      <c r="V11" s="61" t="str">
        <f>VLOOKUP(Tabelle1722[[#This Row],[Pumpenanwendungen in der 
Wasserversorgung]],Dropdown!$A$2:$D$4,4,FALSE)</f>
        <v>-</v>
      </c>
      <c r="W11" s="61" t="str">
        <f>VLOOKUP(Tabelle1722[[#This Row],[Beleuchtung im Gartenbau]],Dropdown!$A$2:$D$4,4,FALSE)</f>
        <v>-</v>
      </c>
      <c r="X11" s="61" t="str">
        <f>VLOOKUP(Tabelle1722[[#This Row],[Belüftung]],Dropdown!$A$2:$D$4,4,FALSE)</f>
        <v>-</v>
      </c>
      <c r="Y11" s="61" t="str">
        <f>VLOOKUP(Tabelle1722[[#This Row],[Abwasserbehandlung]],Dropdown!$A$2:$D$4,4,FALSE)</f>
        <v>-</v>
      </c>
      <c r="Z11" s="61" t="str">
        <f>VLOOKUP(Tabelle1722[[#This Row],[Notstromaggregate, Back-Up-
Server und Mobilfunkstationen]],Dropdown!$A$2:$D$4,4,FALSE)</f>
        <v>-</v>
      </c>
      <c r="AA11" s="61" t="str">
        <f>VLOOKUP(Tabelle1722[[#This Row],[Prozesswärme]],Dropdown!$A$2:$D$4,4,FALSE)</f>
        <v>-</v>
      </c>
      <c r="AB11" s="61" t="str">
        <f>VLOOKUP(Tabelle1722[[#This Row],[Druckluft]],Dropdown!$A$2:$D$4,4,FALSE)</f>
        <v>-</v>
      </c>
    </row>
    <row r="12" spans="1:28" ht="25.5" x14ac:dyDescent="0.2">
      <c r="A12" s="6" t="s">
        <v>95</v>
      </c>
      <c r="B12" s="61" t="str">
        <f>VLOOKUP(Tabelle1722[[#This Row],[Büros und Textilbetriebe gesamt]],Dropdown!$A$2:$D$4,4,FALSE)</f>
        <v>-</v>
      </c>
      <c r="C12" s="61" t="str">
        <f>VLOOKUP(Tabelle1722[[#This Row],[Handel gesamt]],Dropdown!$A$2:$D$4,4,FALSE)</f>
        <v>-</v>
      </c>
      <c r="D12" s="61" t="str">
        <f>VLOOKUP(Tabelle1722[[#This Row],[Gastgewerbe gesamt]],Dropdown!$A$2:$D$4,4,FALSE)</f>
        <v>-</v>
      </c>
      <c r="E12" s="61" t="str">
        <f>VLOOKUP(Tabelle1722[[#This Row],[Landwirtschaft gesamt]],Dropdown!$A$2:$D$4,4,FALSE)</f>
        <v>-</v>
      </c>
      <c r="F12" s="61" t="str">
        <f>VLOOKUP(Tabelle1722[[#This Row],[Gartenbau gesamt]],Dropdown!$A$2:$D$4,4,FALSE)</f>
        <v>-</v>
      </c>
      <c r="G12" s="61" t="str">
        <f>VLOOKUP(Tabelle1722[[#This Row],[Bäder gesamt]],Dropdown!$A$2:$D$4,4,FALSE)</f>
        <v>-</v>
      </c>
      <c r="H12" s="61" t="str">
        <f>VLOOKUP(Tabelle1722[[#This Row],[Wäschereien gesamt]],Dropdown!$A$2:$D$4,4,FALSE)</f>
        <v>-</v>
      </c>
      <c r="I12" s="61" t="str">
        <f>VLOOKUP(Tabelle1722[[#This Row],[produzierendes Gewerbe gesamt]],Dropdown!$A$2:$D$4,4,FALSE)</f>
        <v>-</v>
      </c>
      <c r="J12" s="61" t="str">
        <f>VLOOKUP(Tabelle1722[[#This Row],[Baugewerbe gesamt]],Dropdown!$A$2:$D$4,4,FALSE)</f>
        <v>-</v>
      </c>
      <c r="K12" s="61" t="str">
        <f>VLOOKUP(Tabelle1722[[#This Row],[Prozesskälte]],Dropdown!$A$2:$D$4,4,FALSE)</f>
        <v>X</v>
      </c>
      <c r="L12" s="61" t="str">
        <f>VLOOKUP(Tabelle1722[[#This Row],[Kühlhäuser]],Dropdown!$A$2:$D$4,4,FALSE)</f>
        <v>X</v>
      </c>
      <c r="M12" s="61" t="str">
        <f>VLOOKUP(Tabelle1722[[#This Row],[Kühlung im 
Lebensmitteleinzelhandel]],Dropdown!$A$2:$D$4,4,FALSE)</f>
        <v>X</v>
      </c>
      <c r="N12" s="61" t="str">
        <f>VLOOKUP(Tabelle1722[[#This Row],[Kühlung im Gastronomiebereich 
(Hotels, Restaurants)]],Dropdown!$A$2:$D$4,4,FALSE)</f>
        <v>-</v>
      </c>
      <c r="O12" s="61" t="str">
        <f>VLOOKUP(Tabelle1722[[#This Row],[Klimakälte]],Dropdown!$A$2:$D$4,4,FALSE)</f>
        <v>X</v>
      </c>
      <c r="P12" s="61" t="str">
        <f>VLOOKUP(Tabelle1722[[#This Row],[Warmwasserbereitstellung]],Dropdown!$A$2:$D$4,4,FALSE)</f>
        <v>X</v>
      </c>
      <c r="Q12" s="61" t="str">
        <f>VLOOKUP(Tabelle1722[[#This Row],[Raumwärme 
(elektrische Raumheizung)]],Dropdown!$A$2:$D$4,4,FALSE)</f>
        <v>-</v>
      </c>
      <c r="R12" s="61" t="str">
        <f>VLOOKUP(Tabelle1722[[#This Row],[Nachtspeicherheizungen]],Dropdown!$A$2:$D$4,4,FALSE)</f>
        <v>X</v>
      </c>
      <c r="S12" s="61" t="str">
        <f>VLOOKUP(Tabelle1722[[#This Row],[Wärmepumpen]],Dropdown!$A$2:$D$4,4,FALSE)</f>
        <v>-</v>
      </c>
      <c r="T12" s="61" t="str">
        <f>VLOOKUP(Tabelle1722[[#This Row],[Hybrid-Wärmeerzeugungssysteme]],Dropdown!$A$2:$D$4,4,FALSE)</f>
        <v>-</v>
      </c>
      <c r="U12" s="61" t="str">
        <f>VLOOKUP(Tabelle1722[[#This Row],[Pumpenanwendungen]],Dropdown!$A$2:$D$4,4,FALSE)</f>
        <v>-</v>
      </c>
      <c r="V12" s="61" t="str">
        <f>VLOOKUP(Tabelle1722[[#This Row],[Pumpenanwendungen in der 
Wasserversorgung]],Dropdown!$A$2:$D$4,4,FALSE)</f>
        <v>-</v>
      </c>
      <c r="W12" s="61" t="str">
        <f>VLOOKUP(Tabelle1722[[#This Row],[Beleuchtung im Gartenbau]],Dropdown!$A$2:$D$4,4,FALSE)</f>
        <v>-</v>
      </c>
      <c r="X12" s="61" t="str">
        <f>VLOOKUP(Tabelle1722[[#This Row],[Belüftung]],Dropdown!$A$2:$D$4,4,FALSE)</f>
        <v>X</v>
      </c>
      <c r="Y12" s="61" t="str">
        <f>VLOOKUP(Tabelle1722[[#This Row],[Abwasserbehandlung]],Dropdown!$A$2:$D$4,4,FALSE)</f>
        <v>-</v>
      </c>
      <c r="Z12" s="61" t="str">
        <f>VLOOKUP(Tabelle1722[[#This Row],[Notstromaggregate, Back-Up-
Server und Mobilfunkstationen]],Dropdown!$A$2:$D$4,4,FALSE)</f>
        <v>X</v>
      </c>
      <c r="AA12" s="61" t="str">
        <f>VLOOKUP(Tabelle1722[[#This Row],[Prozesswärme]],Dropdown!$A$2:$D$4,4,FALSE)</f>
        <v>-</v>
      </c>
      <c r="AB12" s="61" t="str">
        <f>VLOOKUP(Tabelle1722[[#This Row],[Druckluft]],Dropdown!$A$2:$D$4,4,FALSE)</f>
        <v>-</v>
      </c>
    </row>
    <row r="13" spans="1:28" ht="38.25" x14ac:dyDescent="0.2">
      <c r="A13" s="6" t="s">
        <v>1709</v>
      </c>
      <c r="B13" s="61" t="str">
        <f>VLOOKUP(Tabelle1722[[#This Row],[Büros und Textilbetriebe gesamt]],Dropdown!$A$2:$D$4,4,FALSE)</f>
        <v>-</v>
      </c>
      <c r="C13" s="61" t="str">
        <f>VLOOKUP(Tabelle1722[[#This Row],[Handel gesamt]],Dropdown!$A$2:$D$4,4,FALSE)</f>
        <v>-</v>
      </c>
      <c r="D13" s="61" t="str">
        <f>VLOOKUP(Tabelle1722[[#This Row],[Gastgewerbe gesamt]],Dropdown!$A$2:$D$4,4,FALSE)</f>
        <v>-</v>
      </c>
      <c r="E13" s="61" t="str">
        <f>VLOOKUP(Tabelle1722[[#This Row],[Landwirtschaft gesamt]],Dropdown!$A$2:$D$4,4,FALSE)</f>
        <v>-</v>
      </c>
      <c r="F13" s="61" t="str">
        <f>VLOOKUP(Tabelle1722[[#This Row],[Gartenbau gesamt]],Dropdown!$A$2:$D$4,4,FALSE)</f>
        <v>-</v>
      </c>
      <c r="G13" s="61" t="str">
        <f>VLOOKUP(Tabelle1722[[#This Row],[Bäder gesamt]],Dropdown!$A$2:$D$4,4,FALSE)</f>
        <v>-</v>
      </c>
      <c r="H13" s="61" t="str">
        <f>VLOOKUP(Tabelle1722[[#This Row],[Wäschereien gesamt]],Dropdown!$A$2:$D$4,4,FALSE)</f>
        <v>-</v>
      </c>
      <c r="I13" s="61" t="str">
        <f>VLOOKUP(Tabelle1722[[#This Row],[produzierendes Gewerbe gesamt]],Dropdown!$A$2:$D$4,4,FALSE)</f>
        <v>-</v>
      </c>
      <c r="J13" s="61" t="str">
        <f>VLOOKUP(Tabelle1722[[#This Row],[Baugewerbe gesamt]],Dropdown!$A$2:$D$4,4,FALSE)</f>
        <v>-</v>
      </c>
      <c r="K13" s="61" t="str">
        <f>VLOOKUP(Tabelle1722[[#This Row],[Prozesskälte]],Dropdown!$A$2:$D$4,4,FALSE)</f>
        <v>-</v>
      </c>
      <c r="L13" s="61" t="str">
        <f>VLOOKUP(Tabelle1722[[#This Row],[Kühlhäuser]],Dropdown!$A$2:$D$4,4,FALSE)</f>
        <v>-</v>
      </c>
      <c r="M13" s="61" t="str">
        <f>VLOOKUP(Tabelle1722[[#This Row],[Kühlung im 
Lebensmitteleinzelhandel]],Dropdown!$A$2:$D$4,4,FALSE)</f>
        <v>-</v>
      </c>
      <c r="N13" s="61" t="str">
        <f>VLOOKUP(Tabelle1722[[#This Row],[Kühlung im Gastronomiebereich 
(Hotels, Restaurants)]],Dropdown!$A$2:$D$4,4,FALSE)</f>
        <v>-</v>
      </c>
      <c r="O13" s="61" t="str">
        <f>VLOOKUP(Tabelle1722[[#This Row],[Klimakälte]],Dropdown!$A$2:$D$4,4,FALSE)</f>
        <v>-</v>
      </c>
      <c r="P13" s="61" t="str">
        <f>VLOOKUP(Tabelle1722[[#This Row],[Warmwasserbereitstellung]],Dropdown!$A$2:$D$4,4,FALSE)</f>
        <v>-</v>
      </c>
      <c r="Q13" s="61" t="str">
        <f>VLOOKUP(Tabelle1722[[#This Row],[Raumwärme 
(elektrische Raumheizung)]],Dropdown!$A$2:$D$4,4,FALSE)</f>
        <v>-</v>
      </c>
      <c r="R13" s="61" t="str">
        <f>VLOOKUP(Tabelle1722[[#This Row],[Nachtspeicherheizungen]],Dropdown!$A$2:$D$4,4,FALSE)</f>
        <v>-</v>
      </c>
      <c r="S13" s="61" t="str">
        <f>VLOOKUP(Tabelle1722[[#This Row],[Wärmepumpen]],Dropdown!$A$2:$D$4,4,FALSE)</f>
        <v>-</v>
      </c>
      <c r="T13" s="61" t="str">
        <f>VLOOKUP(Tabelle1722[[#This Row],[Hybrid-Wärmeerzeugungssysteme]],Dropdown!$A$2:$D$4,4,FALSE)</f>
        <v>-</v>
      </c>
      <c r="U13" s="61" t="str">
        <f>VLOOKUP(Tabelle1722[[#This Row],[Pumpenanwendungen]],Dropdown!$A$2:$D$4,4,FALSE)</f>
        <v>-</v>
      </c>
      <c r="V13" s="61" t="str">
        <f>VLOOKUP(Tabelle1722[[#This Row],[Pumpenanwendungen in der 
Wasserversorgung]],Dropdown!$A$2:$D$4,4,FALSE)</f>
        <v>-</v>
      </c>
      <c r="W13" s="61" t="str">
        <f>VLOOKUP(Tabelle1722[[#This Row],[Beleuchtung im Gartenbau]],Dropdown!$A$2:$D$4,4,FALSE)</f>
        <v>-</v>
      </c>
      <c r="X13" s="61" t="str">
        <f>VLOOKUP(Tabelle1722[[#This Row],[Belüftung]],Dropdown!$A$2:$D$4,4,FALSE)</f>
        <v>-</v>
      </c>
      <c r="Y13" s="61" t="str">
        <f>VLOOKUP(Tabelle1722[[#This Row],[Abwasserbehandlung]],Dropdown!$A$2:$D$4,4,FALSE)</f>
        <v>-</v>
      </c>
      <c r="Z13" s="61" t="str">
        <f>VLOOKUP(Tabelle1722[[#This Row],[Notstromaggregate, Back-Up-
Server und Mobilfunkstationen]],Dropdown!$A$2:$D$4,4,FALSE)</f>
        <v>-</v>
      </c>
      <c r="AA13" s="61" t="str">
        <f>VLOOKUP(Tabelle1722[[#This Row],[Prozesswärme]],Dropdown!$A$2:$D$4,4,FALSE)</f>
        <v>-</v>
      </c>
      <c r="AB13" s="61" t="str">
        <f>VLOOKUP(Tabelle1722[[#This Row],[Druckluft]],Dropdown!$A$2:$D$4,4,FALSE)</f>
        <v>-</v>
      </c>
    </row>
    <row r="14" spans="1:28" x14ac:dyDescent="0.2">
      <c r="A14" s="6" t="s">
        <v>179</v>
      </c>
      <c r="B14" s="61" t="str">
        <f>VLOOKUP(Tabelle1722[[#This Row],[Büros und Textilbetriebe gesamt]],Dropdown!$A$2:$D$4,4,FALSE)</f>
        <v>-</v>
      </c>
      <c r="C14" s="61" t="str">
        <f>VLOOKUP(Tabelle1722[[#This Row],[Handel gesamt]],Dropdown!$A$2:$D$4,4,FALSE)</f>
        <v>-</v>
      </c>
      <c r="D14" s="61" t="str">
        <f>VLOOKUP(Tabelle1722[[#This Row],[Gastgewerbe gesamt]],Dropdown!$A$2:$D$4,4,FALSE)</f>
        <v>-</v>
      </c>
      <c r="E14" s="61" t="str">
        <f>VLOOKUP(Tabelle1722[[#This Row],[Landwirtschaft gesamt]],Dropdown!$A$2:$D$4,4,FALSE)</f>
        <v>-</v>
      </c>
      <c r="F14" s="61" t="str">
        <f>VLOOKUP(Tabelle1722[[#This Row],[Gartenbau gesamt]],Dropdown!$A$2:$D$4,4,FALSE)</f>
        <v>-</v>
      </c>
      <c r="G14" s="61" t="str">
        <f>VLOOKUP(Tabelle1722[[#This Row],[Bäder gesamt]],Dropdown!$A$2:$D$4,4,FALSE)</f>
        <v>-</v>
      </c>
      <c r="H14" s="61" t="str">
        <f>VLOOKUP(Tabelle1722[[#This Row],[Wäschereien gesamt]],Dropdown!$A$2:$D$4,4,FALSE)</f>
        <v>-</v>
      </c>
      <c r="I14" s="61" t="str">
        <f>VLOOKUP(Tabelle1722[[#This Row],[produzierendes Gewerbe gesamt]],Dropdown!$A$2:$D$4,4,FALSE)</f>
        <v>-</v>
      </c>
      <c r="J14" s="61" t="str">
        <f>VLOOKUP(Tabelle1722[[#This Row],[Baugewerbe gesamt]],Dropdown!$A$2:$D$4,4,FALSE)</f>
        <v>-</v>
      </c>
      <c r="K14" s="61" t="str">
        <f>VLOOKUP(Tabelle1722[[#This Row],[Prozesskälte]],Dropdown!$A$2:$D$4,4,FALSE)</f>
        <v>-</v>
      </c>
      <c r="L14" s="61" t="str">
        <f>VLOOKUP(Tabelle1722[[#This Row],[Kühlhäuser]],Dropdown!$A$2:$D$4,4,FALSE)</f>
        <v>-</v>
      </c>
      <c r="M14" s="61" t="str">
        <f>VLOOKUP(Tabelle1722[[#This Row],[Kühlung im 
Lebensmitteleinzelhandel]],Dropdown!$A$2:$D$4,4,FALSE)</f>
        <v>-</v>
      </c>
      <c r="N14" s="61" t="str">
        <f>VLOOKUP(Tabelle1722[[#This Row],[Kühlung im Gastronomiebereich 
(Hotels, Restaurants)]],Dropdown!$A$2:$D$4,4,FALSE)</f>
        <v>-</v>
      </c>
      <c r="O14" s="61" t="str">
        <f>VLOOKUP(Tabelle1722[[#This Row],[Klimakälte]],Dropdown!$A$2:$D$4,4,FALSE)</f>
        <v>-</v>
      </c>
      <c r="P14" s="61" t="str">
        <f>VLOOKUP(Tabelle1722[[#This Row],[Warmwasserbereitstellung]],Dropdown!$A$2:$D$4,4,FALSE)</f>
        <v>-</v>
      </c>
      <c r="Q14" s="61" t="str">
        <f>VLOOKUP(Tabelle1722[[#This Row],[Raumwärme 
(elektrische Raumheizung)]],Dropdown!$A$2:$D$4,4,FALSE)</f>
        <v>-</v>
      </c>
      <c r="R14" s="61" t="str">
        <f>VLOOKUP(Tabelle1722[[#This Row],[Nachtspeicherheizungen]],Dropdown!$A$2:$D$4,4,FALSE)</f>
        <v>-</v>
      </c>
      <c r="S14" s="61" t="str">
        <f>VLOOKUP(Tabelle1722[[#This Row],[Wärmepumpen]],Dropdown!$A$2:$D$4,4,FALSE)</f>
        <v>-</v>
      </c>
      <c r="T14" s="61" t="str">
        <f>VLOOKUP(Tabelle1722[[#This Row],[Hybrid-Wärmeerzeugungssysteme]],Dropdown!$A$2:$D$4,4,FALSE)</f>
        <v>-</v>
      </c>
      <c r="U14" s="61" t="str">
        <f>VLOOKUP(Tabelle1722[[#This Row],[Pumpenanwendungen]],Dropdown!$A$2:$D$4,4,FALSE)</f>
        <v>-</v>
      </c>
      <c r="V14" s="61" t="str">
        <f>VLOOKUP(Tabelle1722[[#This Row],[Pumpenanwendungen in der 
Wasserversorgung]],Dropdown!$A$2:$D$4,4,FALSE)</f>
        <v>-</v>
      </c>
      <c r="W14" s="61" t="str">
        <f>VLOOKUP(Tabelle1722[[#This Row],[Beleuchtung im Gartenbau]],Dropdown!$A$2:$D$4,4,FALSE)</f>
        <v>-</v>
      </c>
      <c r="X14" s="61" t="str">
        <f>VLOOKUP(Tabelle1722[[#This Row],[Belüftung]],Dropdown!$A$2:$D$4,4,FALSE)</f>
        <v>-</v>
      </c>
      <c r="Y14" s="61" t="str">
        <f>VLOOKUP(Tabelle1722[[#This Row],[Abwasserbehandlung]],Dropdown!$A$2:$D$4,4,FALSE)</f>
        <v>-</v>
      </c>
      <c r="Z14" s="61" t="str">
        <f>VLOOKUP(Tabelle1722[[#This Row],[Notstromaggregate, Back-Up-
Server und Mobilfunkstationen]],Dropdown!$A$2:$D$4,4,FALSE)</f>
        <v>-</v>
      </c>
      <c r="AA14" s="61" t="str">
        <f>VLOOKUP(Tabelle1722[[#This Row],[Prozesswärme]],Dropdown!$A$2:$D$4,4,FALSE)</f>
        <v>-</v>
      </c>
      <c r="AB14" s="61" t="str">
        <f>VLOOKUP(Tabelle1722[[#This Row],[Druckluft]],Dropdown!$A$2:$D$4,4,FALSE)</f>
        <v>-</v>
      </c>
    </row>
    <row r="15" spans="1:28" x14ac:dyDescent="0.2">
      <c r="A15" s="6" t="s">
        <v>341</v>
      </c>
      <c r="B15" s="61" t="str">
        <f>VLOOKUP(Tabelle1722[[#This Row],[Büros und Textilbetriebe gesamt]],Dropdown!$A$2:$D$4,4,FALSE)</f>
        <v>-</v>
      </c>
      <c r="C15" s="61" t="str">
        <f>VLOOKUP(Tabelle1722[[#This Row],[Handel gesamt]],Dropdown!$A$2:$D$4,4,FALSE)</f>
        <v>-</v>
      </c>
      <c r="D15" s="61" t="str">
        <f>VLOOKUP(Tabelle1722[[#This Row],[Gastgewerbe gesamt]],Dropdown!$A$2:$D$4,4,FALSE)</f>
        <v>-</v>
      </c>
      <c r="E15" s="61" t="str">
        <f>VLOOKUP(Tabelle1722[[#This Row],[Landwirtschaft gesamt]],Dropdown!$A$2:$D$4,4,FALSE)</f>
        <v>-</v>
      </c>
      <c r="F15" s="61" t="str">
        <f>VLOOKUP(Tabelle1722[[#This Row],[Gartenbau gesamt]],Dropdown!$A$2:$D$4,4,FALSE)</f>
        <v>-</v>
      </c>
      <c r="G15" s="61" t="str">
        <f>VLOOKUP(Tabelle1722[[#This Row],[Bäder gesamt]],Dropdown!$A$2:$D$4,4,FALSE)</f>
        <v>-</v>
      </c>
      <c r="H15" s="61" t="str">
        <f>VLOOKUP(Tabelle1722[[#This Row],[Wäschereien gesamt]],Dropdown!$A$2:$D$4,4,FALSE)</f>
        <v>-</v>
      </c>
      <c r="I15" s="61" t="str">
        <f>VLOOKUP(Tabelle1722[[#This Row],[produzierendes Gewerbe gesamt]],Dropdown!$A$2:$D$4,4,FALSE)</f>
        <v>-</v>
      </c>
      <c r="J15" s="61" t="str">
        <f>VLOOKUP(Tabelle1722[[#This Row],[Baugewerbe gesamt]],Dropdown!$A$2:$D$4,4,FALSE)</f>
        <v>-</v>
      </c>
      <c r="K15" s="61" t="str">
        <f>VLOOKUP(Tabelle1722[[#This Row],[Prozesskälte]],Dropdown!$A$2:$D$4,4,FALSE)</f>
        <v>X</v>
      </c>
      <c r="L15" s="61" t="str">
        <f>VLOOKUP(Tabelle1722[[#This Row],[Kühlhäuser]],Dropdown!$A$2:$D$4,4,FALSE)</f>
        <v>-</v>
      </c>
      <c r="M15" s="61" t="str">
        <f>VLOOKUP(Tabelle1722[[#This Row],[Kühlung im 
Lebensmitteleinzelhandel]],Dropdown!$A$2:$D$4,4,FALSE)</f>
        <v>-</v>
      </c>
      <c r="N15" s="61" t="str">
        <f>VLOOKUP(Tabelle1722[[#This Row],[Kühlung im Gastronomiebereich 
(Hotels, Restaurants)]],Dropdown!$A$2:$D$4,4,FALSE)</f>
        <v>-</v>
      </c>
      <c r="O15" s="61" t="str">
        <f>VLOOKUP(Tabelle1722[[#This Row],[Klimakälte]],Dropdown!$A$2:$D$4,4,FALSE)</f>
        <v>X</v>
      </c>
      <c r="P15" s="61" t="str">
        <f>VLOOKUP(Tabelle1722[[#This Row],[Warmwasserbereitstellung]],Dropdown!$A$2:$D$4,4,FALSE)</f>
        <v>-</v>
      </c>
      <c r="Q15" s="61" t="str">
        <f>VLOOKUP(Tabelle1722[[#This Row],[Raumwärme 
(elektrische Raumheizung)]],Dropdown!$A$2:$D$4,4,FALSE)</f>
        <v>-</v>
      </c>
      <c r="R15" s="61" t="str">
        <f>VLOOKUP(Tabelle1722[[#This Row],[Nachtspeicherheizungen]],Dropdown!$A$2:$D$4,4,FALSE)</f>
        <v>X</v>
      </c>
      <c r="S15" s="61" t="str">
        <f>VLOOKUP(Tabelle1722[[#This Row],[Wärmepumpen]],Dropdown!$A$2:$D$4,4,FALSE)</f>
        <v>X</v>
      </c>
      <c r="T15" s="61" t="str">
        <f>VLOOKUP(Tabelle1722[[#This Row],[Hybrid-Wärmeerzeugungssysteme]],Dropdown!$A$2:$D$4,4,FALSE)</f>
        <v>-</v>
      </c>
      <c r="U15" s="61" t="str">
        <f>VLOOKUP(Tabelle1722[[#This Row],[Pumpenanwendungen]],Dropdown!$A$2:$D$4,4,FALSE)</f>
        <v>-</v>
      </c>
      <c r="V15" s="61" t="str">
        <f>VLOOKUP(Tabelle1722[[#This Row],[Pumpenanwendungen in der 
Wasserversorgung]],Dropdown!$A$2:$D$4,4,FALSE)</f>
        <v>-</v>
      </c>
      <c r="W15" s="61" t="str">
        <f>VLOOKUP(Tabelle1722[[#This Row],[Beleuchtung im Gartenbau]],Dropdown!$A$2:$D$4,4,FALSE)</f>
        <v>-</v>
      </c>
      <c r="X15" s="61" t="str">
        <f>VLOOKUP(Tabelle1722[[#This Row],[Belüftung]],Dropdown!$A$2:$D$4,4,FALSE)</f>
        <v>X</v>
      </c>
      <c r="Y15" s="61" t="str">
        <f>VLOOKUP(Tabelle1722[[#This Row],[Abwasserbehandlung]],Dropdown!$A$2:$D$4,4,FALSE)</f>
        <v>-</v>
      </c>
      <c r="Z15" s="61" t="str">
        <f>VLOOKUP(Tabelle1722[[#This Row],[Notstromaggregate, Back-Up-
Server und Mobilfunkstationen]],Dropdown!$A$2:$D$4,4,FALSE)</f>
        <v>-</v>
      </c>
      <c r="AA15" s="61" t="str">
        <f>VLOOKUP(Tabelle1722[[#This Row],[Prozesswärme]],Dropdown!$A$2:$D$4,4,FALSE)</f>
        <v>-</v>
      </c>
      <c r="AB15" s="61" t="str">
        <f>VLOOKUP(Tabelle1722[[#This Row],[Druckluft]],Dropdown!$A$2:$D$4,4,FALSE)</f>
        <v>-</v>
      </c>
    </row>
    <row r="16" spans="1:28" x14ac:dyDescent="0.2">
      <c r="A16" s="6" t="s">
        <v>22</v>
      </c>
      <c r="B16" s="61" t="str">
        <f>VLOOKUP(Tabelle1722[[#This Row],[Büros und Textilbetriebe gesamt]],Dropdown!$A$2:$D$4,4,FALSE)</f>
        <v>-</v>
      </c>
      <c r="C16" s="61" t="str">
        <f>VLOOKUP(Tabelle1722[[#This Row],[Handel gesamt]],Dropdown!$A$2:$D$4,4,FALSE)</f>
        <v>-</v>
      </c>
      <c r="D16" s="61" t="str">
        <f>VLOOKUP(Tabelle1722[[#This Row],[Gastgewerbe gesamt]],Dropdown!$A$2:$D$4,4,FALSE)</f>
        <v>-</v>
      </c>
      <c r="E16" s="61" t="str">
        <f>VLOOKUP(Tabelle1722[[#This Row],[Landwirtschaft gesamt]],Dropdown!$A$2:$D$4,4,FALSE)</f>
        <v>-</v>
      </c>
      <c r="F16" s="61" t="str">
        <f>VLOOKUP(Tabelle1722[[#This Row],[Gartenbau gesamt]],Dropdown!$A$2:$D$4,4,FALSE)</f>
        <v>-</v>
      </c>
      <c r="G16" s="61" t="str">
        <f>VLOOKUP(Tabelle1722[[#This Row],[Bäder gesamt]],Dropdown!$A$2:$D$4,4,FALSE)</f>
        <v>-</v>
      </c>
      <c r="H16" s="61" t="str">
        <f>VLOOKUP(Tabelle1722[[#This Row],[Wäschereien gesamt]],Dropdown!$A$2:$D$4,4,FALSE)</f>
        <v>-</v>
      </c>
      <c r="I16" s="61" t="str">
        <f>VLOOKUP(Tabelle1722[[#This Row],[produzierendes Gewerbe gesamt]],Dropdown!$A$2:$D$4,4,FALSE)</f>
        <v>-</v>
      </c>
      <c r="J16" s="61" t="str">
        <f>VLOOKUP(Tabelle1722[[#This Row],[Baugewerbe gesamt]],Dropdown!$A$2:$D$4,4,FALSE)</f>
        <v>-</v>
      </c>
      <c r="K16" s="61" t="str">
        <f>VLOOKUP(Tabelle1722[[#This Row],[Prozesskälte]],Dropdown!$A$2:$D$4,4,FALSE)</f>
        <v>-</v>
      </c>
      <c r="L16" s="61" t="str">
        <f>VLOOKUP(Tabelle1722[[#This Row],[Kühlhäuser]],Dropdown!$A$2:$D$4,4,FALSE)</f>
        <v>-</v>
      </c>
      <c r="M16" s="61" t="str">
        <f>VLOOKUP(Tabelle1722[[#This Row],[Kühlung im 
Lebensmitteleinzelhandel]],Dropdown!$A$2:$D$4,4,FALSE)</f>
        <v>-</v>
      </c>
      <c r="N16" s="61" t="str">
        <f>VLOOKUP(Tabelle1722[[#This Row],[Kühlung im Gastronomiebereich 
(Hotels, Restaurants)]],Dropdown!$A$2:$D$4,4,FALSE)</f>
        <v>-</v>
      </c>
      <c r="O16" s="61" t="str">
        <f>VLOOKUP(Tabelle1722[[#This Row],[Klimakälte]],Dropdown!$A$2:$D$4,4,FALSE)</f>
        <v>-</v>
      </c>
      <c r="P16" s="61" t="str">
        <f>VLOOKUP(Tabelle1722[[#This Row],[Warmwasserbereitstellung]],Dropdown!$A$2:$D$4,4,FALSE)</f>
        <v>-</v>
      </c>
      <c r="Q16" s="61" t="str">
        <f>VLOOKUP(Tabelle1722[[#This Row],[Raumwärme 
(elektrische Raumheizung)]],Dropdown!$A$2:$D$4,4,FALSE)</f>
        <v>-</v>
      </c>
      <c r="R16" s="61" t="str">
        <f>VLOOKUP(Tabelle1722[[#This Row],[Nachtspeicherheizungen]],Dropdown!$A$2:$D$4,4,FALSE)</f>
        <v>-</v>
      </c>
      <c r="S16" s="61" t="str">
        <f>VLOOKUP(Tabelle1722[[#This Row],[Wärmepumpen]],Dropdown!$A$2:$D$4,4,FALSE)</f>
        <v>-</v>
      </c>
      <c r="T16" s="61" t="str">
        <f>VLOOKUP(Tabelle1722[[#This Row],[Hybrid-Wärmeerzeugungssysteme]],Dropdown!$A$2:$D$4,4,FALSE)</f>
        <v>-</v>
      </c>
      <c r="U16" s="61" t="str">
        <f>VLOOKUP(Tabelle1722[[#This Row],[Pumpenanwendungen]],Dropdown!$A$2:$D$4,4,FALSE)</f>
        <v>-</v>
      </c>
      <c r="V16" s="61" t="str">
        <f>VLOOKUP(Tabelle1722[[#This Row],[Pumpenanwendungen in der 
Wasserversorgung]],Dropdown!$A$2:$D$4,4,FALSE)</f>
        <v>-</v>
      </c>
      <c r="W16" s="61" t="str">
        <f>VLOOKUP(Tabelle1722[[#This Row],[Beleuchtung im Gartenbau]],Dropdown!$A$2:$D$4,4,FALSE)</f>
        <v>-</v>
      </c>
      <c r="X16" s="61" t="str">
        <f>VLOOKUP(Tabelle1722[[#This Row],[Belüftung]],Dropdown!$A$2:$D$4,4,FALSE)</f>
        <v>-</v>
      </c>
      <c r="Y16" s="61" t="str">
        <f>VLOOKUP(Tabelle1722[[#This Row],[Abwasserbehandlung]],Dropdown!$A$2:$D$4,4,FALSE)</f>
        <v>-</v>
      </c>
      <c r="Z16" s="61" t="str">
        <f>VLOOKUP(Tabelle1722[[#This Row],[Notstromaggregate, Back-Up-
Server und Mobilfunkstationen]],Dropdown!$A$2:$D$4,4,FALSE)</f>
        <v>-</v>
      </c>
      <c r="AA16" s="61" t="str">
        <f>VLOOKUP(Tabelle1722[[#This Row],[Prozesswärme]],Dropdown!$A$2:$D$4,4,FALSE)</f>
        <v>-</v>
      </c>
      <c r="AB16" s="61" t="str">
        <f>VLOOKUP(Tabelle1722[[#This Row],[Druckluft]],Dropdown!$A$2:$D$4,4,FALSE)</f>
        <v>-</v>
      </c>
    </row>
    <row r="17" spans="1:28" ht="25.5" x14ac:dyDescent="0.2">
      <c r="A17" s="6" t="s">
        <v>188</v>
      </c>
      <c r="B17" s="61" t="str">
        <f>VLOOKUP(Tabelle1722[[#This Row],[Büros und Textilbetriebe gesamt]],Dropdown!$A$2:$D$4,4,FALSE)</f>
        <v>-</v>
      </c>
      <c r="C17" s="61" t="str">
        <f>VLOOKUP(Tabelle1722[[#This Row],[Handel gesamt]],Dropdown!$A$2:$D$4,4,FALSE)</f>
        <v>-</v>
      </c>
      <c r="D17" s="61" t="str">
        <f>VLOOKUP(Tabelle1722[[#This Row],[Gastgewerbe gesamt]],Dropdown!$A$2:$D$4,4,FALSE)</f>
        <v>-</v>
      </c>
      <c r="E17" s="61" t="str">
        <f>VLOOKUP(Tabelle1722[[#This Row],[Landwirtschaft gesamt]],Dropdown!$A$2:$D$4,4,FALSE)</f>
        <v>-</v>
      </c>
      <c r="F17" s="61" t="str">
        <f>VLOOKUP(Tabelle1722[[#This Row],[Gartenbau gesamt]],Dropdown!$A$2:$D$4,4,FALSE)</f>
        <v>-</v>
      </c>
      <c r="G17" s="61" t="str">
        <f>VLOOKUP(Tabelle1722[[#This Row],[Bäder gesamt]],Dropdown!$A$2:$D$4,4,FALSE)</f>
        <v>-</v>
      </c>
      <c r="H17" s="61" t="str">
        <f>VLOOKUP(Tabelle1722[[#This Row],[Wäschereien gesamt]],Dropdown!$A$2:$D$4,4,FALSE)</f>
        <v>-</v>
      </c>
      <c r="I17" s="61" t="str">
        <f>VLOOKUP(Tabelle1722[[#This Row],[produzierendes Gewerbe gesamt]],Dropdown!$A$2:$D$4,4,FALSE)</f>
        <v>-</v>
      </c>
      <c r="J17" s="61" t="str">
        <f>VLOOKUP(Tabelle1722[[#This Row],[Baugewerbe gesamt]],Dropdown!$A$2:$D$4,4,FALSE)</f>
        <v>-</v>
      </c>
      <c r="K17" s="61" t="str">
        <f>VLOOKUP(Tabelle1722[[#This Row],[Prozesskälte]],Dropdown!$A$2:$D$4,4,FALSE)</f>
        <v>-</v>
      </c>
      <c r="L17" s="61" t="str">
        <f>VLOOKUP(Tabelle1722[[#This Row],[Kühlhäuser]],Dropdown!$A$2:$D$4,4,FALSE)</f>
        <v>-</v>
      </c>
      <c r="M17" s="61" t="str">
        <f>VLOOKUP(Tabelle1722[[#This Row],[Kühlung im 
Lebensmitteleinzelhandel]],Dropdown!$A$2:$D$4,4,FALSE)</f>
        <v>-</v>
      </c>
      <c r="N17" s="61" t="str">
        <f>VLOOKUP(Tabelle1722[[#This Row],[Kühlung im Gastronomiebereich 
(Hotels, Restaurants)]],Dropdown!$A$2:$D$4,4,FALSE)</f>
        <v>-</v>
      </c>
      <c r="O17" s="61" t="str">
        <f>VLOOKUP(Tabelle1722[[#This Row],[Klimakälte]],Dropdown!$A$2:$D$4,4,FALSE)</f>
        <v>-</v>
      </c>
      <c r="P17" s="61" t="str">
        <f>VLOOKUP(Tabelle1722[[#This Row],[Warmwasserbereitstellung]],Dropdown!$A$2:$D$4,4,FALSE)</f>
        <v>-</v>
      </c>
      <c r="Q17" s="61" t="str">
        <f>VLOOKUP(Tabelle1722[[#This Row],[Raumwärme 
(elektrische Raumheizung)]],Dropdown!$A$2:$D$4,4,FALSE)</f>
        <v>-</v>
      </c>
      <c r="R17" s="61" t="str">
        <f>VLOOKUP(Tabelle1722[[#This Row],[Nachtspeicherheizungen]],Dropdown!$A$2:$D$4,4,FALSE)</f>
        <v>-</v>
      </c>
      <c r="S17" s="61" t="str">
        <f>VLOOKUP(Tabelle1722[[#This Row],[Wärmepumpen]],Dropdown!$A$2:$D$4,4,FALSE)</f>
        <v>-</v>
      </c>
      <c r="T17" s="61" t="str">
        <f>VLOOKUP(Tabelle1722[[#This Row],[Hybrid-Wärmeerzeugungssysteme]],Dropdown!$A$2:$D$4,4,FALSE)</f>
        <v>-</v>
      </c>
      <c r="U17" s="61" t="str">
        <f>VLOOKUP(Tabelle1722[[#This Row],[Pumpenanwendungen]],Dropdown!$A$2:$D$4,4,FALSE)</f>
        <v>-</v>
      </c>
      <c r="V17" s="61" t="str">
        <f>VLOOKUP(Tabelle1722[[#This Row],[Pumpenanwendungen in der 
Wasserversorgung]],Dropdown!$A$2:$D$4,4,FALSE)</f>
        <v>-</v>
      </c>
      <c r="W17" s="61" t="str">
        <f>VLOOKUP(Tabelle1722[[#This Row],[Beleuchtung im Gartenbau]],Dropdown!$A$2:$D$4,4,FALSE)</f>
        <v>-</v>
      </c>
      <c r="X17" s="61" t="str">
        <f>VLOOKUP(Tabelle1722[[#This Row],[Belüftung]],Dropdown!$A$2:$D$4,4,FALSE)</f>
        <v>-</v>
      </c>
      <c r="Y17" s="61" t="str">
        <f>VLOOKUP(Tabelle1722[[#This Row],[Abwasserbehandlung]],Dropdown!$A$2:$D$4,4,FALSE)</f>
        <v>-</v>
      </c>
      <c r="Z17" s="61" t="str">
        <f>VLOOKUP(Tabelle1722[[#This Row],[Notstromaggregate, Back-Up-
Server und Mobilfunkstationen]],Dropdown!$A$2:$D$4,4,FALSE)</f>
        <v>-</v>
      </c>
      <c r="AA17" s="61" t="str">
        <f>VLOOKUP(Tabelle1722[[#This Row],[Prozesswärme]],Dropdown!$A$2:$D$4,4,FALSE)</f>
        <v>-</v>
      </c>
      <c r="AB17" s="61" t="str">
        <f>VLOOKUP(Tabelle1722[[#This Row],[Druckluft]],Dropdown!$A$2:$D$4,4,FALSE)</f>
        <v>-</v>
      </c>
    </row>
    <row r="18" spans="1:28" ht="25.5" x14ac:dyDescent="0.2">
      <c r="A18" s="6" t="s">
        <v>133</v>
      </c>
      <c r="B18" s="61" t="str">
        <f>VLOOKUP(Tabelle1722[[#This Row],[Büros und Textilbetriebe gesamt]],Dropdown!$A$2:$D$4,4,FALSE)</f>
        <v>-</v>
      </c>
      <c r="C18" s="61" t="str">
        <f>VLOOKUP(Tabelle1722[[#This Row],[Handel gesamt]],Dropdown!$A$2:$D$4,4,FALSE)</f>
        <v>-</v>
      </c>
      <c r="D18" s="61" t="str">
        <f>VLOOKUP(Tabelle1722[[#This Row],[Gastgewerbe gesamt]],Dropdown!$A$2:$D$4,4,FALSE)</f>
        <v>-</v>
      </c>
      <c r="E18" s="61" t="str">
        <f>VLOOKUP(Tabelle1722[[#This Row],[Landwirtschaft gesamt]],Dropdown!$A$2:$D$4,4,FALSE)</f>
        <v>-</v>
      </c>
      <c r="F18" s="61" t="str">
        <f>VLOOKUP(Tabelle1722[[#This Row],[Gartenbau gesamt]],Dropdown!$A$2:$D$4,4,FALSE)</f>
        <v>-</v>
      </c>
      <c r="G18" s="61" t="str">
        <f>VLOOKUP(Tabelle1722[[#This Row],[Bäder gesamt]],Dropdown!$A$2:$D$4,4,FALSE)</f>
        <v>-</v>
      </c>
      <c r="H18" s="61" t="str">
        <f>VLOOKUP(Tabelle1722[[#This Row],[Wäschereien gesamt]],Dropdown!$A$2:$D$4,4,FALSE)</f>
        <v>-</v>
      </c>
      <c r="I18" s="61" t="str">
        <f>VLOOKUP(Tabelle1722[[#This Row],[produzierendes Gewerbe gesamt]],Dropdown!$A$2:$D$4,4,FALSE)</f>
        <v>-</v>
      </c>
      <c r="J18" s="61" t="str">
        <f>VLOOKUP(Tabelle1722[[#This Row],[Baugewerbe gesamt]],Dropdown!$A$2:$D$4,4,FALSE)</f>
        <v>-</v>
      </c>
      <c r="K18" s="61" t="str">
        <f>VLOOKUP(Tabelle1722[[#This Row],[Prozesskälte]],Dropdown!$A$2:$D$4,4,FALSE)</f>
        <v>X</v>
      </c>
      <c r="L18" s="61" t="str">
        <f>VLOOKUP(Tabelle1722[[#This Row],[Kühlhäuser]],Dropdown!$A$2:$D$4,4,FALSE)</f>
        <v>-</v>
      </c>
      <c r="M18" s="61" t="str">
        <f>VLOOKUP(Tabelle1722[[#This Row],[Kühlung im 
Lebensmitteleinzelhandel]],Dropdown!$A$2:$D$4,4,FALSE)</f>
        <v>-</v>
      </c>
      <c r="N18" s="61" t="str">
        <f>VLOOKUP(Tabelle1722[[#This Row],[Kühlung im Gastronomiebereich 
(Hotels, Restaurants)]],Dropdown!$A$2:$D$4,4,FALSE)</f>
        <v>-</v>
      </c>
      <c r="O18" s="61" t="str">
        <f>VLOOKUP(Tabelle1722[[#This Row],[Klimakälte]],Dropdown!$A$2:$D$4,4,FALSE)</f>
        <v>X</v>
      </c>
      <c r="P18" s="61" t="str">
        <f>VLOOKUP(Tabelle1722[[#This Row],[Warmwasserbereitstellung]],Dropdown!$A$2:$D$4,4,FALSE)</f>
        <v>-</v>
      </c>
      <c r="Q18" s="61" t="str">
        <f>VLOOKUP(Tabelle1722[[#This Row],[Raumwärme 
(elektrische Raumheizung)]],Dropdown!$A$2:$D$4,4,FALSE)</f>
        <v>X</v>
      </c>
      <c r="R18" s="61" t="str">
        <f>VLOOKUP(Tabelle1722[[#This Row],[Nachtspeicherheizungen]],Dropdown!$A$2:$D$4,4,FALSE)</f>
        <v>-</v>
      </c>
      <c r="S18" s="61" t="str">
        <f>VLOOKUP(Tabelle1722[[#This Row],[Wärmepumpen]],Dropdown!$A$2:$D$4,4,FALSE)</f>
        <v>-</v>
      </c>
      <c r="T18" s="61" t="str">
        <f>VLOOKUP(Tabelle1722[[#This Row],[Hybrid-Wärmeerzeugungssysteme]],Dropdown!$A$2:$D$4,4,FALSE)</f>
        <v>-</v>
      </c>
      <c r="U18" s="61" t="str">
        <f>VLOOKUP(Tabelle1722[[#This Row],[Pumpenanwendungen]],Dropdown!$A$2:$D$4,4,FALSE)</f>
        <v>-</v>
      </c>
      <c r="V18" s="61" t="str">
        <f>VLOOKUP(Tabelle1722[[#This Row],[Pumpenanwendungen in der 
Wasserversorgung]],Dropdown!$A$2:$D$4,4,FALSE)</f>
        <v>-</v>
      </c>
      <c r="W18" s="61" t="str">
        <f>VLOOKUP(Tabelle1722[[#This Row],[Beleuchtung im Gartenbau]],Dropdown!$A$2:$D$4,4,FALSE)</f>
        <v>-</v>
      </c>
      <c r="X18" s="61" t="str">
        <f>VLOOKUP(Tabelle1722[[#This Row],[Belüftung]],Dropdown!$A$2:$D$4,4,FALSE)</f>
        <v>X</v>
      </c>
      <c r="Y18" s="61" t="str">
        <f>VLOOKUP(Tabelle1722[[#This Row],[Abwasserbehandlung]],Dropdown!$A$2:$D$4,4,FALSE)</f>
        <v>-</v>
      </c>
      <c r="Z18" s="61" t="str">
        <f>VLOOKUP(Tabelle1722[[#This Row],[Notstromaggregate, Back-Up-
Server und Mobilfunkstationen]],Dropdown!$A$2:$D$4,4,FALSE)</f>
        <v>-</v>
      </c>
      <c r="AA18" s="61" t="str">
        <f>VLOOKUP(Tabelle1722[[#This Row],[Prozesswärme]],Dropdown!$A$2:$D$4,4,FALSE)</f>
        <v>X</v>
      </c>
      <c r="AB18" s="61" t="str">
        <f>VLOOKUP(Tabelle1722[[#This Row],[Druckluft]],Dropdown!$A$2:$D$4,4,FALSE)</f>
        <v>-</v>
      </c>
    </row>
    <row r="19" spans="1:28" ht="25.5" x14ac:dyDescent="0.2">
      <c r="A19" s="6" t="s">
        <v>10</v>
      </c>
      <c r="B19" s="61" t="str">
        <f>VLOOKUP(Tabelle1722[[#This Row],[Büros und Textilbetriebe gesamt]],Dropdown!$A$2:$D$4,4,FALSE)</f>
        <v>-</v>
      </c>
      <c r="C19" s="61" t="str">
        <f>VLOOKUP(Tabelle1722[[#This Row],[Handel gesamt]],Dropdown!$A$2:$D$4,4,FALSE)</f>
        <v>-</v>
      </c>
      <c r="D19" s="61" t="str">
        <f>VLOOKUP(Tabelle1722[[#This Row],[Gastgewerbe gesamt]],Dropdown!$A$2:$D$4,4,FALSE)</f>
        <v>-</v>
      </c>
      <c r="E19" s="61" t="str">
        <f>VLOOKUP(Tabelle1722[[#This Row],[Landwirtschaft gesamt]],Dropdown!$A$2:$D$4,4,FALSE)</f>
        <v>-</v>
      </c>
      <c r="F19" s="61" t="str">
        <f>VLOOKUP(Tabelle1722[[#This Row],[Gartenbau gesamt]],Dropdown!$A$2:$D$4,4,FALSE)</f>
        <v>-</v>
      </c>
      <c r="G19" s="61" t="str">
        <f>VLOOKUP(Tabelle1722[[#This Row],[Bäder gesamt]],Dropdown!$A$2:$D$4,4,FALSE)</f>
        <v>-</v>
      </c>
      <c r="H19" s="61" t="str">
        <f>VLOOKUP(Tabelle1722[[#This Row],[Wäschereien gesamt]],Dropdown!$A$2:$D$4,4,FALSE)</f>
        <v>-</v>
      </c>
      <c r="I19" s="61" t="str">
        <f>VLOOKUP(Tabelle1722[[#This Row],[produzierendes Gewerbe gesamt]],Dropdown!$A$2:$D$4,4,FALSE)</f>
        <v>-</v>
      </c>
      <c r="J19" s="61" t="str">
        <f>VLOOKUP(Tabelle1722[[#This Row],[Baugewerbe gesamt]],Dropdown!$A$2:$D$4,4,FALSE)</f>
        <v>-</v>
      </c>
      <c r="K19" s="61" t="str">
        <f>VLOOKUP(Tabelle1722[[#This Row],[Prozesskälte]],Dropdown!$A$2:$D$4,4,FALSE)</f>
        <v>-</v>
      </c>
      <c r="L19" s="61" t="str">
        <f>VLOOKUP(Tabelle1722[[#This Row],[Kühlhäuser]],Dropdown!$A$2:$D$4,4,FALSE)</f>
        <v>-</v>
      </c>
      <c r="M19" s="61" t="str">
        <f>VLOOKUP(Tabelle1722[[#This Row],[Kühlung im 
Lebensmitteleinzelhandel]],Dropdown!$A$2:$D$4,4,FALSE)</f>
        <v>-</v>
      </c>
      <c r="N19" s="61" t="str">
        <f>VLOOKUP(Tabelle1722[[#This Row],[Kühlung im Gastronomiebereich 
(Hotels, Restaurants)]],Dropdown!$A$2:$D$4,4,FALSE)</f>
        <v>-</v>
      </c>
      <c r="O19" s="61" t="str">
        <f>VLOOKUP(Tabelle1722[[#This Row],[Klimakälte]],Dropdown!$A$2:$D$4,4,FALSE)</f>
        <v>-</v>
      </c>
      <c r="P19" s="61" t="str">
        <f>VLOOKUP(Tabelle1722[[#This Row],[Warmwasserbereitstellung]],Dropdown!$A$2:$D$4,4,FALSE)</f>
        <v>-</v>
      </c>
      <c r="Q19" s="61" t="str">
        <f>VLOOKUP(Tabelle1722[[#This Row],[Raumwärme 
(elektrische Raumheizung)]],Dropdown!$A$2:$D$4,4,FALSE)</f>
        <v>-</v>
      </c>
      <c r="R19" s="61" t="str">
        <f>VLOOKUP(Tabelle1722[[#This Row],[Nachtspeicherheizungen]],Dropdown!$A$2:$D$4,4,FALSE)</f>
        <v>-</v>
      </c>
      <c r="S19" s="61" t="str">
        <f>VLOOKUP(Tabelle1722[[#This Row],[Wärmepumpen]],Dropdown!$A$2:$D$4,4,FALSE)</f>
        <v>-</v>
      </c>
      <c r="T19" s="61" t="str">
        <f>VLOOKUP(Tabelle1722[[#This Row],[Hybrid-Wärmeerzeugungssysteme]],Dropdown!$A$2:$D$4,4,FALSE)</f>
        <v>-</v>
      </c>
      <c r="U19" s="61" t="str">
        <f>VLOOKUP(Tabelle1722[[#This Row],[Pumpenanwendungen]],Dropdown!$A$2:$D$4,4,FALSE)</f>
        <v>-</v>
      </c>
      <c r="V19" s="61" t="str">
        <f>VLOOKUP(Tabelle1722[[#This Row],[Pumpenanwendungen in der 
Wasserversorgung]],Dropdown!$A$2:$D$4,4,FALSE)</f>
        <v>-</v>
      </c>
      <c r="W19" s="61" t="str">
        <f>VLOOKUP(Tabelle1722[[#This Row],[Beleuchtung im Gartenbau]],Dropdown!$A$2:$D$4,4,FALSE)</f>
        <v>-</v>
      </c>
      <c r="X19" s="61" t="str">
        <f>VLOOKUP(Tabelle1722[[#This Row],[Belüftung]],Dropdown!$A$2:$D$4,4,FALSE)</f>
        <v>-</v>
      </c>
      <c r="Y19" s="61" t="str">
        <f>VLOOKUP(Tabelle1722[[#This Row],[Abwasserbehandlung]],Dropdown!$A$2:$D$4,4,FALSE)</f>
        <v>-</v>
      </c>
      <c r="Z19" s="61" t="str">
        <f>VLOOKUP(Tabelle1722[[#This Row],[Notstromaggregate, Back-Up-
Server und Mobilfunkstationen]],Dropdown!$A$2:$D$4,4,FALSE)</f>
        <v>-</v>
      </c>
      <c r="AA19" s="61" t="str">
        <f>VLOOKUP(Tabelle1722[[#This Row],[Prozesswärme]],Dropdown!$A$2:$D$4,4,FALSE)</f>
        <v>-</v>
      </c>
      <c r="AB19" s="61" t="str">
        <f>VLOOKUP(Tabelle1722[[#This Row],[Druckluft]],Dropdown!$A$2:$D$4,4,FALSE)</f>
        <v>-</v>
      </c>
    </row>
    <row r="20" spans="1:28" ht="38.25" x14ac:dyDescent="0.2">
      <c r="A20" s="6" t="s">
        <v>832</v>
      </c>
      <c r="B20" s="61" t="str">
        <f>VLOOKUP(Tabelle1722[[#This Row],[Büros und Textilbetriebe gesamt]],Dropdown!$A$2:$D$4,4,FALSE)</f>
        <v>-</v>
      </c>
      <c r="C20" s="61" t="str">
        <f>VLOOKUP(Tabelle1722[[#This Row],[Handel gesamt]],Dropdown!$A$2:$D$4,4,FALSE)</f>
        <v>-</v>
      </c>
      <c r="D20" s="61" t="str">
        <f>VLOOKUP(Tabelle1722[[#This Row],[Gastgewerbe gesamt]],Dropdown!$A$2:$D$4,4,FALSE)</f>
        <v>-</v>
      </c>
      <c r="E20" s="61" t="str">
        <f>VLOOKUP(Tabelle1722[[#This Row],[Landwirtschaft gesamt]],Dropdown!$A$2:$D$4,4,FALSE)</f>
        <v>-</v>
      </c>
      <c r="F20" s="61" t="str">
        <f>VLOOKUP(Tabelle1722[[#This Row],[Gartenbau gesamt]],Dropdown!$A$2:$D$4,4,FALSE)</f>
        <v>-</v>
      </c>
      <c r="G20" s="61" t="str">
        <f>VLOOKUP(Tabelle1722[[#This Row],[Bäder gesamt]],Dropdown!$A$2:$D$4,4,FALSE)</f>
        <v>-</v>
      </c>
      <c r="H20" s="61" t="str">
        <f>VLOOKUP(Tabelle1722[[#This Row],[Wäschereien gesamt]],Dropdown!$A$2:$D$4,4,FALSE)</f>
        <v>-</v>
      </c>
      <c r="I20" s="61" t="str">
        <f>VLOOKUP(Tabelle1722[[#This Row],[produzierendes Gewerbe gesamt]],Dropdown!$A$2:$D$4,4,FALSE)</f>
        <v>-</v>
      </c>
      <c r="J20" s="61" t="str">
        <f>VLOOKUP(Tabelle1722[[#This Row],[Baugewerbe gesamt]],Dropdown!$A$2:$D$4,4,FALSE)</f>
        <v>-</v>
      </c>
      <c r="K20" s="61" t="str">
        <f>VLOOKUP(Tabelle1722[[#This Row],[Prozesskälte]],Dropdown!$A$2:$D$4,4,FALSE)</f>
        <v>-</v>
      </c>
      <c r="L20" s="61" t="str">
        <f>VLOOKUP(Tabelle1722[[#This Row],[Kühlhäuser]],Dropdown!$A$2:$D$4,4,FALSE)</f>
        <v>-</v>
      </c>
      <c r="M20" s="61" t="str">
        <f>VLOOKUP(Tabelle1722[[#This Row],[Kühlung im 
Lebensmitteleinzelhandel]],Dropdown!$A$2:$D$4,4,FALSE)</f>
        <v>-</v>
      </c>
      <c r="N20" s="61" t="str">
        <f>VLOOKUP(Tabelle1722[[#This Row],[Kühlung im Gastronomiebereich 
(Hotels, Restaurants)]],Dropdown!$A$2:$D$4,4,FALSE)</f>
        <v>-</v>
      </c>
      <c r="O20" s="61" t="str">
        <f>VLOOKUP(Tabelle1722[[#This Row],[Klimakälte]],Dropdown!$A$2:$D$4,4,FALSE)</f>
        <v>-</v>
      </c>
      <c r="P20" s="61" t="str">
        <f>VLOOKUP(Tabelle1722[[#This Row],[Warmwasserbereitstellung]],Dropdown!$A$2:$D$4,4,FALSE)</f>
        <v>-</v>
      </c>
      <c r="Q20" s="61" t="str">
        <f>VLOOKUP(Tabelle1722[[#This Row],[Raumwärme 
(elektrische Raumheizung)]],Dropdown!$A$2:$D$4,4,FALSE)</f>
        <v>-</v>
      </c>
      <c r="R20" s="61" t="str">
        <f>VLOOKUP(Tabelle1722[[#This Row],[Nachtspeicherheizungen]],Dropdown!$A$2:$D$4,4,FALSE)</f>
        <v>-</v>
      </c>
      <c r="S20" s="61" t="str">
        <f>VLOOKUP(Tabelle1722[[#This Row],[Wärmepumpen]],Dropdown!$A$2:$D$4,4,FALSE)</f>
        <v>-</v>
      </c>
      <c r="T20" s="61" t="str">
        <f>VLOOKUP(Tabelle1722[[#This Row],[Hybrid-Wärmeerzeugungssysteme]],Dropdown!$A$2:$D$4,4,FALSE)</f>
        <v>-</v>
      </c>
      <c r="U20" s="61" t="str">
        <f>VLOOKUP(Tabelle1722[[#This Row],[Pumpenanwendungen]],Dropdown!$A$2:$D$4,4,FALSE)</f>
        <v>X</v>
      </c>
      <c r="V20" s="61" t="str">
        <f>VLOOKUP(Tabelle1722[[#This Row],[Pumpenanwendungen in der 
Wasserversorgung]],Dropdown!$A$2:$D$4,4,FALSE)</f>
        <v>-</v>
      </c>
      <c r="W20" s="61" t="str">
        <f>VLOOKUP(Tabelle1722[[#This Row],[Beleuchtung im Gartenbau]],Dropdown!$A$2:$D$4,4,FALSE)</f>
        <v>X</v>
      </c>
      <c r="X20" s="61" t="str">
        <f>VLOOKUP(Tabelle1722[[#This Row],[Belüftung]],Dropdown!$A$2:$D$4,4,FALSE)</f>
        <v>X</v>
      </c>
      <c r="Y20" s="61" t="str">
        <f>VLOOKUP(Tabelle1722[[#This Row],[Abwasserbehandlung]],Dropdown!$A$2:$D$4,4,FALSE)</f>
        <v>-</v>
      </c>
      <c r="Z20" s="61" t="str">
        <f>VLOOKUP(Tabelle1722[[#This Row],[Notstromaggregate, Back-Up-
Server und Mobilfunkstationen]],Dropdown!$A$2:$D$4,4,FALSE)</f>
        <v>-</v>
      </c>
      <c r="AA20" s="61" t="str">
        <f>VLOOKUP(Tabelle1722[[#This Row],[Prozesswärme]],Dropdown!$A$2:$D$4,4,FALSE)</f>
        <v>-</v>
      </c>
      <c r="AB20" s="61" t="str">
        <f>VLOOKUP(Tabelle1722[[#This Row],[Druckluft]],Dropdown!$A$2:$D$4,4,FALSE)</f>
        <v>X</v>
      </c>
    </row>
    <row r="21" spans="1:28" x14ac:dyDescent="0.2">
      <c r="A21" s="6" t="s">
        <v>16</v>
      </c>
      <c r="B21" s="61" t="str">
        <f>VLOOKUP(Tabelle1722[[#This Row],[Büros und Textilbetriebe gesamt]],Dropdown!$A$2:$D$4,4,FALSE)</f>
        <v>-</v>
      </c>
      <c r="C21" s="61" t="str">
        <f>VLOOKUP(Tabelle1722[[#This Row],[Handel gesamt]],Dropdown!$A$2:$D$4,4,FALSE)</f>
        <v>-</v>
      </c>
      <c r="D21" s="61" t="str">
        <f>VLOOKUP(Tabelle1722[[#This Row],[Gastgewerbe gesamt]],Dropdown!$A$2:$D$4,4,FALSE)</f>
        <v>-</v>
      </c>
      <c r="E21" s="61" t="str">
        <f>VLOOKUP(Tabelle1722[[#This Row],[Landwirtschaft gesamt]],Dropdown!$A$2:$D$4,4,FALSE)</f>
        <v>-</v>
      </c>
      <c r="F21" s="61" t="str">
        <f>VLOOKUP(Tabelle1722[[#This Row],[Gartenbau gesamt]],Dropdown!$A$2:$D$4,4,FALSE)</f>
        <v>-</v>
      </c>
      <c r="G21" s="61" t="str">
        <f>VLOOKUP(Tabelle1722[[#This Row],[Bäder gesamt]],Dropdown!$A$2:$D$4,4,FALSE)</f>
        <v>-</v>
      </c>
      <c r="H21" s="61" t="str">
        <f>VLOOKUP(Tabelle1722[[#This Row],[Wäschereien gesamt]],Dropdown!$A$2:$D$4,4,FALSE)</f>
        <v>-</v>
      </c>
      <c r="I21" s="61" t="str">
        <f>VLOOKUP(Tabelle1722[[#This Row],[produzierendes Gewerbe gesamt]],Dropdown!$A$2:$D$4,4,FALSE)</f>
        <v>-</v>
      </c>
      <c r="J21" s="61" t="str">
        <f>VLOOKUP(Tabelle1722[[#This Row],[Baugewerbe gesamt]],Dropdown!$A$2:$D$4,4,FALSE)</f>
        <v>-</v>
      </c>
      <c r="K21" s="61" t="str">
        <f>VLOOKUP(Tabelle1722[[#This Row],[Prozesskälte]],Dropdown!$A$2:$D$4,4,FALSE)</f>
        <v>-</v>
      </c>
      <c r="L21" s="61" t="str">
        <f>VLOOKUP(Tabelle1722[[#This Row],[Kühlhäuser]],Dropdown!$A$2:$D$4,4,FALSE)</f>
        <v>-</v>
      </c>
      <c r="M21" s="61" t="str">
        <f>VLOOKUP(Tabelle1722[[#This Row],[Kühlung im 
Lebensmitteleinzelhandel]],Dropdown!$A$2:$D$4,4,FALSE)</f>
        <v>-</v>
      </c>
      <c r="N21" s="61" t="str">
        <f>VLOOKUP(Tabelle1722[[#This Row],[Kühlung im Gastronomiebereich 
(Hotels, Restaurants)]],Dropdown!$A$2:$D$4,4,FALSE)</f>
        <v>-</v>
      </c>
      <c r="O21" s="61" t="str">
        <f>VLOOKUP(Tabelle1722[[#This Row],[Klimakälte]],Dropdown!$A$2:$D$4,4,FALSE)</f>
        <v>-</v>
      </c>
      <c r="P21" s="61" t="str">
        <f>VLOOKUP(Tabelle1722[[#This Row],[Warmwasserbereitstellung]],Dropdown!$A$2:$D$4,4,FALSE)</f>
        <v>-</v>
      </c>
      <c r="Q21" s="61" t="str">
        <f>VLOOKUP(Tabelle1722[[#This Row],[Raumwärme 
(elektrische Raumheizung)]],Dropdown!$A$2:$D$4,4,FALSE)</f>
        <v>-</v>
      </c>
      <c r="R21" s="61" t="str">
        <f>VLOOKUP(Tabelle1722[[#This Row],[Nachtspeicherheizungen]],Dropdown!$A$2:$D$4,4,FALSE)</f>
        <v>-</v>
      </c>
      <c r="S21" s="61" t="str">
        <f>VLOOKUP(Tabelle1722[[#This Row],[Wärmepumpen]],Dropdown!$A$2:$D$4,4,FALSE)</f>
        <v>-</v>
      </c>
      <c r="T21" s="61" t="str">
        <f>VLOOKUP(Tabelle1722[[#This Row],[Hybrid-Wärmeerzeugungssysteme]],Dropdown!$A$2:$D$4,4,FALSE)</f>
        <v>-</v>
      </c>
      <c r="U21" s="61" t="str">
        <f>VLOOKUP(Tabelle1722[[#This Row],[Pumpenanwendungen]],Dropdown!$A$2:$D$4,4,FALSE)</f>
        <v>-</v>
      </c>
      <c r="V21" s="61" t="str">
        <f>VLOOKUP(Tabelle1722[[#This Row],[Pumpenanwendungen in der 
Wasserversorgung]],Dropdown!$A$2:$D$4,4,FALSE)</f>
        <v>-</v>
      </c>
      <c r="W21" s="61" t="str">
        <f>VLOOKUP(Tabelle1722[[#This Row],[Beleuchtung im Gartenbau]],Dropdown!$A$2:$D$4,4,FALSE)</f>
        <v>-</v>
      </c>
      <c r="X21" s="61" t="str">
        <f>VLOOKUP(Tabelle1722[[#This Row],[Belüftung]],Dropdown!$A$2:$D$4,4,FALSE)</f>
        <v>-</v>
      </c>
      <c r="Y21" s="61" t="str">
        <f>VLOOKUP(Tabelle1722[[#This Row],[Abwasserbehandlung]],Dropdown!$A$2:$D$4,4,FALSE)</f>
        <v>-</v>
      </c>
      <c r="Z21" s="61" t="str">
        <f>VLOOKUP(Tabelle1722[[#This Row],[Notstromaggregate, Back-Up-
Server und Mobilfunkstationen]],Dropdown!$A$2:$D$4,4,FALSE)</f>
        <v>-</v>
      </c>
      <c r="AA21" s="61" t="str">
        <f>VLOOKUP(Tabelle1722[[#This Row],[Prozesswärme]],Dropdown!$A$2:$D$4,4,FALSE)</f>
        <v>-</v>
      </c>
      <c r="AB21" s="61" t="str">
        <f>VLOOKUP(Tabelle1722[[#This Row],[Druckluft]],Dropdown!$A$2:$D$4,4,FALSE)</f>
        <v>-</v>
      </c>
    </row>
    <row r="22" spans="1:28" ht="25.5" x14ac:dyDescent="0.2">
      <c r="A22" s="6" t="s">
        <v>7</v>
      </c>
      <c r="B22" s="61" t="str">
        <f>VLOOKUP(Tabelle1722[[#This Row],[Büros und Textilbetriebe gesamt]],Dropdown!$A$2:$D$4,4,FALSE)</f>
        <v>-</v>
      </c>
      <c r="C22" s="61" t="str">
        <f>VLOOKUP(Tabelle1722[[#This Row],[Handel gesamt]],Dropdown!$A$2:$D$4,4,FALSE)</f>
        <v>-</v>
      </c>
      <c r="D22" s="61" t="str">
        <f>VLOOKUP(Tabelle1722[[#This Row],[Gastgewerbe gesamt]],Dropdown!$A$2:$D$4,4,FALSE)</f>
        <v>-</v>
      </c>
      <c r="E22" s="61" t="str">
        <f>VLOOKUP(Tabelle1722[[#This Row],[Landwirtschaft gesamt]],Dropdown!$A$2:$D$4,4,FALSE)</f>
        <v>-</v>
      </c>
      <c r="F22" s="61" t="str">
        <f>VLOOKUP(Tabelle1722[[#This Row],[Gartenbau gesamt]],Dropdown!$A$2:$D$4,4,FALSE)</f>
        <v>-</v>
      </c>
      <c r="G22" s="61" t="str">
        <f>VLOOKUP(Tabelle1722[[#This Row],[Bäder gesamt]],Dropdown!$A$2:$D$4,4,FALSE)</f>
        <v>-</v>
      </c>
      <c r="H22" s="61" t="str">
        <f>VLOOKUP(Tabelle1722[[#This Row],[Wäschereien gesamt]],Dropdown!$A$2:$D$4,4,FALSE)</f>
        <v>-</v>
      </c>
      <c r="I22" s="61" t="str">
        <f>VLOOKUP(Tabelle1722[[#This Row],[produzierendes Gewerbe gesamt]],Dropdown!$A$2:$D$4,4,FALSE)</f>
        <v>-</v>
      </c>
      <c r="J22" s="61" t="str">
        <f>VLOOKUP(Tabelle1722[[#This Row],[Baugewerbe gesamt]],Dropdown!$A$2:$D$4,4,FALSE)</f>
        <v>-</v>
      </c>
      <c r="K22" s="61" t="str">
        <f>VLOOKUP(Tabelle1722[[#This Row],[Prozesskälte]],Dropdown!$A$2:$D$4,4,FALSE)</f>
        <v>-</v>
      </c>
      <c r="L22" s="61" t="str">
        <f>VLOOKUP(Tabelle1722[[#This Row],[Kühlhäuser]],Dropdown!$A$2:$D$4,4,FALSE)</f>
        <v>-</v>
      </c>
      <c r="M22" s="61" t="str">
        <f>VLOOKUP(Tabelle1722[[#This Row],[Kühlung im 
Lebensmitteleinzelhandel]],Dropdown!$A$2:$D$4,4,FALSE)</f>
        <v>-</v>
      </c>
      <c r="N22" s="61" t="str">
        <f>VLOOKUP(Tabelle1722[[#This Row],[Kühlung im Gastronomiebereich 
(Hotels, Restaurants)]],Dropdown!$A$2:$D$4,4,FALSE)</f>
        <v>-</v>
      </c>
      <c r="O22" s="61" t="str">
        <f>VLOOKUP(Tabelle1722[[#This Row],[Klimakälte]],Dropdown!$A$2:$D$4,4,FALSE)</f>
        <v>-</v>
      </c>
      <c r="P22" s="61" t="str">
        <f>VLOOKUP(Tabelle1722[[#This Row],[Warmwasserbereitstellung]],Dropdown!$A$2:$D$4,4,FALSE)</f>
        <v>-</v>
      </c>
      <c r="Q22" s="61" t="str">
        <f>VLOOKUP(Tabelle1722[[#This Row],[Raumwärme 
(elektrische Raumheizung)]],Dropdown!$A$2:$D$4,4,FALSE)</f>
        <v>-</v>
      </c>
      <c r="R22" s="61" t="str">
        <f>VLOOKUP(Tabelle1722[[#This Row],[Nachtspeicherheizungen]],Dropdown!$A$2:$D$4,4,FALSE)</f>
        <v>-</v>
      </c>
      <c r="S22" s="61" t="str">
        <f>VLOOKUP(Tabelle1722[[#This Row],[Wärmepumpen]],Dropdown!$A$2:$D$4,4,FALSE)</f>
        <v>-</v>
      </c>
      <c r="T22" s="61" t="str">
        <f>VLOOKUP(Tabelle1722[[#This Row],[Hybrid-Wärmeerzeugungssysteme]],Dropdown!$A$2:$D$4,4,FALSE)</f>
        <v>-</v>
      </c>
      <c r="U22" s="61" t="str">
        <f>VLOOKUP(Tabelle1722[[#This Row],[Pumpenanwendungen]],Dropdown!$A$2:$D$4,4,FALSE)</f>
        <v>-</v>
      </c>
      <c r="V22" s="61" t="str">
        <f>VLOOKUP(Tabelle1722[[#This Row],[Pumpenanwendungen in der 
Wasserversorgung]],Dropdown!$A$2:$D$4,4,FALSE)</f>
        <v>-</v>
      </c>
      <c r="W22" s="61" t="str">
        <f>VLOOKUP(Tabelle1722[[#This Row],[Beleuchtung im Gartenbau]],Dropdown!$A$2:$D$4,4,FALSE)</f>
        <v>-</v>
      </c>
      <c r="X22" s="61" t="str">
        <f>VLOOKUP(Tabelle1722[[#This Row],[Belüftung]],Dropdown!$A$2:$D$4,4,FALSE)</f>
        <v>-</v>
      </c>
      <c r="Y22" s="61" t="str">
        <f>VLOOKUP(Tabelle1722[[#This Row],[Abwasserbehandlung]],Dropdown!$A$2:$D$4,4,FALSE)</f>
        <v>-</v>
      </c>
      <c r="Z22" s="61" t="str">
        <f>VLOOKUP(Tabelle1722[[#This Row],[Notstromaggregate, Back-Up-
Server und Mobilfunkstationen]],Dropdown!$A$2:$D$4,4,FALSE)</f>
        <v>-</v>
      </c>
      <c r="AA22" s="61" t="str">
        <f>VLOOKUP(Tabelle1722[[#This Row],[Prozesswärme]],Dropdown!$A$2:$D$4,4,FALSE)</f>
        <v>-</v>
      </c>
      <c r="AB22" s="61" t="str">
        <f>VLOOKUP(Tabelle1722[[#This Row],[Druckluft]],Dropdown!$A$2:$D$4,4,FALSE)</f>
        <v>-</v>
      </c>
    </row>
    <row r="23" spans="1:28" x14ac:dyDescent="0.2">
      <c r="A23" s="6" t="s">
        <v>18</v>
      </c>
      <c r="B23" s="61" t="str">
        <f>VLOOKUP(Tabelle1722[[#This Row],[Büros und Textilbetriebe gesamt]],Dropdown!$A$2:$D$4,4,FALSE)</f>
        <v>-</v>
      </c>
      <c r="C23" s="61" t="str">
        <f>VLOOKUP(Tabelle1722[[#This Row],[Handel gesamt]],Dropdown!$A$2:$D$4,4,FALSE)</f>
        <v>-</v>
      </c>
      <c r="D23" s="61" t="str">
        <f>VLOOKUP(Tabelle1722[[#This Row],[Gastgewerbe gesamt]],Dropdown!$A$2:$D$4,4,FALSE)</f>
        <v>-</v>
      </c>
      <c r="E23" s="61" t="str">
        <f>VLOOKUP(Tabelle1722[[#This Row],[Landwirtschaft gesamt]],Dropdown!$A$2:$D$4,4,FALSE)</f>
        <v>-</v>
      </c>
      <c r="F23" s="61" t="str">
        <f>VLOOKUP(Tabelle1722[[#This Row],[Gartenbau gesamt]],Dropdown!$A$2:$D$4,4,FALSE)</f>
        <v>-</v>
      </c>
      <c r="G23" s="61" t="str">
        <f>VLOOKUP(Tabelle1722[[#This Row],[Bäder gesamt]],Dropdown!$A$2:$D$4,4,FALSE)</f>
        <v>-</v>
      </c>
      <c r="H23" s="61" t="str">
        <f>VLOOKUP(Tabelle1722[[#This Row],[Wäschereien gesamt]],Dropdown!$A$2:$D$4,4,FALSE)</f>
        <v>-</v>
      </c>
      <c r="I23" s="61" t="str">
        <f>VLOOKUP(Tabelle1722[[#This Row],[produzierendes Gewerbe gesamt]],Dropdown!$A$2:$D$4,4,FALSE)</f>
        <v>-</v>
      </c>
      <c r="J23" s="61" t="str">
        <f>VLOOKUP(Tabelle1722[[#This Row],[Baugewerbe gesamt]],Dropdown!$A$2:$D$4,4,FALSE)</f>
        <v>-</v>
      </c>
      <c r="K23" s="61" t="str">
        <f>VLOOKUP(Tabelle1722[[#This Row],[Prozesskälte]],Dropdown!$A$2:$D$4,4,FALSE)</f>
        <v>-</v>
      </c>
      <c r="L23" s="61" t="str">
        <f>VLOOKUP(Tabelle1722[[#This Row],[Kühlhäuser]],Dropdown!$A$2:$D$4,4,FALSE)</f>
        <v>X</v>
      </c>
      <c r="M23" s="61" t="str">
        <f>VLOOKUP(Tabelle1722[[#This Row],[Kühlung im 
Lebensmitteleinzelhandel]],Dropdown!$A$2:$D$4,4,FALSE)</f>
        <v>X</v>
      </c>
      <c r="N23" s="61" t="str">
        <f>VLOOKUP(Tabelle1722[[#This Row],[Kühlung im Gastronomiebereich 
(Hotels, Restaurants)]],Dropdown!$A$2:$D$4,4,FALSE)</f>
        <v>X</v>
      </c>
      <c r="O23" s="61" t="str">
        <f>VLOOKUP(Tabelle1722[[#This Row],[Klimakälte]],Dropdown!$A$2:$D$4,4,FALSE)</f>
        <v>X</v>
      </c>
      <c r="P23" s="61" t="str">
        <f>VLOOKUP(Tabelle1722[[#This Row],[Warmwasserbereitstellung]],Dropdown!$A$2:$D$4,4,FALSE)</f>
        <v>X</v>
      </c>
      <c r="Q23" s="61" t="str">
        <f>VLOOKUP(Tabelle1722[[#This Row],[Raumwärme 
(elektrische Raumheizung)]],Dropdown!$A$2:$D$4,4,FALSE)</f>
        <v>-</v>
      </c>
      <c r="R23" s="61" t="str">
        <f>VLOOKUP(Tabelle1722[[#This Row],[Nachtspeicherheizungen]],Dropdown!$A$2:$D$4,4,FALSE)</f>
        <v>X</v>
      </c>
      <c r="S23" s="61" t="str">
        <f>VLOOKUP(Tabelle1722[[#This Row],[Wärmepumpen]],Dropdown!$A$2:$D$4,4,FALSE)</f>
        <v>-</v>
      </c>
      <c r="T23" s="61" t="str">
        <f>VLOOKUP(Tabelle1722[[#This Row],[Hybrid-Wärmeerzeugungssysteme]],Dropdown!$A$2:$D$4,4,FALSE)</f>
        <v>-</v>
      </c>
      <c r="U23" s="61" t="str">
        <f>VLOOKUP(Tabelle1722[[#This Row],[Pumpenanwendungen]],Dropdown!$A$2:$D$4,4,FALSE)</f>
        <v>-</v>
      </c>
      <c r="V23" s="61" t="str">
        <f>VLOOKUP(Tabelle1722[[#This Row],[Pumpenanwendungen in der 
Wasserversorgung]],Dropdown!$A$2:$D$4,4,FALSE)</f>
        <v>X</v>
      </c>
      <c r="W23" s="61" t="str">
        <f>VLOOKUP(Tabelle1722[[#This Row],[Beleuchtung im Gartenbau]],Dropdown!$A$2:$D$4,4,FALSE)</f>
        <v>-</v>
      </c>
      <c r="X23" s="61" t="str">
        <f>VLOOKUP(Tabelle1722[[#This Row],[Belüftung]],Dropdown!$A$2:$D$4,4,FALSE)</f>
        <v>X</v>
      </c>
      <c r="Y23" s="61" t="str">
        <f>VLOOKUP(Tabelle1722[[#This Row],[Abwasserbehandlung]],Dropdown!$A$2:$D$4,4,FALSE)</f>
        <v>X</v>
      </c>
      <c r="Z23" s="61" t="str">
        <f>VLOOKUP(Tabelle1722[[#This Row],[Notstromaggregate, Back-Up-
Server und Mobilfunkstationen]],Dropdown!$A$2:$D$4,4,FALSE)</f>
        <v>-</v>
      </c>
      <c r="AA23" s="61" t="str">
        <f>VLOOKUP(Tabelle1722[[#This Row],[Prozesswärme]],Dropdown!$A$2:$D$4,4,FALSE)</f>
        <v>-</v>
      </c>
      <c r="AB23" s="61" t="str">
        <f>VLOOKUP(Tabelle1722[[#This Row],[Druckluft]],Dropdown!$A$2:$D$4,4,FALSE)</f>
        <v>-</v>
      </c>
    </row>
    <row r="24" spans="1:28" x14ac:dyDescent="0.2">
      <c r="A24" s="6" t="s">
        <v>338</v>
      </c>
      <c r="B24" s="61" t="str">
        <f>VLOOKUP(Tabelle1722[[#This Row],[Büros und Textilbetriebe gesamt]],Dropdown!$A$2:$D$4,4,FALSE)</f>
        <v>-</v>
      </c>
      <c r="C24" s="61" t="str">
        <f>VLOOKUP(Tabelle1722[[#This Row],[Handel gesamt]],Dropdown!$A$2:$D$4,4,FALSE)</f>
        <v>-</v>
      </c>
      <c r="D24" s="61" t="str">
        <f>VLOOKUP(Tabelle1722[[#This Row],[Gastgewerbe gesamt]],Dropdown!$A$2:$D$4,4,FALSE)</f>
        <v>-</v>
      </c>
      <c r="E24" s="61" t="str">
        <f>VLOOKUP(Tabelle1722[[#This Row],[Landwirtschaft gesamt]],Dropdown!$A$2:$D$4,4,FALSE)</f>
        <v>-</v>
      </c>
      <c r="F24" s="61" t="str">
        <f>VLOOKUP(Tabelle1722[[#This Row],[Gartenbau gesamt]],Dropdown!$A$2:$D$4,4,FALSE)</f>
        <v>-</v>
      </c>
      <c r="G24" s="61" t="str">
        <f>VLOOKUP(Tabelle1722[[#This Row],[Bäder gesamt]],Dropdown!$A$2:$D$4,4,FALSE)</f>
        <v>-</v>
      </c>
      <c r="H24" s="61" t="str">
        <f>VLOOKUP(Tabelle1722[[#This Row],[Wäschereien gesamt]],Dropdown!$A$2:$D$4,4,FALSE)</f>
        <v>-</v>
      </c>
      <c r="I24" s="61" t="str">
        <f>VLOOKUP(Tabelle1722[[#This Row],[produzierendes Gewerbe gesamt]],Dropdown!$A$2:$D$4,4,FALSE)</f>
        <v>-</v>
      </c>
      <c r="J24" s="61" t="str">
        <f>VLOOKUP(Tabelle1722[[#This Row],[Baugewerbe gesamt]],Dropdown!$A$2:$D$4,4,FALSE)</f>
        <v>-</v>
      </c>
      <c r="K24" s="61" t="str">
        <f>VLOOKUP(Tabelle1722[[#This Row],[Prozesskälte]],Dropdown!$A$2:$D$4,4,FALSE)</f>
        <v>-</v>
      </c>
      <c r="L24" s="61" t="str">
        <f>VLOOKUP(Tabelle1722[[#This Row],[Kühlhäuser]],Dropdown!$A$2:$D$4,4,FALSE)</f>
        <v>X</v>
      </c>
      <c r="M24" s="61" t="str">
        <f>VLOOKUP(Tabelle1722[[#This Row],[Kühlung im 
Lebensmitteleinzelhandel]],Dropdown!$A$2:$D$4,4,FALSE)</f>
        <v>-</v>
      </c>
      <c r="N24" s="61" t="str">
        <f>VLOOKUP(Tabelle1722[[#This Row],[Kühlung im Gastronomiebereich 
(Hotels, Restaurants)]],Dropdown!$A$2:$D$4,4,FALSE)</f>
        <v>-</v>
      </c>
      <c r="O24" s="61" t="str">
        <f>VLOOKUP(Tabelle1722[[#This Row],[Klimakälte]],Dropdown!$A$2:$D$4,4,FALSE)</f>
        <v>-</v>
      </c>
      <c r="P24" s="61" t="str">
        <f>VLOOKUP(Tabelle1722[[#This Row],[Warmwasserbereitstellung]],Dropdown!$A$2:$D$4,4,FALSE)</f>
        <v>-</v>
      </c>
      <c r="Q24" s="61" t="str">
        <f>VLOOKUP(Tabelle1722[[#This Row],[Raumwärme 
(elektrische Raumheizung)]],Dropdown!$A$2:$D$4,4,FALSE)</f>
        <v>-</v>
      </c>
      <c r="R24" s="61" t="str">
        <f>VLOOKUP(Tabelle1722[[#This Row],[Nachtspeicherheizungen]],Dropdown!$A$2:$D$4,4,FALSE)</f>
        <v>-</v>
      </c>
      <c r="S24" s="61" t="str">
        <f>VLOOKUP(Tabelle1722[[#This Row],[Wärmepumpen]],Dropdown!$A$2:$D$4,4,FALSE)</f>
        <v>-</v>
      </c>
      <c r="T24" s="61" t="str">
        <f>VLOOKUP(Tabelle1722[[#This Row],[Hybrid-Wärmeerzeugungssysteme]],Dropdown!$A$2:$D$4,4,FALSE)</f>
        <v>-</v>
      </c>
      <c r="U24" s="61" t="str">
        <f>VLOOKUP(Tabelle1722[[#This Row],[Pumpenanwendungen]],Dropdown!$A$2:$D$4,4,FALSE)</f>
        <v>-</v>
      </c>
      <c r="V24" s="61" t="str">
        <f>VLOOKUP(Tabelle1722[[#This Row],[Pumpenanwendungen in der 
Wasserversorgung]],Dropdown!$A$2:$D$4,4,FALSE)</f>
        <v>-</v>
      </c>
      <c r="W24" s="61" t="str">
        <f>VLOOKUP(Tabelle1722[[#This Row],[Beleuchtung im Gartenbau]],Dropdown!$A$2:$D$4,4,FALSE)</f>
        <v>-</v>
      </c>
      <c r="X24" s="61" t="str">
        <f>VLOOKUP(Tabelle1722[[#This Row],[Belüftung]],Dropdown!$A$2:$D$4,4,FALSE)</f>
        <v>X</v>
      </c>
      <c r="Y24" s="61" t="str">
        <f>VLOOKUP(Tabelle1722[[#This Row],[Abwasserbehandlung]],Dropdown!$A$2:$D$4,4,FALSE)</f>
        <v>-</v>
      </c>
      <c r="Z24" s="61" t="str">
        <f>VLOOKUP(Tabelle1722[[#This Row],[Notstromaggregate, Back-Up-
Server und Mobilfunkstationen]],Dropdown!$A$2:$D$4,4,FALSE)</f>
        <v>-</v>
      </c>
      <c r="AA24" s="61" t="str">
        <f>VLOOKUP(Tabelle1722[[#This Row],[Prozesswärme]],Dropdown!$A$2:$D$4,4,FALSE)</f>
        <v>-</v>
      </c>
      <c r="AB24" s="61" t="str">
        <f>VLOOKUP(Tabelle1722[[#This Row],[Druckluft]],Dropdown!$A$2:$D$4,4,FALSE)</f>
        <v>-</v>
      </c>
    </row>
    <row r="25" spans="1:28" ht="25.5" x14ac:dyDescent="0.2">
      <c r="A25" s="6" t="s">
        <v>351</v>
      </c>
      <c r="B25" s="61" t="str">
        <f>VLOOKUP(Tabelle1722[[#This Row],[Büros und Textilbetriebe gesamt]],Dropdown!$A$2:$D$4,4,FALSE)</f>
        <v>-</v>
      </c>
      <c r="C25" s="61" t="str">
        <f>VLOOKUP(Tabelle1722[[#This Row],[Handel gesamt]],Dropdown!$A$2:$D$4,4,FALSE)</f>
        <v>-</v>
      </c>
      <c r="D25" s="61" t="str">
        <f>VLOOKUP(Tabelle1722[[#This Row],[Gastgewerbe gesamt]],Dropdown!$A$2:$D$4,4,FALSE)</f>
        <v>-</v>
      </c>
      <c r="E25" s="61" t="str">
        <f>VLOOKUP(Tabelle1722[[#This Row],[Landwirtschaft gesamt]],Dropdown!$A$2:$D$4,4,FALSE)</f>
        <v>-</v>
      </c>
      <c r="F25" s="61" t="str">
        <f>VLOOKUP(Tabelle1722[[#This Row],[Gartenbau gesamt]],Dropdown!$A$2:$D$4,4,FALSE)</f>
        <v>-</v>
      </c>
      <c r="G25" s="61" t="str">
        <f>VLOOKUP(Tabelle1722[[#This Row],[Bäder gesamt]],Dropdown!$A$2:$D$4,4,FALSE)</f>
        <v>-</v>
      </c>
      <c r="H25" s="61" t="str">
        <f>VLOOKUP(Tabelle1722[[#This Row],[Wäschereien gesamt]],Dropdown!$A$2:$D$4,4,FALSE)</f>
        <v>-</v>
      </c>
      <c r="I25" s="61" t="str">
        <f>VLOOKUP(Tabelle1722[[#This Row],[produzierendes Gewerbe gesamt]],Dropdown!$A$2:$D$4,4,FALSE)</f>
        <v>-</v>
      </c>
      <c r="J25" s="61" t="str">
        <f>VLOOKUP(Tabelle1722[[#This Row],[Baugewerbe gesamt]],Dropdown!$A$2:$D$4,4,FALSE)</f>
        <v>-</v>
      </c>
      <c r="K25" s="61" t="str">
        <f>VLOOKUP(Tabelle1722[[#This Row],[Prozesskälte]],Dropdown!$A$2:$D$4,4,FALSE)</f>
        <v>-</v>
      </c>
      <c r="L25" s="61" t="str">
        <f>VLOOKUP(Tabelle1722[[#This Row],[Kühlhäuser]],Dropdown!$A$2:$D$4,4,FALSE)</f>
        <v>-</v>
      </c>
      <c r="M25" s="61" t="str">
        <f>VLOOKUP(Tabelle1722[[#This Row],[Kühlung im 
Lebensmitteleinzelhandel]],Dropdown!$A$2:$D$4,4,FALSE)</f>
        <v>-</v>
      </c>
      <c r="N25" s="61" t="str">
        <f>VLOOKUP(Tabelle1722[[#This Row],[Kühlung im Gastronomiebereich 
(Hotels, Restaurants)]],Dropdown!$A$2:$D$4,4,FALSE)</f>
        <v>-</v>
      </c>
      <c r="O25" s="61" t="str">
        <f>VLOOKUP(Tabelle1722[[#This Row],[Klimakälte]],Dropdown!$A$2:$D$4,4,FALSE)</f>
        <v>-</v>
      </c>
      <c r="P25" s="61" t="str">
        <f>VLOOKUP(Tabelle1722[[#This Row],[Warmwasserbereitstellung]],Dropdown!$A$2:$D$4,4,FALSE)</f>
        <v>-</v>
      </c>
      <c r="Q25" s="61" t="str">
        <f>VLOOKUP(Tabelle1722[[#This Row],[Raumwärme 
(elektrische Raumheizung)]],Dropdown!$A$2:$D$4,4,FALSE)</f>
        <v>-</v>
      </c>
      <c r="R25" s="61" t="str">
        <f>VLOOKUP(Tabelle1722[[#This Row],[Nachtspeicherheizungen]],Dropdown!$A$2:$D$4,4,FALSE)</f>
        <v>-</v>
      </c>
      <c r="S25" s="61" t="str">
        <f>VLOOKUP(Tabelle1722[[#This Row],[Wärmepumpen]],Dropdown!$A$2:$D$4,4,FALSE)</f>
        <v>-</v>
      </c>
      <c r="T25" s="61" t="str">
        <f>VLOOKUP(Tabelle1722[[#This Row],[Hybrid-Wärmeerzeugungssysteme]],Dropdown!$A$2:$D$4,4,FALSE)</f>
        <v>-</v>
      </c>
      <c r="U25" s="61" t="str">
        <f>VLOOKUP(Tabelle1722[[#This Row],[Pumpenanwendungen]],Dropdown!$A$2:$D$4,4,FALSE)</f>
        <v>-</v>
      </c>
      <c r="V25" s="61" t="str">
        <f>VLOOKUP(Tabelle1722[[#This Row],[Pumpenanwendungen in der 
Wasserversorgung]],Dropdown!$A$2:$D$4,4,FALSE)</f>
        <v>-</v>
      </c>
      <c r="W25" s="61" t="str">
        <f>VLOOKUP(Tabelle1722[[#This Row],[Beleuchtung im Gartenbau]],Dropdown!$A$2:$D$4,4,FALSE)</f>
        <v>-</v>
      </c>
      <c r="X25" s="61" t="str">
        <f>VLOOKUP(Tabelle1722[[#This Row],[Belüftung]],Dropdown!$A$2:$D$4,4,FALSE)</f>
        <v>-</v>
      </c>
      <c r="Y25" s="61" t="str">
        <f>VLOOKUP(Tabelle1722[[#This Row],[Abwasserbehandlung]],Dropdown!$A$2:$D$4,4,FALSE)</f>
        <v>-</v>
      </c>
      <c r="Z25" s="61" t="str">
        <f>VLOOKUP(Tabelle1722[[#This Row],[Notstromaggregate, Back-Up-
Server und Mobilfunkstationen]],Dropdown!$A$2:$D$4,4,FALSE)</f>
        <v>-</v>
      </c>
      <c r="AA25" s="61" t="str">
        <f>VLOOKUP(Tabelle1722[[#This Row],[Prozesswärme]],Dropdown!$A$2:$D$4,4,FALSE)</f>
        <v>-</v>
      </c>
      <c r="AB25" s="61" t="str">
        <f>VLOOKUP(Tabelle1722[[#This Row],[Druckluft]],Dropdown!$A$2:$D$4,4,FALSE)</f>
        <v>-</v>
      </c>
    </row>
    <row r="26" spans="1:28" ht="38.25" x14ac:dyDescent="0.2">
      <c r="A26" s="6" t="s">
        <v>24</v>
      </c>
      <c r="B26" s="61" t="str">
        <f>VLOOKUP(Tabelle1722[[#This Row],[Büros und Textilbetriebe gesamt]],Dropdown!$A$2:$D$4,4,FALSE)</f>
        <v>-</v>
      </c>
      <c r="C26" s="61" t="str">
        <f>VLOOKUP(Tabelle1722[[#This Row],[Handel gesamt]],Dropdown!$A$2:$D$4,4,FALSE)</f>
        <v>-</v>
      </c>
      <c r="D26" s="61" t="str">
        <f>VLOOKUP(Tabelle1722[[#This Row],[Gastgewerbe gesamt]],Dropdown!$A$2:$D$4,4,FALSE)</f>
        <v>-</v>
      </c>
      <c r="E26" s="61" t="str">
        <f>VLOOKUP(Tabelle1722[[#This Row],[Landwirtschaft gesamt]],Dropdown!$A$2:$D$4,4,FALSE)</f>
        <v>-</v>
      </c>
      <c r="F26" s="61" t="str">
        <f>VLOOKUP(Tabelle1722[[#This Row],[Gartenbau gesamt]],Dropdown!$A$2:$D$4,4,FALSE)</f>
        <v>-</v>
      </c>
      <c r="G26" s="61" t="str">
        <f>VLOOKUP(Tabelle1722[[#This Row],[Bäder gesamt]],Dropdown!$A$2:$D$4,4,FALSE)</f>
        <v>-</v>
      </c>
      <c r="H26" s="61" t="str">
        <f>VLOOKUP(Tabelle1722[[#This Row],[Wäschereien gesamt]],Dropdown!$A$2:$D$4,4,FALSE)</f>
        <v>-</v>
      </c>
      <c r="I26" s="61" t="str">
        <f>VLOOKUP(Tabelle1722[[#This Row],[produzierendes Gewerbe gesamt]],Dropdown!$A$2:$D$4,4,FALSE)</f>
        <v>-</v>
      </c>
      <c r="J26" s="61" t="str">
        <f>VLOOKUP(Tabelle1722[[#This Row],[Baugewerbe gesamt]],Dropdown!$A$2:$D$4,4,FALSE)</f>
        <v>-</v>
      </c>
      <c r="K26" s="61" t="str">
        <f>VLOOKUP(Tabelle1722[[#This Row],[Prozesskälte]],Dropdown!$A$2:$D$4,4,FALSE)</f>
        <v>-</v>
      </c>
      <c r="L26" s="61" t="str">
        <f>VLOOKUP(Tabelle1722[[#This Row],[Kühlhäuser]],Dropdown!$A$2:$D$4,4,FALSE)</f>
        <v>-</v>
      </c>
      <c r="M26" s="61" t="str">
        <f>VLOOKUP(Tabelle1722[[#This Row],[Kühlung im 
Lebensmitteleinzelhandel]],Dropdown!$A$2:$D$4,4,FALSE)</f>
        <v>-</v>
      </c>
      <c r="N26" s="61" t="str">
        <f>VLOOKUP(Tabelle1722[[#This Row],[Kühlung im Gastronomiebereich 
(Hotels, Restaurants)]],Dropdown!$A$2:$D$4,4,FALSE)</f>
        <v>-</v>
      </c>
      <c r="O26" s="61" t="str">
        <f>VLOOKUP(Tabelle1722[[#This Row],[Klimakälte]],Dropdown!$A$2:$D$4,4,FALSE)</f>
        <v>-</v>
      </c>
      <c r="P26" s="61" t="str">
        <f>VLOOKUP(Tabelle1722[[#This Row],[Warmwasserbereitstellung]],Dropdown!$A$2:$D$4,4,FALSE)</f>
        <v>-</v>
      </c>
      <c r="Q26" s="61" t="str">
        <f>VLOOKUP(Tabelle1722[[#This Row],[Raumwärme 
(elektrische Raumheizung)]],Dropdown!$A$2:$D$4,4,FALSE)</f>
        <v>-</v>
      </c>
      <c r="R26" s="61" t="str">
        <f>VLOOKUP(Tabelle1722[[#This Row],[Nachtspeicherheizungen]],Dropdown!$A$2:$D$4,4,FALSE)</f>
        <v>-</v>
      </c>
      <c r="S26" s="61" t="str">
        <f>VLOOKUP(Tabelle1722[[#This Row],[Wärmepumpen]],Dropdown!$A$2:$D$4,4,FALSE)</f>
        <v>-</v>
      </c>
      <c r="T26" s="61" t="str">
        <f>VLOOKUP(Tabelle1722[[#This Row],[Hybrid-Wärmeerzeugungssysteme]],Dropdown!$A$2:$D$4,4,FALSE)</f>
        <v>-</v>
      </c>
      <c r="U26" s="61" t="str">
        <f>VLOOKUP(Tabelle1722[[#This Row],[Pumpenanwendungen]],Dropdown!$A$2:$D$4,4,FALSE)</f>
        <v>-</v>
      </c>
      <c r="V26" s="61" t="str">
        <f>VLOOKUP(Tabelle1722[[#This Row],[Pumpenanwendungen in der 
Wasserversorgung]],Dropdown!$A$2:$D$4,4,FALSE)</f>
        <v>-</v>
      </c>
      <c r="W26" s="61" t="str">
        <f>VLOOKUP(Tabelle1722[[#This Row],[Beleuchtung im Gartenbau]],Dropdown!$A$2:$D$4,4,FALSE)</f>
        <v>-</v>
      </c>
      <c r="X26" s="61" t="str">
        <f>VLOOKUP(Tabelle1722[[#This Row],[Belüftung]],Dropdown!$A$2:$D$4,4,FALSE)</f>
        <v>-</v>
      </c>
      <c r="Y26" s="61" t="str">
        <f>VLOOKUP(Tabelle1722[[#This Row],[Abwasserbehandlung]],Dropdown!$A$2:$D$4,4,FALSE)</f>
        <v>-</v>
      </c>
      <c r="Z26" s="61" t="str">
        <f>VLOOKUP(Tabelle1722[[#This Row],[Notstromaggregate, Back-Up-
Server und Mobilfunkstationen]],Dropdown!$A$2:$D$4,4,FALSE)</f>
        <v>-</v>
      </c>
      <c r="AA26" s="61" t="str">
        <f>VLOOKUP(Tabelle1722[[#This Row],[Prozesswärme]],Dropdown!$A$2:$D$4,4,FALSE)</f>
        <v>-</v>
      </c>
      <c r="AB26" s="61" t="str">
        <f>VLOOKUP(Tabelle1722[[#This Row],[Druckluft]],Dropdown!$A$2:$D$4,4,FALSE)</f>
        <v>-</v>
      </c>
    </row>
    <row r="27" spans="1:28" x14ac:dyDescent="0.2">
      <c r="A27" s="59" t="s">
        <v>854</v>
      </c>
      <c r="B27" s="59">
        <f>Tabelle1722[[#This Row],[Büros und Textilbetriebe gesamt]]</f>
        <v>1</v>
      </c>
      <c r="C27" s="59">
        <f>Tabelle1722[[#This Row],[Handel gesamt]]</f>
        <v>1</v>
      </c>
      <c r="D27" s="59">
        <f>Tabelle1722[[#This Row],[Gastgewerbe gesamt]]</f>
        <v>1</v>
      </c>
      <c r="E27" s="59">
        <f>Tabelle1722[[#This Row],[Landwirtschaft gesamt]]</f>
        <v>1</v>
      </c>
      <c r="F27" s="59">
        <f>Tabelle1722[[#This Row],[Gartenbau gesamt]]</f>
        <v>1</v>
      </c>
      <c r="G27" s="59">
        <f>Tabelle1722[[#This Row],[Bäder gesamt]]</f>
        <v>1</v>
      </c>
      <c r="H27" s="59">
        <f>Tabelle1722[[#This Row],[Wäschereien gesamt]]</f>
        <v>1</v>
      </c>
      <c r="I27" s="59">
        <f>Tabelle1722[[#This Row],[produzierendes Gewerbe gesamt]]</f>
        <v>1</v>
      </c>
      <c r="J27" s="59">
        <f>Tabelle1722[[#This Row],[Baugewerbe gesamt]]</f>
        <v>1</v>
      </c>
      <c r="K27" s="59">
        <f>Tabelle1722[[#This Row],[Prozesskälte]]</f>
        <v>7</v>
      </c>
      <c r="L27" s="59">
        <f>Tabelle1722[[#This Row],[Kühlhäuser]]</f>
        <v>6</v>
      </c>
      <c r="M27" s="59">
        <f>Tabelle1722[[#This Row],[Kühlung im 
Lebensmitteleinzelhandel]]</f>
        <v>4</v>
      </c>
      <c r="N27" s="59">
        <f>Tabelle1722[[#This Row],[Kühlung im Gastronomiebereich 
(Hotels, Restaurants)]]</f>
        <v>2</v>
      </c>
      <c r="O27" s="59">
        <f>Tabelle1722[[#This Row],[Klimakälte]]</f>
        <v>8</v>
      </c>
      <c r="P27" s="59">
        <f>Tabelle1722[[#This Row],[Warmwasserbereitstellung]]</f>
        <v>5</v>
      </c>
      <c r="Q27" s="59">
        <f>Tabelle1722[[#This Row],[Raumwärme 
(elektrische Raumheizung)]]</f>
        <v>3</v>
      </c>
      <c r="R27" s="59">
        <f>Tabelle1722[[#This Row],[Nachtspeicherheizungen]]</f>
        <v>5</v>
      </c>
      <c r="S27" s="59">
        <f>Tabelle1722[[#This Row],[Wärmepumpen]]</f>
        <v>1</v>
      </c>
      <c r="T27" s="59">
        <f>Tabelle1722[[#This Row],[Hybrid-Wärmeerzeugungssysteme]]</f>
        <v>1</v>
      </c>
      <c r="U27" s="59">
        <f>Tabelle1722[[#This Row],[Pumpenanwendungen]]</f>
        <v>1</v>
      </c>
      <c r="V27" s="59">
        <f>Tabelle1722[[#This Row],[Pumpenanwendungen in der 
Wasserversorgung]]</f>
        <v>3</v>
      </c>
      <c r="W27" s="59">
        <f>Tabelle1722[[#This Row],[Beleuchtung im Gartenbau]]</f>
        <v>2</v>
      </c>
      <c r="X27" s="59">
        <f>Tabelle1722[[#This Row],[Belüftung]]</f>
        <v>8</v>
      </c>
      <c r="Y27" s="59">
        <f>Tabelle1722[[#This Row],[Abwasserbehandlung]]</f>
        <v>2</v>
      </c>
      <c r="Z27" s="59">
        <f>Tabelle1722[[#This Row],[Notstromaggregate, Back-Up-
Server und Mobilfunkstationen]]</f>
        <v>1</v>
      </c>
      <c r="AA27" s="59">
        <f>Tabelle1722[[#This Row],[Prozesswärme]]</f>
        <v>1</v>
      </c>
      <c r="AB27" s="59">
        <f>Tabelle1722[[#This Row],[Druckluft]]</f>
        <v>1</v>
      </c>
    </row>
  </sheetData>
  <pageMargins left="0.7" right="0.7" top="0.78740157499999996" bottom="0.78740157499999996"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D67B6-F003-48CF-A7E4-C4355C356E8F}">
  <sheetPr codeName="Tabelle40">
    <tabColor theme="5" tint="0.79998168889431442"/>
  </sheetPr>
  <dimension ref="A1:AB27"/>
  <sheetViews>
    <sheetView workbookViewId="0">
      <selection activeCell="B1" sqref="B1:AB1"/>
    </sheetView>
  </sheetViews>
  <sheetFormatPr baseColWidth="10" defaultColWidth="11" defaultRowHeight="12.75" x14ac:dyDescent="0.2"/>
  <cols>
    <col min="1" max="1" width="17.625" style="55" customWidth="1"/>
    <col min="2" max="19" width="5.875" style="55" customWidth="1"/>
    <col min="20" max="20" width="7" style="55" customWidth="1"/>
    <col min="21" max="28" width="5.875" style="55" customWidth="1"/>
    <col min="29" max="16384" width="11" style="55"/>
  </cols>
  <sheetData>
    <row r="1" spans="1:28" ht="165.75" customHeight="1" x14ac:dyDescent="0.2">
      <c r="A1" s="50" t="s">
        <v>1168</v>
      </c>
      <c r="B1" s="53" t="s">
        <v>1097</v>
      </c>
      <c r="C1" s="53" t="s">
        <v>1098</v>
      </c>
      <c r="D1" s="53" t="s">
        <v>1099</v>
      </c>
      <c r="E1" s="53" t="s">
        <v>1100</v>
      </c>
      <c r="F1" s="53" t="s">
        <v>1101</v>
      </c>
      <c r="G1" s="53" t="s">
        <v>1102</v>
      </c>
      <c r="H1" s="53" t="s">
        <v>1103</v>
      </c>
      <c r="I1" s="53" t="s">
        <v>1104</v>
      </c>
      <c r="J1" s="53" t="s">
        <v>1105</v>
      </c>
      <c r="K1" s="53" t="s">
        <v>1033</v>
      </c>
      <c r="L1" s="53" t="s">
        <v>1068</v>
      </c>
      <c r="M1" s="53" t="s">
        <v>1067</v>
      </c>
      <c r="N1" s="53" t="s">
        <v>1085</v>
      </c>
      <c r="O1" s="53" t="s">
        <v>1046</v>
      </c>
      <c r="P1" s="53" t="s">
        <v>1066</v>
      </c>
      <c r="Q1" s="53" t="s">
        <v>1162</v>
      </c>
      <c r="R1" s="53" t="s">
        <v>1071</v>
      </c>
      <c r="S1" s="53" t="s">
        <v>1078</v>
      </c>
      <c r="T1" s="53" t="s">
        <v>1454</v>
      </c>
      <c r="U1" s="53" t="s">
        <v>1045</v>
      </c>
      <c r="V1" s="53" t="s">
        <v>1106</v>
      </c>
      <c r="W1" s="53" t="s">
        <v>1084</v>
      </c>
      <c r="X1" s="53" t="s">
        <v>1034</v>
      </c>
      <c r="Y1" s="53" t="s">
        <v>1051</v>
      </c>
      <c r="Z1" s="53" t="s">
        <v>1164</v>
      </c>
      <c r="AA1" s="53" t="s">
        <v>1079</v>
      </c>
      <c r="AB1" s="53" t="s">
        <v>799</v>
      </c>
    </row>
    <row r="2" spans="1:28" x14ac:dyDescent="0.2">
      <c r="A2" s="6">
        <v>1</v>
      </c>
      <c r="B2" s="61" t="str">
        <f>VLOOKUP(Tabelle1722[[#This Row],[Büros und Textilbetriebe gesamt]],Dropdown!$A$2:$D$4,4,FALSE)</f>
        <v>X</v>
      </c>
      <c r="C2" s="61" t="str">
        <f>VLOOKUP(Tabelle1722[[#This Row],[Handel gesamt]],Dropdown!$A$2:$D$4,4,FALSE)</f>
        <v>X</v>
      </c>
      <c r="D2" s="61" t="str">
        <f>VLOOKUP(Tabelle1722[[#This Row],[Gastgewerbe gesamt]],Dropdown!$A$2:$D$4,4,FALSE)</f>
        <v>X</v>
      </c>
      <c r="E2" s="61" t="str">
        <f>VLOOKUP(Tabelle1722[[#This Row],[Landwirtschaft gesamt]],Dropdown!$A$2:$D$4,4,FALSE)</f>
        <v>X</v>
      </c>
      <c r="F2" s="61" t="str">
        <f>VLOOKUP(Tabelle1722[[#This Row],[Gartenbau gesamt]],Dropdown!$A$2:$D$4,4,FALSE)</f>
        <v>X</v>
      </c>
      <c r="G2" s="61" t="str">
        <f>VLOOKUP(Tabelle1722[[#This Row],[Bäder gesamt]],Dropdown!$A$2:$D$4,4,FALSE)</f>
        <v>X</v>
      </c>
      <c r="H2" s="61" t="str">
        <f>VLOOKUP(Tabelle1722[[#This Row],[Wäschereien gesamt]],Dropdown!$A$2:$D$4,4,FALSE)</f>
        <v>X</v>
      </c>
      <c r="I2" s="61" t="str">
        <f>VLOOKUP(Tabelle1722[[#This Row],[produzierendes Gewerbe gesamt]],Dropdown!$A$2:$D$4,4,FALSE)</f>
        <v>X</v>
      </c>
      <c r="J2" s="61" t="str">
        <f>VLOOKUP(Tabelle1722[[#This Row],[Baugewerbe gesamt]],Dropdown!$A$2:$D$4,4,FALSE)</f>
        <v>X</v>
      </c>
      <c r="K2" s="61" t="str">
        <f>VLOOKUP(Tabelle1722[[#This Row],[Prozesskälte]],Dropdown!$A$2:$D$4,4,FALSE)</f>
        <v>-</v>
      </c>
      <c r="L2" s="61" t="str">
        <f>VLOOKUP(Tabelle1722[[#This Row],[Kühlhäuser]],Dropdown!$A$2:$D$4,4,FALSE)</f>
        <v>-</v>
      </c>
      <c r="M2" s="61" t="str">
        <f>VLOOKUP(Tabelle1722[[#This Row],[Kühlung im 
Lebensmitteleinzelhandel]],Dropdown!$A$2:$D$4,4,FALSE)</f>
        <v>-</v>
      </c>
      <c r="N2" s="61" t="str">
        <f>VLOOKUP(Tabelle1722[[#This Row],[Kühlung im Gastronomiebereich 
(Hotels, Restaurants)]],Dropdown!$A$2:$D$4,4,FALSE)</f>
        <v>-</v>
      </c>
      <c r="O2" s="61" t="str">
        <f>VLOOKUP(Tabelle1722[[#This Row],[Klimakälte]],Dropdown!$A$2:$D$4,4,FALSE)</f>
        <v>-</v>
      </c>
      <c r="P2" s="61" t="str">
        <f>VLOOKUP(Tabelle1722[[#This Row],[Warmwasserbereitstellung]],Dropdown!$A$2:$D$4,4,FALSE)</f>
        <v>-</v>
      </c>
      <c r="Q2" s="61" t="str">
        <f>VLOOKUP(Tabelle1722[[#This Row],[Raumwärme 
(elektrische Raumheizung)]],Dropdown!$A$2:$D$4,4,FALSE)</f>
        <v>-</v>
      </c>
      <c r="R2" s="61" t="str">
        <f>VLOOKUP(Tabelle1722[[#This Row],[Nachtspeicherheizungen]],Dropdown!$A$2:$D$4,4,FALSE)</f>
        <v>-</v>
      </c>
      <c r="S2" s="61" t="str">
        <f>VLOOKUP(Tabelle1722[[#This Row],[Wärmepumpen]],Dropdown!$A$2:$D$4,4,FALSE)</f>
        <v>-</v>
      </c>
      <c r="T2" s="61" t="str">
        <f>VLOOKUP(Tabelle1722[[#This Row],[Hybrid-Wärmeerzeugungssysteme]],Dropdown!$A$2:$D$4,4,FALSE)</f>
        <v>-</v>
      </c>
      <c r="U2" s="61" t="str">
        <f>VLOOKUP(Tabelle1722[[#This Row],[Pumpenanwendungen]],Dropdown!$A$2:$D$4,4,FALSE)</f>
        <v>-</v>
      </c>
      <c r="V2" s="61" t="str">
        <f>VLOOKUP(Tabelle1722[[#This Row],[Pumpenanwendungen in der 
Wasserversorgung]],Dropdown!$A$2:$D$4,4,FALSE)</f>
        <v>-</v>
      </c>
      <c r="W2" s="61" t="str">
        <f>VLOOKUP(Tabelle1722[[#This Row],[Beleuchtung im Gartenbau]],Dropdown!$A$2:$D$4,4,FALSE)</f>
        <v>-</v>
      </c>
      <c r="X2" s="61" t="str">
        <f>VLOOKUP(Tabelle1722[[#This Row],[Belüftung]],Dropdown!$A$2:$D$4,4,FALSE)</f>
        <v>-</v>
      </c>
      <c r="Y2" s="61" t="str">
        <f>VLOOKUP(Tabelle1722[[#This Row],[Abwasserbehandlung]],Dropdown!$A$2:$D$4,4,FALSE)</f>
        <v>-</v>
      </c>
      <c r="Z2" s="61" t="str">
        <f>VLOOKUP(Tabelle1722[[#This Row],[Notstromaggregate, Back-Up-
Server und Mobilfunkstationen]],Dropdown!$A$2:$D$4,4,FALSE)</f>
        <v>-</v>
      </c>
      <c r="AA2" s="61" t="str">
        <f>VLOOKUP(Tabelle1722[[#This Row],[Prozesswärme]],Dropdown!$A$2:$D$4,4,FALSE)</f>
        <v>-</v>
      </c>
      <c r="AB2" s="61" t="str">
        <f>VLOOKUP(Tabelle1722[[#This Row],[Druckluft]],Dropdown!$A$2:$D$4,4,FALSE)</f>
        <v>-</v>
      </c>
    </row>
    <row r="3" spans="1:28" x14ac:dyDescent="0.2">
      <c r="A3" s="6">
        <v>2</v>
      </c>
      <c r="B3" s="61" t="str">
        <f>VLOOKUP(Tabelle1722[[#This Row],[Büros und Textilbetriebe gesamt]],Dropdown!$A$2:$D$4,4,FALSE)</f>
        <v>-</v>
      </c>
      <c r="C3" s="61" t="str">
        <f>VLOOKUP(Tabelle1722[[#This Row],[Handel gesamt]],Dropdown!$A$2:$D$4,4,FALSE)</f>
        <v>-</v>
      </c>
      <c r="D3" s="61" t="str">
        <f>VLOOKUP(Tabelle1722[[#This Row],[Gastgewerbe gesamt]],Dropdown!$A$2:$D$4,4,FALSE)</f>
        <v>-</v>
      </c>
      <c r="E3" s="61" t="str">
        <f>VLOOKUP(Tabelle1722[[#This Row],[Landwirtschaft gesamt]],Dropdown!$A$2:$D$4,4,FALSE)</f>
        <v>-</v>
      </c>
      <c r="F3" s="61" t="str">
        <f>VLOOKUP(Tabelle1722[[#This Row],[Gartenbau gesamt]],Dropdown!$A$2:$D$4,4,FALSE)</f>
        <v>-</v>
      </c>
      <c r="G3" s="61" t="str">
        <f>VLOOKUP(Tabelle1722[[#This Row],[Bäder gesamt]],Dropdown!$A$2:$D$4,4,FALSE)</f>
        <v>-</v>
      </c>
      <c r="H3" s="61" t="str">
        <f>VLOOKUP(Tabelle1722[[#This Row],[Wäschereien gesamt]],Dropdown!$A$2:$D$4,4,FALSE)</f>
        <v>-</v>
      </c>
      <c r="I3" s="61" t="str">
        <f>VLOOKUP(Tabelle1722[[#This Row],[produzierendes Gewerbe gesamt]],Dropdown!$A$2:$D$4,4,FALSE)</f>
        <v>-</v>
      </c>
      <c r="J3" s="61" t="str">
        <f>VLOOKUP(Tabelle1722[[#This Row],[Baugewerbe gesamt]],Dropdown!$A$2:$D$4,4,FALSE)</f>
        <v>-</v>
      </c>
      <c r="K3" s="61" t="str">
        <f>VLOOKUP(Tabelle1722[[#This Row],[Prozesskälte]],Dropdown!$A$2:$D$4,4,FALSE)</f>
        <v>X</v>
      </c>
      <c r="L3" s="61" t="str">
        <f>VLOOKUP(Tabelle1722[[#This Row],[Kühlhäuser]],Dropdown!$A$2:$D$4,4,FALSE)</f>
        <v>-</v>
      </c>
      <c r="M3" s="61" t="str">
        <f>VLOOKUP(Tabelle1722[[#This Row],[Kühlung im 
Lebensmitteleinzelhandel]],Dropdown!$A$2:$D$4,4,FALSE)</f>
        <v>-</v>
      </c>
      <c r="N3" s="61" t="str">
        <f>VLOOKUP(Tabelle1722[[#This Row],[Kühlung im Gastronomiebereich 
(Hotels, Restaurants)]],Dropdown!$A$2:$D$4,4,FALSE)</f>
        <v>-</v>
      </c>
      <c r="O3" s="61" t="str">
        <f>VLOOKUP(Tabelle1722[[#This Row],[Klimakälte]],Dropdown!$A$2:$D$4,4,FALSE)</f>
        <v>X</v>
      </c>
      <c r="P3" s="61" t="str">
        <f>VLOOKUP(Tabelle1722[[#This Row],[Warmwasserbereitstellung]],Dropdown!$A$2:$D$4,4,FALSE)</f>
        <v>X</v>
      </c>
      <c r="Q3" s="61" t="str">
        <f>VLOOKUP(Tabelle1722[[#This Row],[Raumwärme 
(elektrische Raumheizung)]],Dropdown!$A$2:$D$4,4,FALSE)</f>
        <v>X</v>
      </c>
      <c r="R3" s="61" t="str">
        <f>VLOOKUP(Tabelle1722[[#This Row],[Nachtspeicherheizungen]],Dropdown!$A$2:$D$4,4,FALSE)</f>
        <v>-</v>
      </c>
      <c r="S3" s="61" t="str">
        <f>VLOOKUP(Tabelle1722[[#This Row],[Wärmepumpen]],Dropdown!$A$2:$D$4,4,FALSE)</f>
        <v>-</v>
      </c>
      <c r="T3" s="61" t="str">
        <f>VLOOKUP(Tabelle1722[[#This Row],[Hybrid-Wärmeerzeugungssysteme]],Dropdown!$A$2:$D$4,4,FALSE)</f>
        <v>-</v>
      </c>
      <c r="U3" s="61" t="str">
        <f>VLOOKUP(Tabelle1722[[#This Row],[Pumpenanwendungen]],Dropdown!$A$2:$D$4,4,FALSE)</f>
        <v>-</v>
      </c>
      <c r="V3" s="61" t="str">
        <f>VLOOKUP(Tabelle1722[[#This Row],[Pumpenanwendungen in der 
Wasserversorgung]],Dropdown!$A$2:$D$4,4,FALSE)</f>
        <v>-</v>
      </c>
      <c r="W3" s="61" t="str">
        <f>VLOOKUP(Tabelle1722[[#This Row],[Beleuchtung im Gartenbau]],Dropdown!$A$2:$D$4,4,FALSE)</f>
        <v>-</v>
      </c>
      <c r="X3" s="61" t="str">
        <f>VLOOKUP(Tabelle1722[[#This Row],[Belüftung]],Dropdown!$A$2:$D$4,4,FALSE)</f>
        <v>X</v>
      </c>
      <c r="Y3" s="61" t="str">
        <f>VLOOKUP(Tabelle1722[[#This Row],[Abwasserbehandlung]],Dropdown!$A$2:$D$4,4,FALSE)</f>
        <v>-</v>
      </c>
      <c r="Z3" s="61" t="str">
        <f>VLOOKUP(Tabelle1722[[#This Row],[Notstromaggregate, Back-Up-
Server und Mobilfunkstationen]],Dropdown!$A$2:$D$4,4,FALSE)</f>
        <v>-</v>
      </c>
      <c r="AA3" s="61" t="str">
        <f>VLOOKUP(Tabelle1722[[#This Row],[Prozesswärme]],Dropdown!$A$2:$D$4,4,FALSE)</f>
        <v>-</v>
      </c>
      <c r="AB3" s="61" t="str">
        <f>VLOOKUP(Tabelle1722[[#This Row],[Druckluft]],Dropdown!$A$2:$D$4,4,FALSE)</f>
        <v>-</v>
      </c>
    </row>
    <row r="4" spans="1:28" x14ac:dyDescent="0.2">
      <c r="A4" s="6">
        <v>3</v>
      </c>
      <c r="B4" s="61" t="str">
        <f>VLOOKUP(Tabelle1722[[#This Row],[Büros und Textilbetriebe gesamt]],Dropdown!$A$2:$D$4,4,FALSE)</f>
        <v>-</v>
      </c>
      <c r="C4" s="61" t="str">
        <f>VLOOKUP(Tabelle1722[[#This Row],[Handel gesamt]],Dropdown!$A$2:$D$4,4,FALSE)</f>
        <v>-</v>
      </c>
      <c r="D4" s="61" t="str">
        <f>VLOOKUP(Tabelle1722[[#This Row],[Gastgewerbe gesamt]],Dropdown!$A$2:$D$4,4,FALSE)</f>
        <v>-</v>
      </c>
      <c r="E4" s="61" t="str">
        <f>VLOOKUP(Tabelle1722[[#This Row],[Landwirtschaft gesamt]],Dropdown!$A$2:$D$4,4,FALSE)</f>
        <v>-</v>
      </c>
      <c r="F4" s="61" t="str">
        <f>VLOOKUP(Tabelle1722[[#This Row],[Gartenbau gesamt]],Dropdown!$A$2:$D$4,4,FALSE)</f>
        <v>-</v>
      </c>
      <c r="G4" s="61" t="str">
        <f>VLOOKUP(Tabelle1722[[#This Row],[Bäder gesamt]],Dropdown!$A$2:$D$4,4,FALSE)</f>
        <v>-</v>
      </c>
      <c r="H4" s="61" t="str">
        <f>VLOOKUP(Tabelle1722[[#This Row],[Wäschereien gesamt]],Dropdown!$A$2:$D$4,4,FALSE)</f>
        <v>-</v>
      </c>
      <c r="I4" s="61" t="str">
        <f>VLOOKUP(Tabelle1722[[#This Row],[produzierendes Gewerbe gesamt]],Dropdown!$A$2:$D$4,4,FALSE)</f>
        <v>-</v>
      </c>
      <c r="J4" s="61" t="str">
        <f>VLOOKUP(Tabelle1722[[#This Row],[Baugewerbe gesamt]],Dropdown!$A$2:$D$4,4,FALSE)</f>
        <v>-</v>
      </c>
      <c r="K4" s="61" t="str">
        <f>VLOOKUP(Tabelle1722[[#This Row],[Prozesskälte]],Dropdown!$A$2:$D$4,4,FALSE)</f>
        <v>-</v>
      </c>
      <c r="L4" s="61" t="str">
        <f>VLOOKUP(Tabelle1722[[#This Row],[Kühlhäuser]],Dropdown!$A$2:$D$4,4,FALSE)</f>
        <v>-</v>
      </c>
      <c r="M4" s="61" t="str">
        <f>VLOOKUP(Tabelle1722[[#This Row],[Kühlung im 
Lebensmitteleinzelhandel]],Dropdown!$A$2:$D$4,4,FALSE)</f>
        <v>-</v>
      </c>
      <c r="N4" s="61" t="str">
        <f>VLOOKUP(Tabelle1722[[#This Row],[Kühlung im Gastronomiebereich 
(Hotels, Restaurants)]],Dropdown!$A$2:$D$4,4,FALSE)</f>
        <v>-</v>
      </c>
      <c r="O4" s="61" t="str">
        <f>VLOOKUP(Tabelle1722[[#This Row],[Klimakälte]],Dropdown!$A$2:$D$4,4,FALSE)</f>
        <v>-</v>
      </c>
      <c r="P4" s="61" t="str">
        <f>VLOOKUP(Tabelle1722[[#This Row],[Warmwasserbereitstellung]],Dropdown!$A$2:$D$4,4,FALSE)</f>
        <v>-</v>
      </c>
      <c r="Q4" s="61" t="str">
        <f>VLOOKUP(Tabelle1722[[#This Row],[Raumwärme 
(elektrische Raumheizung)]],Dropdown!$A$2:$D$4,4,FALSE)</f>
        <v>-</v>
      </c>
      <c r="R4" s="61" t="str">
        <f>VLOOKUP(Tabelle1722[[#This Row],[Nachtspeicherheizungen]],Dropdown!$A$2:$D$4,4,FALSE)</f>
        <v>-</v>
      </c>
      <c r="S4" s="61" t="str">
        <f>VLOOKUP(Tabelle1722[[#This Row],[Wärmepumpen]],Dropdown!$A$2:$D$4,4,FALSE)</f>
        <v>-</v>
      </c>
      <c r="T4" s="61" t="str">
        <f>VLOOKUP(Tabelle1722[[#This Row],[Hybrid-Wärmeerzeugungssysteme]],Dropdown!$A$2:$D$4,4,FALSE)</f>
        <v>-</v>
      </c>
      <c r="U4" s="61" t="str">
        <f>VLOOKUP(Tabelle1722[[#This Row],[Pumpenanwendungen]],Dropdown!$A$2:$D$4,4,FALSE)</f>
        <v>-</v>
      </c>
      <c r="V4" s="61" t="str">
        <f>VLOOKUP(Tabelle1722[[#This Row],[Pumpenanwendungen in der 
Wasserversorgung]],Dropdown!$A$2:$D$4,4,FALSE)</f>
        <v>-</v>
      </c>
      <c r="W4" s="61" t="str">
        <f>VLOOKUP(Tabelle1722[[#This Row],[Beleuchtung im Gartenbau]],Dropdown!$A$2:$D$4,4,FALSE)</f>
        <v>-</v>
      </c>
      <c r="X4" s="61" t="str">
        <f>VLOOKUP(Tabelle1722[[#This Row],[Belüftung]],Dropdown!$A$2:$D$4,4,FALSE)</f>
        <v>-</v>
      </c>
      <c r="Y4" s="61" t="str">
        <f>VLOOKUP(Tabelle1722[[#This Row],[Abwasserbehandlung]],Dropdown!$A$2:$D$4,4,FALSE)</f>
        <v>-</v>
      </c>
      <c r="Z4" s="61" t="str">
        <f>VLOOKUP(Tabelle1722[[#This Row],[Notstromaggregate, Back-Up-
Server und Mobilfunkstationen]],Dropdown!$A$2:$D$4,4,FALSE)</f>
        <v>-</v>
      </c>
      <c r="AA4" s="61" t="str">
        <f>VLOOKUP(Tabelle1722[[#This Row],[Prozesswärme]],Dropdown!$A$2:$D$4,4,FALSE)</f>
        <v>-</v>
      </c>
      <c r="AB4" s="61" t="str">
        <f>VLOOKUP(Tabelle1722[[#This Row],[Druckluft]],Dropdown!$A$2:$D$4,4,FALSE)</f>
        <v>-</v>
      </c>
    </row>
    <row r="5" spans="1:28" x14ac:dyDescent="0.2">
      <c r="A5" s="6">
        <v>4</v>
      </c>
      <c r="B5" s="61" t="str">
        <f>VLOOKUP(Tabelle1722[[#This Row],[Büros und Textilbetriebe gesamt]],Dropdown!$A$2:$D$4,4,FALSE)</f>
        <v>-</v>
      </c>
      <c r="C5" s="61" t="str">
        <f>VLOOKUP(Tabelle1722[[#This Row],[Handel gesamt]],Dropdown!$A$2:$D$4,4,FALSE)</f>
        <v>-</v>
      </c>
      <c r="D5" s="61" t="str">
        <f>VLOOKUP(Tabelle1722[[#This Row],[Gastgewerbe gesamt]],Dropdown!$A$2:$D$4,4,FALSE)</f>
        <v>-</v>
      </c>
      <c r="E5" s="61" t="str">
        <f>VLOOKUP(Tabelle1722[[#This Row],[Landwirtschaft gesamt]],Dropdown!$A$2:$D$4,4,FALSE)</f>
        <v>-</v>
      </c>
      <c r="F5" s="61" t="str">
        <f>VLOOKUP(Tabelle1722[[#This Row],[Gartenbau gesamt]],Dropdown!$A$2:$D$4,4,FALSE)</f>
        <v>-</v>
      </c>
      <c r="G5" s="61" t="str">
        <f>VLOOKUP(Tabelle1722[[#This Row],[Bäder gesamt]],Dropdown!$A$2:$D$4,4,FALSE)</f>
        <v>-</v>
      </c>
      <c r="H5" s="61" t="str">
        <f>VLOOKUP(Tabelle1722[[#This Row],[Wäschereien gesamt]],Dropdown!$A$2:$D$4,4,FALSE)</f>
        <v>-</v>
      </c>
      <c r="I5" s="61" t="str">
        <f>VLOOKUP(Tabelle1722[[#This Row],[produzierendes Gewerbe gesamt]],Dropdown!$A$2:$D$4,4,FALSE)</f>
        <v>-</v>
      </c>
      <c r="J5" s="61" t="str">
        <f>VLOOKUP(Tabelle1722[[#This Row],[Baugewerbe gesamt]],Dropdown!$A$2:$D$4,4,FALSE)</f>
        <v>-</v>
      </c>
      <c r="K5" s="61" t="str">
        <f>VLOOKUP(Tabelle1722[[#This Row],[Prozesskälte]],Dropdown!$A$2:$D$4,4,FALSE)</f>
        <v>X</v>
      </c>
      <c r="L5" s="61" t="str">
        <f>VLOOKUP(Tabelle1722[[#This Row],[Kühlhäuser]],Dropdown!$A$2:$D$4,4,FALSE)</f>
        <v>X</v>
      </c>
      <c r="M5" s="61" t="str">
        <f>VLOOKUP(Tabelle1722[[#This Row],[Kühlung im 
Lebensmitteleinzelhandel]],Dropdown!$A$2:$D$4,4,FALSE)</f>
        <v>-</v>
      </c>
      <c r="N5" s="61" t="str">
        <f>VLOOKUP(Tabelle1722[[#This Row],[Kühlung im Gastronomiebereich 
(Hotels, Restaurants)]],Dropdown!$A$2:$D$4,4,FALSE)</f>
        <v>-</v>
      </c>
      <c r="O5" s="61" t="str">
        <f>VLOOKUP(Tabelle1722[[#This Row],[Klimakälte]],Dropdown!$A$2:$D$4,4,FALSE)</f>
        <v>-</v>
      </c>
      <c r="P5" s="61" t="str">
        <f>VLOOKUP(Tabelle1722[[#This Row],[Warmwasserbereitstellung]],Dropdown!$A$2:$D$4,4,FALSE)</f>
        <v>-</v>
      </c>
      <c r="Q5" s="61" t="str">
        <f>VLOOKUP(Tabelle1722[[#This Row],[Raumwärme 
(elektrische Raumheizung)]],Dropdown!$A$2:$D$4,4,FALSE)</f>
        <v>X</v>
      </c>
      <c r="R5" s="61" t="str">
        <f>VLOOKUP(Tabelle1722[[#This Row],[Nachtspeicherheizungen]],Dropdown!$A$2:$D$4,4,FALSE)</f>
        <v>-</v>
      </c>
      <c r="S5" s="61" t="str">
        <f>VLOOKUP(Tabelle1722[[#This Row],[Wärmepumpen]],Dropdown!$A$2:$D$4,4,FALSE)</f>
        <v>-</v>
      </c>
      <c r="T5" s="61" t="str">
        <f>VLOOKUP(Tabelle1722[[#This Row],[Hybrid-Wärmeerzeugungssysteme]],Dropdown!$A$2:$D$4,4,FALSE)</f>
        <v>-</v>
      </c>
      <c r="U5" s="61" t="str">
        <f>VLOOKUP(Tabelle1722[[#This Row],[Pumpenanwendungen]],Dropdown!$A$2:$D$4,4,FALSE)</f>
        <v>-</v>
      </c>
      <c r="V5" s="61" t="str">
        <f>VLOOKUP(Tabelle1722[[#This Row],[Pumpenanwendungen in der 
Wasserversorgung]],Dropdown!$A$2:$D$4,4,FALSE)</f>
        <v>X</v>
      </c>
      <c r="W5" s="61" t="str">
        <f>VLOOKUP(Tabelle1722[[#This Row],[Beleuchtung im Gartenbau]],Dropdown!$A$2:$D$4,4,FALSE)</f>
        <v>X</v>
      </c>
      <c r="X5" s="61" t="str">
        <f>VLOOKUP(Tabelle1722[[#This Row],[Belüftung]],Dropdown!$A$2:$D$4,4,FALSE)</f>
        <v>-</v>
      </c>
      <c r="Y5" s="61" t="str">
        <f>VLOOKUP(Tabelle1722[[#This Row],[Abwasserbehandlung]],Dropdown!$A$2:$D$4,4,FALSE)</f>
        <v>-</v>
      </c>
      <c r="Z5" s="61" t="str">
        <f>VLOOKUP(Tabelle1722[[#This Row],[Notstromaggregate, Back-Up-
Server und Mobilfunkstationen]],Dropdown!$A$2:$D$4,4,FALSE)</f>
        <v>-</v>
      </c>
      <c r="AA5" s="61" t="str">
        <f>VLOOKUP(Tabelle1722[[#This Row],[Prozesswärme]],Dropdown!$A$2:$D$4,4,FALSE)</f>
        <v>-</v>
      </c>
      <c r="AB5" s="61" t="str">
        <f>VLOOKUP(Tabelle1722[[#This Row],[Druckluft]],Dropdown!$A$2:$D$4,4,FALSE)</f>
        <v>-</v>
      </c>
    </row>
    <row r="6" spans="1:28" x14ac:dyDescent="0.2">
      <c r="A6" s="6">
        <v>5</v>
      </c>
      <c r="B6" s="61" t="str">
        <f>VLOOKUP(Tabelle1722[[#This Row],[Büros und Textilbetriebe gesamt]],Dropdown!$A$2:$D$4,4,FALSE)</f>
        <v>-</v>
      </c>
      <c r="C6" s="61" t="str">
        <f>VLOOKUP(Tabelle1722[[#This Row],[Handel gesamt]],Dropdown!$A$2:$D$4,4,FALSE)</f>
        <v>-</v>
      </c>
      <c r="D6" s="61" t="str">
        <f>VLOOKUP(Tabelle1722[[#This Row],[Gastgewerbe gesamt]],Dropdown!$A$2:$D$4,4,FALSE)</f>
        <v>-</v>
      </c>
      <c r="E6" s="61" t="str">
        <f>VLOOKUP(Tabelle1722[[#This Row],[Landwirtschaft gesamt]],Dropdown!$A$2:$D$4,4,FALSE)</f>
        <v>-</v>
      </c>
      <c r="F6" s="61" t="str">
        <f>VLOOKUP(Tabelle1722[[#This Row],[Gartenbau gesamt]],Dropdown!$A$2:$D$4,4,FALSE)</f>
        <v>-</v>
      </c>
      <c r="G6" s="61" t="str">
        <f>VLOOKUP(Tabelle1722[[#This Row],[Bäder gesamt]],Dropdown!$A$2:$D$4,4,FALSE)</f>
        <v>-</v>
      </c>
      <c r="H6" s="61" t="str">
        <f>VLOOKUP(Tabelle1722[[#This Row],[Wäschereien gesamt]],Dropdown!$A$2:$D$4,4,FALSE)</f>
        <v>-</v>
      </c>
      <c r="I6" s="61" t="str">
        <f>VLOOKUP(Tabelle1722[[#This Row],[produzierendes Gewerbe gesamt]],Dropdown!$A$2:$D$4,4,FALSE)</f>
        <v>-</v>
      </c>
      <c r="J6" s="61" t="str">
        <f>VLOOKUP(Tabelle1722[[#This Row],[Baugewerbe gesamt]],Dropdown!$A$2:$D$4,4,FALSE)</f>
        <v>-</v>
      </c>
      <c r="K6" s="61" t="str">
        <f>VLOOKUP(Tabelle1722[[#This Row],[Prozesskälte]],Dropdown!$A$2:$D$4,4,FALSE)</f>
        <v>-</v>
      </c>
      <c r="L6" s="61" t="str">
        <f>VLOOKUP(Tabelle1722[[#This Row],[Kühlhäuser]],Dropdown!$A$2:$D$4,4,FALSE)</f>
        <v>X</v>
      </c>
      <c r="M6" s="61" t="str">
        <f>VLOOKUP(Tabelle1722[[#This Row],[Kühlung im 
Lebensmitteleinzelhandel]],Dropdown!$A$2:$D$4,4,FALSE)</f>
        <v>X</v>
      </c>
      <c r="N6" s="61" t="str">
        <f>VLOOKUP(Tabelle1722[[#This Row],[Kühlung im Gastronomiebereich 
(Hotels, Restaurants)]],Dropdown!$A$2:$D$4,4,FALSE)</f>
        <v>X</v>
      </c>
      <c r="O6" s="61" t="str">
        <f>VLOOKUP(Tabelle1722[[#This Row],[Klimakälte]],Dropdown!$A$2:$D$4,4,FALSE)</f>
        <v>X</v>
      </c>
      <c r="P6" s="61" t="str">
        <f>VLOOKUP(Tabelle1722[[#This Row],[Warmwasserbereitstellung]],Dropdown!$A$2:$D$4,4,FALSE)</f>
        <v>X</v>
      </c>
      <c r="Q6" s="61" t="str">
        <f>VLOOKUP(Tabelle1722[[#This Row],[Raumwärme 
(elektrische Raumheizung)]],Dropdown!$A$2:$D$4,4,FALSE)</f>
        <v>-</v>
      </c>
      <c r="R6" s="61" t="str">
        <f>VLOOKUP(Tabelle1722[[#This Row],[Nachtspeicherheizungen]],Dropdown!$A$2:$D$4,4,FALSE)</f>
        <v>X</v>
      </c>
      <c r="S6" s="61" t="str">
        <f>VLOOKUP(Tabelle1722[[#This Row],[Wärmepumpen]],Dropdown!$A$2:$D$4,4,FALSE)</f>
        <v>-</v>
      </c>
      <c r="T6" s="61" t="str">
        <f>VLOOKUP(Tabelle1722[[#This Row],[Hybrid-Wärmeerzeugungssysteme]],Dropdown!$A$2:$D$4,4,FALSE)</f>
        <v>-</v>
      </c>
      <c r="U6" s="61" t="str">
        <f>VLOOKUP(Tabelle1722[[#This Row],[Pumpenanwendungen]],Dropdown!$A$2:$D$4,4,FALSE)</f>
        <v>-</v>
      </c>
      <c r="V6" s="61" t="str">
        <f>VLOOKUP(Tabelle1722[[#This Row],[Pumpenanwendungen in der 
Wasserversorgung]],Dropdown!$A$2:$D$4,4,FALSE)</f>
        <v>X</v>
      </c>
      <c r="W6" s="61" t="str">
        <f>VLOOKUP(Tabelle1722[[#This Row],[Beleuchtung im Gartenbau]],Dropdown!$A$2:$D$4,4,FALSE)</f>
        <v>-</v>
      </c>
      <c r="X6" s="61" t="str">
        <f>VLOOKUP(Tabelle1722[[#This Row],[Belüftung]],Dropdown!$A$2:$D$4,4,FALSE)</f>
        <v>X</v>
      </c>
      <c r="Y6" s="61" t="str">
        <f>VLOOKUP(Tabelle1722[[#This Row],[Abwasserbehandlung]],Dropdown!$A$2:$D$4,4,FALSE)</f>
        <v>X</v>
      </c>
      <c r="Z6" s="61" t="str">
        <f>VLOOKUP(Tabelle1722[[#This Row],[Notstromaggregate, Back-Up-
Server und Mobilfunkstationen]],Dropdown!$A$2:$D$4,4,FALSE)</f>
        <v>-</v>
      </c>
      <c r="AA6" s="61" t="str">
        <f>VLOOKUP(Tabelle1722[[#This Row],[Prozesswärme]],Dropdown!$A$2:$D$4,4,FALSE)</f>
        <v>-</v>
      </c>
      <c r="AB6" s="61" t="str">
        <f>VLOOKUP(Tabelle1722[[#This Row],[Druckluft]],Dropdown!$A$2:$D$4,4,FALSE)</f>
        <v>-</v>
      </c>
    </row>
    <row r="7" spans="1:28" x14ac:dyDescent="0.2">
      <c r="A7" s="6">
        <v>6</v>
      </c>
      <c r="B7" s="61" t="str">
        <f>VLOOKUP(Tabelle1722[[#This Row],[Büros und Textilbetriebe gesamt]],Dropdown!$A$2:$D$4,4,FALSE)</f>
        <v>-</v>
      </c>
      <c r="C7" s="61" t="str">
        <f>VLOOKUP(Tabelle1722[[#This Row],[Handel gesamt]],Dropdown!$A$2:$D$4,4,FALSE)</f>
        <v>-</v>
      </c>
      <c r="D7" s="61" t="str">
        <f>VLOOKUP(Tabelle1722[[#This Row],[Gastgewerbe gesamt]],Dropdown!$A$2:$D$4,4,FALSE)</f>
        <v>-</v>
      </c>
      <c r="E7" s="61" t="str">
        <f>VLOOKUP(Tabelle1722[[#This Row],[Landwirtschaft gesamt]],Dropdown!$A$2:$D$4,4,FALSE)</f>
        <v>-</v>
      </c>
      <c r="F7" s="61" t="str">
        <f>VLOOKUP(Tabelle1722[[#This Row],[Gartenbau gesamt]],Dropdown!$A$2:$D$4,4,FALSE)</f>
        <v>-</v>
      </c>
      <c r="G7" s="61" t="str">
        <f>VLOOKUP(Tabelle1722[[#This Row],[Bäder gesamt]],Dropdown!$A$2:$D$4,4,FALSE)</f>
        <v>-</v>
      </c>
      <c r="H7" s="61" t="str">
        <f>VLOOKUP(Tabelle1722[[#This Row],[Wäschereien gesamt]],Dropdown!$A$2:$D$4,4,FALSE)</f>
        <v>-</v>
      </c>
      <c r="I7" s="61" t="str">
        <f>VLOOKUP(Tabelle1722[[#This Row],[produzierendes Gewerbe gesamt]],Dropdown!$A$2:$D$4,4,FALSE)</f>
        <v>-</v>
      </c>
      <c r="J7" s="61" t="str">
        <f>VLOOKUP(Tabelle1722[[#This Row],[Baugewerbe gesamt]],Dropdown!$A$2:$D$4,4,FALSE)</f>
        <v>-</v>
      </c>
      <c r="K7" s="61" t="str">
        <f>VLOOKUP(Tabelle1722[[#This Row],[Prozesskälte]],Dropdown!$A$2:$D$4,4,FALSE)</f>
        <v>X</v>
      </c>
      <c r="L7" s="61" t="str">
        <f>VLOOKUP(Tabelle1722[[#This Row],[Kühlhäuser]],Dropdown!$A$2:$D$4,4,FALSE)</f>
        <v>-</v>
      </c>
      <c r="M7" s="61" t="str">
        <f>VLOOKUP(Tabelle1722[[#This Row],[Kühlung im 
Lebensmitteleinzelhandel]],Dropdown!$A$2:$D$4,4,FALSE)</f>
        <v>-</v>
      </c>
      <c r="N7" s="61" t="str">
        <f>VLOOKUP(Tabelle1722[[#This Row],[Kühlung im Gastronomiebereich 
(Hotels, Restaurants)]],Dropdown!$A$2:$D$4,4,FALSE)</f>
        <v>-</v>
      </c>
      <c r="O7" s="61" t="str">
        <f>VLOOKUP(Tabelle1722[[#This Row],[Klimakälte]],Dropdown!$A$2:$D$4,4,FALSE)</f>
        <v>X</v>
      </c>
      <c r="P7" s="61" t="str">
        <f>VLOOKUP(Tabelle1722[[#This Row],[Warmwasserbereitstellung]],Dropdown!$A$2:$D$4,4,FALSE)</f>
        <v>-</v>
      </c>
      <c r="Q7" s="61" t="str">
        <f>VLOOKUP(Tabelle1722[[#This Row],[Raumwärme 
(elektrische Raumheizung)]],Dropdown!$A$2:$D$4,4,FALSE)</f>
        <v>-</v>
      </c>
      <c r="R7" s="61" t="str">
        <f>VLOOKUP(Tabelle1722[[#This Row],[Nachtspeicherheizungen]],Dropdown!$A$2:$D$4,4,FALSE)</f>
        <v>-</v>
      </c>
      <c r="S7" s="61" t="str">
        <f>VLOOKUP(Tabelle1722[[#This Row],[Wärmepumpen]],Dropdown!$A$2:$D$4,4,FALSE)</f>
        <v>-</v>
      </c>
      <c r="T7" s="61" t="str">
        <f>VLOOKUP(Tabelle1722[[#This Row],[Hybrid-Wärmeerzeugungssysteme]],Dropdown!$A$2:$D$4,4,FALSE)</f>
        <v>-</v>
      </c>
      <c r="U7" s="61" t="str">
        <f>VLOOKUP(Tabelle1722[[#This Row],[Pumpenanwendungen]],Dropdown!$A$2:$D$4,4,FALSE)</f>
        <v>-</v>
      </c>
      <c r="V7" s="61" t="str">
        <f>VLOOKUP(Tabelle1722[[#This Row],[Pumpenanwendungen in der 
Wasserversorgung]],Dropdown!$A$2:$D$4,4,FALSE)</f>
        <v>-</v>
      </c>
      <c r="W7" s="61" t="str">
        <f>VLOOKUP(Tabelle1722[[#This Row],[Beleuchtung im Gartenbau]],Dropdown!$A$2:$D$4,4,FALSE)</f>
        <v>-</v>
      </c>
      <c r="X7" s="61" t="str">
        <f>VLOOKUP(Tabelle1722[[#This Row],[Belüftung]],Dropdown!$A$2:$D$4,4,FALSE)</f>
        <v>-</v>
      </c>
      <c r="Y7" s="61" t="str">
        <f>VLOOKUP(Tabelle1722[[#This Row],[Abwasserbehandlung]],Dropdown!$A$2:$D$4,4,FALSE)</f>
        <v>-</v>
      </c>
      <c r="Z7" s="61" t="str">
        <f>VLOOKUP(Tabelle1722[[#This Row],[Notstromaggregate, Back-Up-
Server und Mobilfunkstationen]],Dropdown!$A$2:$D$4,4,FALSE)</f>
        <v>-</v>
      </c>
      <c r="AA7" s="61" t="str">
        <f>VLOOKUP(Tabelle1722[[#This Row],[Prozesswärme]],Dropdown!$A$2:$D$4,4,FALSE)</f>
        <v>-</v>
      </c>
      <c r="AB7" s="61" t="str">
        <f>VLOOKUP(Tabelle1722[[#This Row],[Druckluft]],Dropdown!$A$2:$D$4,4,FALSE)</f>
        <v>-</v>
      </c>
    </row>
    <row r="8" spans="1:28" x14ac:dyDescent="0.2">
      <c r="A8" s="6">
        <v>7</v>
      </c>
      <c r="B8" s="61" t="str">
        <f>VLOOKUP(Tabelle1722[[#This Row],[Büros und Textilbetriebe gesamt]],Dropdown!$A$2:$D$4,4,FALSE)</f>
        <v>-</v>
      </c>
      <c r="C8" s="61" t="str">
        <f>VLOOKUP(Tabelle1722[[#This Row],[Handel gesamt]],Dropdown!$A$2:$D$4,4,FALSE)</f>
        <v>-</v>
      </c>
      <c r="D8" s="61" t="str">
        <f>VLOOKUP(Tabelle1722[[#This Row],[Gastgewerbe gesamt]],Dropdown!$A$2:$D$4,4,FALSE)</f>
        <v>-</v>
      </c>
      <c r="E8" s="61" t="str">
        <f>VLOOKUP(Tabelle1722[[#This Row],[Landwirtschaft gesamt]],Dropdown!$A$2:$D$4,4,FALSE)</f>
        <v>-</v>
      </c>
      <c r="F8" s="61" t="str">
        <f>VLOOKUP(Tabelle1722[[#This Row],[Gartenbau gesamt]],Dropdown!$A$2:$D$4,4,FALSE)</f>
        <v>-</v>
      </c>
      <c r="G8" s="61" t="str">
        <f>VLOOKUP(Tabelle1722[[#This Row],[Bäder gesamt]],Dropdown!$A$2:$D$4,4,FALSE)</f>
        <v>-</v>
      </c>
      <c r="H8" s="61" t="str">
        <f>VLOOKUP(Tabelle1722[[#This Row],[Wäschereien gesamt]],Dropdown!$A$2:$D$4,4,FALSE)</f>
        <v>-</v>
      </c>
      <c r="I8" s="61" t="str">
        <f>VLOOKUP(Tabelle1722[[#This Row],[produzierendes Gewerbe gesamt]],Dropdown!$A$2:$D$4,4,FALSE)</f>
        <v>-</v>
      </c>
      <c r="J8" s="61" t="str">
        <f>VLOOKUP(Tabelle1722[[#This Row],[Baugewerbe gesamt]],Dropdown!$A$2:$D$4,4,FALSE)</f>
        <v>-</v>
      </c>
      <c r="K8" s="61" t="str">
        <f>VLOOKUP(Tabelle1722[[#This Row],[Prozesskälte]],Dropdown!$A$2:$D$4,4,FALSE)</f>
        <v>X</v>
      </c>
      <c r="L8" s="61" t="str">
        <f>VLOOKUP(Tabelle1722[[#This Row],[Kühlhäuser]],Dropdown!$A$2:$D$4,4,FALSE)</f>
        <v>X</v>
      </c>
      <c r="M8" s="61" t="str">
        <f>VLOOKUP(Tabelle1722[[#This Row],[Kühlung im 
Lebensmitteleinzelhandel]],Dropdown!$A$2:$D$4,4,FALSE)</f>
        <v>X</v>
      </c>
      <c r="N8" s="61" t="str">
        <f>VLOOKUP(Tabelle1722[[#This Row],[Kühlung im Gastronomiebereich 
(Hotels, Restaurants)]],Dropdown!$A$2:$D$4,4,FALSE)</f>
        <v>-</v>
      </c>
      <c r="O8" s="61" t="str">
        <f>VLOOKUP(Tabelle1722[[#This Row],[Klimakälte]],Dropdown!$A$2:$D$4,4,FALSE)</f>
        <v>X</v>
      </c>
      <c r="P8" s="61" t="str">
        <f>VLOOKUP(Tabelle1722[[#This Row],[Warmwasserbereitstellung]],Dropdown!$A$2:$D$4,4,FALSE)</f>
        <v>X</v>
      </c>
      <c r="Q8" s="61" t="str">
        <f>VLOOKUP(Tabelle1722[[#This Row],[Raumwärme 
(elektrische Raumheizung)]],Dropdown!$A$2:$D$4,4,FALSE)</f>
        <v>-</v>
      </c>
      <c r="R8" s="61" t="str">
        <f>VLOOKUP(Tabelle1722[[#This Row],[Nachtspeicherheizungen]],Dropdown!$A$2:$D$4,4,FALSE)</f>
        <v>X</v>
      </c>
      <c r="S8" s="61" t="str">
        <f>VLOOKUP(Tabelle1722[[#This Row],[Wärmepumpen]],Dropdown!$A$2:$D$4,4,FALSE)</f>
        <v>-</v>
      </c>
      <c r="T8" s="61" t="str">
        <f>VLOOKUP(Tabelle1722[[#This Row],[Hybrid-Wärmeerzeugungssysteme]],Dropdown!$A$2:$D$4,4,FALSE)</f>
        <v>-</v>
      </c>
      <c r="U8" s="61" t="str">
        <f>VLOOKUP(Tabelle1722[[#This Row],[Pumpenanwendungen]],Dropdown!$A$2:$D$4,4,FALSE)</f>
        <v>-</v>
      </c>
      <c r="V8" s="61" t="str">
        <f>VLOOKUP(Tabelle1722[[#This Row],[Pumpenanwendungen in der 
Wasserversorgung]],Dropdown!$A$2:$D$4,4,FALSE)</f>
        <v>-</v>
      </c>
      <c r="W8" s="61" t="str">
        <f>VLOOKUP(Tabelle1722[[#This Row],[Beleuchtung im Gartenbau]],Dropdown!$A$2:$D$4,4,FALSE)</f>
        <v>-</v>
      </c>
      <c r="X8" s="61" t="str">
        <f>VLOOKUP(Tabelle1722[[#This Row],[Belüftung]],Dropdown!$A$2:$D$4,4,FALSE)</f>
        <v>-</v>
      </c>
      <c r="Y8" s="61" t="str">
        <f>VLOOKUP(Tabelle1722[[#This Row],[Abwasserbehandlung]],Dropdown!$A$2:$D$4,4,FALSE)</f>
        <v>-</v>
      </c>
      <c r="Z8" s="61" t="str">
        <f>VLOOKUP(Tabelle1722[[#This Row],[Notstromaggregate, Back-Up-
Server und Mobilfunkstationen]],Dropdown!$A$2:$D$4,4,FALSE)</f>
        <v>-</v>
      </c>
      <c r="AA8" s="61" t="str">
        <f>VLOOKUP(Tabelle1722[[#This Row],[Prozesswärme]],Dropdown!$A$2:$D$4,4,FALSE)</f>
        <v>-</v>
      </c>
      <c r="AB8" s="61" t="str">
        <f>VLOOKUP(Tabelle1722[[#This Row],[Druckluft]],Dropdown!$A$2:$D$4,4,FALSE)</f>
        <v>-</v>
      </c>
    </row>
    <row r="9" spans="1:28" x14ac:dyDescent="0.2">
      <c r="A9" s="6">
        <v>8</v>
      </c>
      <c r="B9" s="61" t="str">
        <f>VLOOKUP(Tabelle1722[[#This Row],[Büros und Textilbetriebe gesamt]],Dropdown!$A$2:$D$4,4,FALSE)</f>
        <v>-</v>
      </c>
      <c r="C9" s="61" t="str">
        <f>VLOOKUP(Tabelle1722[[#This Row],[Handel gesamt]],Dropdown!$A$2:$D$4,4,FALSE)</f>
        <v>-</v>
      </c>
      <c r="D9" s="61" t="str">
        <f>VLOOKUP(Tabelle1722[[#This Row],[Gastgewerbe gesamt]],Dropdown!$A$2:$D$4,4,FALSE)</f>
        <v>-</v>
      </c>
      <c r="E9" s="61" t="str">
        <f>VLOOKUP(Tabelle1722[[#This Row],[Landwirtschaft gesamt]],Dropdown!$A$2:$D$4,4,FALSE)</f>
        <v>-</v>
      </c>
      <c r="F9" s="61" t="str">
        <f>VLOOKUP(Tabelle1722[[#This Row],[Gartenbau gesamt]],Dropdown!$A$2:$D$4,4,FALSE)</f>
        <v>-</v>
      </c>
      <c r="G9" s="61" t="str">
        <f>VLOOKUP(Tabelle1722[[#This Row],[Bäder gesamt]],Dropdown!$A$2:$D$4,4,FALSE)</f>
        <v>-</v>
      </c>
      <c r="H9" s="61" t="str">
        <f>VLOOKUP(Tabelle1722[[#This Row],[Wäschereien gesamt]],Dropdown!$A$2:$D$4,4,FALSE)</f>
        <v>-</v>
      </c>
      <c r="I9" s="61" t="str">
        <f>VLOOKUP(Tabelle1722[[#This Row],[produzierendes Gewerbe gesamt]],Dropdown!$A$2:$D$4,4,FALSE)</f>
        <v>-</v>
      </c>
      <c r="J9" s="61" t="str">
        <f>VLOOKUP(Tabelle1722[[#This Row],[Baugewerbe gesamt]],Dropdown!$A$2:$D$4,4,FALSE)</f>
        <v>-</v>
      </c>
      <c r="K9" s="61" t="str">
        <f>VLOOKUP(Tabelle1722[[#This Row],[Prozesskälte]],Dropdown!$A$2:$D$4,4,FALSE)</f>
        <v>-</v>
      </c>
      <c r="L9" s="61" t="str">
        <f>VLOOKUP(Tabelle1722[[#This Row],[Kühlhäuser]],Dropdown!$A$2:$D$4,4,FALSE)</f>
        <v>-</v>
      </c>
      <c r="M9" s="61" t="str">
        <f>VLOOKUP(Tabelle1722[[#This Row],[Kühlung im 
Lebensmitteleinzelhandel]],Dropdown!$A$2:$D$4,4,FALSE)</f>
        <v>-</v>
      </c>
      <c r="N9" s="61" t="str">
        <f>VLOOKUP(Tabelle1722[[#This Row],[Kühlung im Gastronomiebereich 
(Hotels, Restaurants)]],Dropdown!$A$2:$D$4,4,FALSE)</f>
        <v>-</v>
      </c>
      <c r="O9" s="61" t="str">
        <f>VLOOKUP(Tabelle1722[[#This Row],[Klimakälte]],Dropdown!$A$2:$D$4,4,FALSE)</f>
        <v>-</v>
      </c>
      <c r="P9" s="61" t="str">
        <f>VLOOKUP(Tabelle1722[[#This Row],[Warmwasserbereitstellung]],Dropdown!$A$2:$D$4,4,FALSE)</f>
        <v>-</v>
      </c>
      <c r="Q9" s="61" t="str">
        <f>VLOOKUP(Tabelle1722[[#This Row],[Raumwärme 
(elektrische Raumheizung)]],Dropdown!$A$2:$D$4,4,FALSE)</f>
        <v>-</v>
      </c>
      <c r="R9" s="61" t="str">
        <f>VLOOKUP(Tabelle1722[[#This Row],[Nachtspeicherheizungen]],Dropdown!$A$2:$D$4,4,FALSE)</f>
        <v>-</v>
      </c>
      <c r="S9" s="61" t="str">
        <f>VLOOKUP(Tabelle1722[[#This Row],[Wärmepumpen]],Dropdown!$A$2:$D$4,4,FALSE)</f>
        <v>-</v>
      </c>
      <c r="T9" s="61" t="str">
        <f>VLOOKUP(Tabelle1722[[#This Row],[Hybrid-Wärmeerzeugungssysteme]],Dropdown!$A$2:$D$4,4,FALSE)</f>
        <v>-</v>
      </c>
      <c r="U9" s="61" t="str">
        <f>VLOOKUP(Tabelle1722[[#This Row],[Pumpenanwendungen]],Dropdown!$A$2:$D$4,4,FALSE)</f>
        <v>-</v>
      </c>
      <c r="V9" s="61" t="str">
        <f>VLOOKUP(Tabelle1722[[#This Row],[Pumpenanwendungen in der 
Wasserversorgung]],Dropdown!$A$2:$D$4,4,FALSE)</f>
        <v>-</v>
      </c>
      <c r="W9" s="61" t="str">
        <f>VLOOKUP(Tabelle1722[[#This Row],[Beleuchtung im Gartenbau]],Dropdown!$A$2:$D$4,4,FALSE)</f>
        <v>-</v>
      </c>
      <c r="X9" s="61" t="str">
        <f>VLOOKUP(Tabelle1722[[#This Row],[Belüftung]],Dropdown!$A$2:$D$4,4,FALSE)</f>
        <v>-</v>
      </c>
      <c r="Y9" s="61" t="str">
        <f>VLOOKUP(Tabelle1722[[#This Row],[Abwasserbehandlung]],Dropdown!$A$2:$D$4,4,FALSE)</f>
        <v>-</v>
      </c>
      <c r="Z9" s="61" t="str">
        <f>VLOOKUP(Tabelle1722[[#This Row],[Notstromaggregate, Back-Up-
Server und Mobilfunkstationen]],Dropdown!$A$2:$D$4,4,FALSE)</f>
        <v>-</v>
      </c>
      <c r="AA9" s="61" t="str">
        <f>VLOOKUP(Tabelle1722[[#This Row],[Prozesswärme]],Dropdown!$A$2:$D$4,4,FALSE)</f>
        <v>-</v>
      </c>
      <c r="AB9" s="61" t="str">
        <f>VLOOKUP(Tabelle1722[[#This Row],[Druckluft]],Dropdown!$A$2:$D$4,4,FALSE)</f>
        <v>-</v>
      </c>
    </row>
    <row r="10" spans="1:28" x14ac:dyDescent="0.2">
      <c r="A10" s="6">
        <v>9</v>
      </c>
      <c r="B10" s="61" t="str">
        <f>VLOOKUP(Tabelle1722[[#This Row],[Büros und Textilbetriebe gesamt]],Dropdown!$A$2:$D$4,4,FALSE)</f>
        <v>-</v>
      </c>
      <c r="C10" s="61" t="str">
        <f>VLOOKUP(Tabelle1722[[#This Row],[Handel gesamt]],Dropdown!$A$2:$D$4,4,FALSE)</f>
        <v>-</v>
      </c>
      <c r="D10" s="61" t="str">
        <f>VLOOKUP(Tabelle1722[[#This Row],[Gastgewerbe gesamt]],Dropdown!$A$2:$D$4,4,FALSE)</f>
        <v>-</v>
      </c>
      <c r="E10" s="61" t="str">
        <f>VLOOKUP(Tabelle1722[[#This Row],[Landwirtschaft gesamt]],Dropdown!$A$2:$D$4,4,FALSE)</f>
        <v>-</v>
      </c>
      <c r="F10" s="61" t="str">
        <f>VLOOKUP(Tabelle1722[[#This Row],[Gartenbau gesamt]],Dropdown!$A$2:$D$4,4,FALSE)</f>
        <v>-</v>
      </c>
      <c r="G10" s="61" t="str">
        <f>VLOOKUP(Tabelle1722[[#This Row],[Bäder gesamt]],Dropdown!$A$2:$D$4,4,FALSE)</f>
        <v>-</v>
      </c>
      <c r="H10" s="61" t="str">
        <f>VLOOKUP(Tabelle1722[[#This Row],[Wäschereien gesamt]],Dropdown!$A$2:$D$4,4,FALSE)</f>
        <v>-</v>
      </c>
      <c r="I10" s="61" t="str">
        <f>VLOOKUP(Tabelle1722[[#This Row],[produzierendes Gewerbe gesamt]],Dropdown!$A$2:$D$4,4,FALSE)</f>
        <v>-</v>
      </c>
      <c r="J10" s="61" t="str">
        <f>VLOOKUP(Tabelle1722[[#This Row],[Baugewerbe gesamt]],Dropdown!$A$2:$D$4,4,FALSE)</f>
        <v>-</v>
      </c>
      <c r="K10" s="61" t="str">
        <f>VLOOKUP(Tabelle1722[[#This Row],[Prozesskälte]],Dropdown!$A$2:$D$4,4,FALSE)</f>
        <v>-</v>
      </c>
      <c r="L10" s="61" t="str">
        <f>VLOOKUP(Tabelle1722[[#This Row],[Kühlhäuser]],Dropdown!$A$2:$D$4,4,FALSE)</f>
        <v>-</v>
      </c>
      <c r="M10" s="61" t="str">
        <f>VLOOKUP(Tabelle1722[[#This Row],[Kühlung im 
Lebensmitteleinzelhandel]],Dropdown!$A$2:$D$4,4,FALSE)</f>
        <v>-</v>
      </c>
      <c r="N10" s="61" t="str">
        <f>VLOOKUP(Tabelle1722[[#This Row],[Kühlung im Gastronomiebereich 
(Hotels, Restaurants)]],Dropdown!$A$2:$D$4,4,FALSE)</f>
        <v>-</v>
      </c>
      <c r="O10" s="61" t="str">
        <f>VLOOKUP(Tabelle1722[[#This Row],[Klimakälte]],Dropdown!$A$2:$D$4,4,FALSE)</f>
        <v>-</v>
      </c>
      <c r="P10" s="61" t="str">
        <f>VLOOKUP(Tabelle1722[[#This Row],[Warmwasserbereitstellung]],Dropdown!$A$2:$D$4,4,FALSE)</f>
        <v>-</v>
      </c>
      <c r="Q10" s="61" t="str">
        <f>VLOOKUP(Tabelle1722[[#This Row],[Raumwärme 
(elektrische Raumheizung)]],Dropdown!$A$2:$D$4,4,FALSE)</f>
        <v>-</v>
      </c>
      <c r="R10" s="61" t="str">
        <f>VLOOKUP(Tabelle1722[[#This Row],[Nachtspeicherheizungen]],Dropdown!$A$2:$D$4,4,FALSE)</f>
        <v>-</v>
      </c>
      <c r="S10" s="61" t="str">
        <f>VLOOKUP(Tabelle1722[[#This Row],[Wärmepumpen]],Dropdown!$A$2:$D$4,4,FALSE)</f>
        <v>-</v>
      </c>
      <c r="T10" s="61" t="str">
        <f>VLOOKUP(Tabelle1722[[#This Row],[Hybrid-Wärmeerzeugungssysteme]],Dropdown!$A$2:$D$4,4,FALSE)</f>
        <v>X</v>
      </c>
      <c r="U10" s="61" t="str">
        <f>VLOOKUP(Tabelle1722[[#This Row],[Pumpenanwendungen]],Dropdown!$A$2:$D$4,4,FALSE)</f>
        <v>-</v>
      </c>
      <c r="V10" s="61" t="str">
        <f>VLOOKUP(Tabelle1722[[#This Row],[Pumpenanwendungen in der 
Wasserversorgung]],Dropdown!$A$2:$D$4,4,FALSE)</f>
        <v>-</v>
      </c>
      <c r="W10" s="61" t="str">
        <f>VLOOKUP(Tabelle1722[[#This Row],[Beleuchtung im Gartenbau]],Dropdown!$A$2:$D$4,4,FALSE)</f>
        <v>-</v>
      </c>
      <c r="X10" s="61" t="str">
        <f>VLOOKUP(Tabelle1722[[#This Row],[Belüftung]],Dropdown!$A$2:$D$4,4,FALSE)</f>
        <v>-</v>
      </c>
      <c r="Y10" s="61" t="str">
        <f>VLOOKUP(Tabelle1722[[#This Row],[Abwasserbehandlung]],Dropdown!$A$2:$D$4,4,FALSE)</f>
        <v>-</v>
      </c>
      <c r="Z10" s="61" t="str">
        <f>VLOOKUP(Tabelle1722[[#This Row],[Notstromaggregate, Back-Up-
Server und Mobilfunkstationen]],Dropdown!$A$2:$D$4,4,FALSE)</f>
        <v>-</v>
      </c>
      <c r="AA10" s="61" t="str">
        <f>VLOOKUP(Tabelle1722[[#This Row],[Prozesswärme]],Dropdown!$A$2:$D$4,4,FALSE)</f>
        <v>-</v>
      </c>
      <c r="AB10" s="61" t="str">
        <f>VLOOKUP(Tabelle1722[[#This Row],[Druckluft]],Dropdown!$A$2:$D$4,4,FALSE)</f>
        <v>-</v>
      </c>
    </row>
    <row r="11" spans="1:28" x14ac:dyDescent="0.2">
      <c r="A11" s="6">
        <v>10</v>
      </c>
      <c r="B11" s="61" t="str">
        <f>VLOOKUP(Tabelle1722[[#This Row],[Büros und Textilbetriebe gesamt]],Dropdown!$A$2:$D$4,4,FALSE)</f>
        <v>-</v>
      </c>
      <c r="C11" s="61" t="str">
        <f>VLOOKUP(Tabelle1722[[#This Row],[Handel gesamt]],Dropdown!$A$2:$D$4,4,FALSE)</f>
        <v>-</v>
      </c>
      <c r="D11" s="61" t="str">
        <f>VLOOKUP(Tabelle1722[[#This Row],[Gastgewerbe gesamt]],Dropdown!$A$2:$D$4,4,FALSE)</f>
        <v>-</v>
      </c>
      <c r="E11" s="61" t="str">
        <f>VLOOKUP(Tabelle1722[[#This Row],[Landwirtschaft gesamt]],Dropdown!$A$2:$D$4,4,FALSE)</f>
        <v>-</v>
      </c>
      <c r="F11" s="61" t="str">
        <f>VLOOKUP(Tabelle1722[[#This Row],[Gartenbau gesamt]],Dropdown!$A$2:$D$4,4,FALSE)</f>
        <v>-</v>
      </c>
      <c r="G11" s="61" t="str">
        <f>VLOOKUP(Tabelle1722[[#This Row],[Bäder gesamt]],Dropdown!$A$2:$D$4,4,FALSE)</f>
        <v>-</v>
      </c>
      <c r="H11" s="61" t="str">
        <f>VLOOKUP(Tabelle1722[[#This Row],[Wäschereien gesamt]],Dropdown!$A$2:$D$4,4,FALSE)</f>
        <v>-</v>
      </c>
      <c r="I11" s="61" t="str">
        <f>VLOOKUP(Tabelle1722[[#This Row],[produzierendes Gewerbe gesamt]],Dropdown!$A$2:$D$4,4,FALSE)</f>
        <v>-</v>
      </c>
      <c r="J11" s="61" t="str">
        <f>VLOOKUP(Tabelle1722[[#This Row],[Baugewerbe gesamt]],Dropdown!$A$2:$D$4,4,FALSE)</f>
        <v>-</v>
      </c>
      <c r="K11" s="61" t="str">
        <f>VLOOKUP(Tabelle1722[[#This Row],[Prozesskälte]],Dropdown!$A$2:$D$4,4,FALSE)</f>
        <v>-</v>
      </c>
      <c r="L11" s="61" t="str">
        <f>VLOOKUP(Tabelle1722[[#This Row],[Kühlhäuser]],Dropdown!$A$2:$D$4,4,FALSE)</f>
        <v>-</v>
      </c>
      <c r="M11" s="61" t="str">
        <f>VLOOKUP(Tabelle1722[[#This Row],[Kühlung im 
Lebensmitteleinzelhandel]],Dropdown!$A$2:$D$4,4,FALSE)</f>
        <v>-</v>
      </c>
      <c r="N11" s="61" t="str">
        <f>VLOOKUP(Tabelle1722[[#This Row],[Kühlung im Gastronomiebereich 
(Hotels, Restaurants)]],Dropdown!$A$2:$D$4,4,FALSE)</f>
        <v>-</v>
      </c>
      <c r="O11" s="61" t="str">
        <f>VLOOKUP(Tabelle1722[[#This Row],[Klimakälte]],Dropdown!$A$2:$D$4,4,FALSE)</f>
        <v>-</v>
      </c>
      <c r="P11" s="61" t="str">
        <f>VLOOKUP(Tabelle1722[[#This Row],[Warmwasserbereitstellung]],Dropdown!$A$2:$D$4,4,FALSE)</f>
        <v>-</v>
      </c>
      <c r="Q11" s="61" t="str">
        <f>VLOOKUP(Tabelle1722[[#This Row],[Raumwärme 
(elektrische Raumheizung)]],Dropdown!$A$2:$D$4,4,FALSE)</f>
        <v>-</v>
      </c>
      <c r="R11" s="61" t="str">
        <f>VLOOKUP(Tabelle1722[[#This Row],[Nachtspeicherheizungen]],Dropdown!$A$2:$D$4,4,FALSE)</f>
        <v>-</v>
      </c>
      <c r="S11" s="61" t="str">
        <f>VLOOKUP(Tabelle1722[[#This Row],[Wärmepumpen]],Dropdown!$A$2:$D$4,4,FALSE)</f>
        <v>-</v>
      </c>
      <c r="T11" s="61" t="str">
        <f>VLOOKUP(Tabelle1722[[#This Row],[Hybrid-Wärmeerzeugungssysteme]],Dropdown!$A$2:$D$4,4,FALSE)</f>
        <v>-</v>
      </c>
      <c r="U11" s="61" t="str">
        <f>VLOOKUP(Tabelle1722[[#This Row],[Pumpenanwendungen]],Dropdown!$A$2:$D$4,4,FALSE)</f>
        <v>-</v>
      </c>
      <c r="V11" s="61" t="str">
        <f>VLOOKUP(Tabelle1722[[#This Row],[Pumpenanwendungen in der 
Wasserversorgung]],Dropdown!$A$2:$D$4,4,FALSE)</f>
        <v>-</v>
      </c>
      <c r="W11" s="61" t="str">
        <f>VLOOKUP(Tabelle1722[[#This Row],[Beleuchtung im Gartenbau]],Dropdown!$A$2:$D$4,4,FALSE)</f>
        <v>-</v>
      </c>
      <c r="X11" s="61" t="str">
        <f>VLOOKUP(Tabelle1722[[#This Row],[Belüftung]],Dropdown!$A$2:$D$4,4,FALSE)</f>
        <v>-</v>
      </c>
      <c r="Y11" s="61" t="str">
        <f>VLOOKUP(Tabelle1722[[#This Row],[Abwasserbehandlung]],Dropdown!$A$2:$D$4,4,FALSE)</f>
        <v>-</v>
      </c>
      <c r="Z11" s="61" t="str">
        <f>VLOOKUP(Tabelle1722[[#This Row],[Notstromaggregate, Back-Up-
Server und Mobilfunkstationen]],Dropdown!$A$2:$D$4,4,FALSE)</f>
        <v>-</v>
      </c>
      <c r="AA11" s="61" t="str">
        <f>VLOOKUP(Tabelle1722[[#This Row],[Prozesswärme]],Dropdown!$A$2:$D$4,4,FALSE)</f>
        <v>-</v>
      </c>
      <c r="AB11" s="61" t="str">
        <f>VLOOKUP(Tabelle1722[[#This Row],[Druckluft]],Dropdown!$A$2:$D$4,4,FALSE)</f>
        <v>-</v>
      </c>
    </row>
    <row r="12" spans="1:28" x14ac:dyDescent="0.2">
      <c r="A12" s="6">
        <v>11</v>
      </c>
      <c r="B12" s="61" t="str">
        <f>VLOOKUP(Tabelle1722[[#This Row],[Büros und Textilbetriebe gesamt]],Dropdown!$A$2:$D$4,4,FALSE)</f>
        <v>-</v>
      </c>
      <c r="C12" s="61" t="str">
        <f>VLOOKUP(Tabelle1722[[#This Row],[Handel gesamt]],Dropdown!$A$2:$D$4,4,FALSE)</f>
        <v>-</v>
      </c>
      <c r="D12" s="61" t="str">
        <f>VLOOKUP(Tabelle1722[[#This Row],[Gastgewerbe gesamt]],Dropdown!$A$2:$D$4,4,FALSE)</f>
        <v>-</v>
      </c>
      <c r="E12" s="61" t="str">
        <f>VLOOKUP(Tabelle1722[[#This Row],[Landwirtschaft gesamt]],Dropdown!$A$2:$D$4,4,FALSE)</f>
        <v>-</v>
      </c>
      <c r="F12" s="61" t="str">
        <f>VLOOKUP(Tabelle1722[[#This Row],[Gartenbau gesamt]],Dropdown!$A$2:$D$4,4,FALSE)</f>
        <v>-</v>
      </c>
      <c r="G12" s="61" t="str">
        <f>VLOOKUP(Tabelle1722[[#This Row],[Bäder gesamt]],Dropdown!$A$2:$D$4,4,FALSE)</f>
        <v>-</v>
      </c>
      <c r="H12" s="61" t="str">
        <f>VLOOKUP(Tabelle1722[[#This Row],[Wäschereien gesamt]],Dropdown!$A$2:$D$4,4,FALSE)</f>
        <v>-</v>
      </c>
      <c r="I12" s="61" t="str">
        <f>VLOOKUP(Tabelle1722[[#This Row],[produzierendes Gewerbe gesamt]],Dropdown!$A$2:$D$4,4,FALSE)</f>
        <v>-</v>
      </c>
      <c r="J12" s="61" t="str">
        <f>VLOOKUP(Tabelle1722[[#This Row],[Baugewerbe gesamt]],Dropdown!$A$2:$D$4,4,FALSE)</f>
        <v>-</v>
      </c>
      <c r="K12" s="61" t="str">
        <f>VLOOKUP(Tabelle1722[[#This Row],[Prozesskälte]],Dropdown!$A$2:$D$4,4,FALSE)</f>
        <v>X</v>
      </c>
      <c r="L12" s="61" t="str">
        <f>VLOOKUP(Tabelle1722[[#This Row],[Kühlhäuser]],Dropdown!$A$2:$D$4,4,FALSE)</f>
        <v>X</v>
      </c>
      <c r="M12" s="61" t="str">
        <f>VLOOKUP(Tabelle1722[[#This Row],[Kühlung im 
Lebensmitteleinzelhandel]],Dropdown!$A$2:$D$4,4,FALSE)</f>
        <v>X</v>
      </c>
      <c r="N12" s="61" t="str">
        <f>VLOOKUP(Tabelle1722[[#This Row],[Kühlung im Gastronomiebereich 
(Hotels, Restaurants)]],Dropdown!$A$2:$D$4,4,FALSE)</f>
        <v>-</v>
      </c>
      <c r="O12" s="61" t="str">
        <f>VLOOKUP(Tabelle1722[[#This Row],[Klimakälte]],Dropdown!$A$2:$D$4,4,FALSE)</f>
        <v>X</v>
      </c>
      <c r="P12" s="61" t="str">
        <f>VLOOKUP(Tabelle1722[[#This Row],[Warmwasserbereitstellung]],Dropdown!$A$2:$D$4,4,FALSE)</f>
        <v>X</v>
      </c>
      <c r="Q12" s="61" t="str">
        <f>VLOOKUP(Tabelle1722[[#This Row],[Raumwärme 
(elektrische Raumheizung)]],Dropdown!$A$2:$D$4,4,FALSE)</f>
        <v>-</v>
      </c>
      <c r="R12" s="61" t="str">
        <f>VLOOKUP(Tabelle1722[[#This Row],[Nachtspeicherheizungen]],Dropdown!$A$2:$D$4,4,FALSE)</f>
        <v>X</v>
      </c>
      <c r="S12" s="61" t="str">
        <f>VLOOKUP(Tabelle1722[[#This Row],[Wärmepumpen]],Dropdown!$A$2:$D$4,4,FALSE)</f>
        <v>-</v>
      </c>
      <c r="T12" s="61" t="str">
        <f>VLOOKUP(Tabelle1722[[#This Row],[Hybrid-Wärmeerzeugungssysteme]],Dropdown!$A$2:$D$4,4,FALSE)</f>
        <v>-</v>
      </c>
      <c r="U12" s="61" t="str">
        <f>VLOOKUP(Tabelle1722[[#This Row],[Pumpenanwendungen]],Dropdown!$A$2:$D$4,4,FALSE)</f>
        <v>-</v>
      </c>
      <c r="V12" s="61" t="str">
        <f>VLOOKUP(Tabelle1722[[#This Row],[Pumpenanwendungen in der 
Wasserversorgung]],Dropdown!$A$2:$D$4,4,FALSE)</f>
        <v>-</v>
      </c>
      <c r="W12" s="61" t="str">
        <f>VLOOKUP(Tabelle1722[[#This Row],[Beleuchtung im Gartenbau]],Dropdown!$A$2:$D$4,4,FALSE)</f>
        <v>-</v>
      </c>
      <c r="X12" s="61" t="str">
        <f>VLOOKUP(Tabelle1722[[#This Row],[Belüftung]],Dropdown!$A$2:$D$4,4,FALSE)</f>
        <v>X</v>
      </c>
      <c r="Y12" s="61" t="str">
        <f>VLOOKUP(Tabelle1722[[#This Row],[Abwasserbehandlung]],Dropdown!$A$2:$D$4,4,FALSE)</f>
        <v>-</v>
      </c>
      <c r="Z12" s="61" t="str">
        <f>VLOOKUP(Tabelle1722[[#This Row],[Notstromaggregate, Back-Up-
Server und Mobilfunkstationen]],Dropdown!$A$2:$D$4,4,FALSE)</f>
        <v>X</v>
      </c>
      <c r="AA12" s="61" t="str">
        <f>VLOOKUP(Tabelle1722[[#This Row],[Prozesswärme]],Dropdown!$A$2:$D$4,4,FALSE)</f>
        <v>-</v>
      </c>
      <c r="AB12" s="61" t="str">
        <f>VLOOKUP(Tabelle1722[[#This Row],[Druckluft]],Dropdown!$A$2:$D$4,4,FALSE)</f>
        <v>-</v>
      </c>
    </row>
    <row r="13" spans="1:28" x14ac:dyDescent="0.2">
      <c r="A13" s="6">
        <v>12</v>
      </c>
      <c r="B13" s="61" t="str">
        <f>VLOOKUP(Tabelle1722[[#This Row],[Büros und Textilbetriebe gesamt]],Dropdown!$A$2:$D$4,4,FALSE)</f>
        <v>-</v>
      </c>
      <c r="C13" s="61" t="str">
        <f>VLOOKUP(Tabelle1722[[#This Row],[Handel gesamt]],Dropdown!$A$2:$D$4,4,FALSE)</f>
        <v>-</v>
      </c>
      <c r="D13" s="61" t="str">
        <f>VLOOKUP(Tabelle1722[[#This Row],[Gastgewerbe gesamt]],Dropdown!$A$2:$D$4,4,FALSE)</f>
        <v>-</v>
      </c>
      <c r="E13" s="61" t="str">
        <f>VLOOKUP(Tabelle1722[[#This Row],[Landwirtschaft gesamt]],Dropdown!$A$2:$D$4,4,FALSE)</f>
        <v>-</v>
      </c>
      <c r="F13" s="61" t="str">
        <f>VLOOKUP(Tabelle1722[[#This Row],[Gartenbau gesamt]],Dropdown!$A$2:$D$4,4,FALSE)</f>
        <v>-</v>
      </c>
      <c r="G13" s="61" t="str">
        <f>VLOOKUP(Tabelle1722[[#This Row],[Bäder gesamt]],Dropdown!$A$2:$D$4,4,FALSE)</f>
        <v>-</v>
      </c>
      <c r="H13" s="61" t="str">
        <f>VLOOKUP(Tabelle1722[[#This Row],[Wäschereien gesamt]],Dropdown!$A$2:$D$4,4,FALSE)</f>
        <v>-</v>
      </c>
      <c r="I13" s="61" t="str">
        <f>VLOOKUP(Tabelle1722[[#This Row],[produzierendes Gewerbe gesamt]],Dropdown!$A$2:$D$4,4,FALSE)</f>
        <v>-</v>
      </c>
      <c r="J13" s="61" t="str">
        <f>VLOOKUP(Tabelle1722[[#This Row],[Baugewerbe gesamt]],Dropdown!$A$2:$D$4,4,FALSE)</f>
        <v>-</v>
      </c>
      <c r="K13" s="61" t="str">
        <f>VLOOKUP(Tabelle1722[[#This Row],[Prozesskälte]],Dropdown!$A$2:$D$4,4,FALSE)</f>
        <v>-</v>
      </c>
      <c r="L13" s="61" t="str">
        <f>VLOOKUP(Tabelle1722[[#This Row],[Kühlhäuser]],Dropdown!$A$2:$D$4,4,FALSE)</f>
        <v>-</v>
      </c>
      <c r="M13" s="61" t="str">
        <f>VLOOKUP(Tabelle1722[[#This Row],[Kühlung im 
Lebensmitteleinzelhandel]],Dropdown!$A$2:$D$4,4,FALSE)</f>
        <v>-</v>
      </c>
      <c r="N13" s="61" t="str">
        <f>VLOOKUP(Tabelle1722[[#This Row],[Kühlung im Gastronomiebereich 
(Hotels, Restaurants)]],Dropdown!$A$2:$D$4,4,FALSE)</f>
        <v>-</v>
      </c>
      <c r="O13" s="61" t="str">
        <f>VLOOKUP(Tabelle1722[[#This Row],[Klimakälte]],Dropdown!$A$2:$D$4,4,FALSE)</f>
        <v>-</v>
      </c>
      <c r="P13" s="61" t="str">
        <f>VLOOKUP(Tabelle1722[[#This Row],[Warmwasserbereitstellung]],Dropdown!$A$2:$D$4,4,FALSE)</f>
        <v>-</v>
      </c>
      <c r="Q13" s="61" t="str">
        <f>VLOOKUP(Tabelle1722[[#This Row],[Raumwärme 
(elektrische Raumheizung)]],Dropdown!$A$2:$D$4,4,FALSE)</f>
        <v>-</v>
      </c>
      <c r="R13" s="61" t="str">
        <f>VLOOKUP(Tabelle1722[[#This Row],[Nachtspeicherheizungen]],Dropdown!$A$2:$D$4,4,FALSE)</f>
        <v>-</v>
      </c>
      <c r="S13" s="61" t="str">
        <f>VLOOKUP(Tabelle1722[[#This Row],[Wärmepumpen]],Dropdown!$A$2:$D$4,4,FALSE)</f>
        <v>-</v>
      </c>
      <c r="T13" s="61" t="str">
        <f>VLOOKUP(Tabelle1722[[#This Row],[Hybrid-Wärmeerzeugungssysteme]],Dropdown!$A$2:$D$4,4,FALSE)</f>
        <v>-</v>
      </c>
      <c r="U13" s="61" t="str">
        <f>VLOOKUP(Tabelle1722[[#This Row],[Pumpenanwendungen]],Dropdown!$A$2:$D$4,4,FALSE)</f>
        <v>-</v>
      </c>
      <c r="V13" s="61" t="str">
        <f>VLOOKUP(Tabelle1722[[#This Row],[Pumpenanwendungen in der 
Wasserversorgung]],Dropdown!$A$2:$D$4,4,FALSE)</f>
        <v>-</v>
      </c>
      <c r="W13" s="61" t="str">
        <f>VLOOKUP(Tabelle1722[[#This Row],[Beleuchtung im Gartenbau]],Dropdown!$A$2:$D$4,4,FALSE)</f>
        <v>-</v>
      </c>
      <c r="X13" s="61" t="str">
        <f>VLOOKUP(Tabelle1722[[#This Row],[Belüftung]],Dropdown!$A$2:$D$4,4,FALSE)</f>
        <v>-</v>
      </c>
      <c r="Y13" s="61" t="str">
        <f>VLOOKUP(Tabelle1722[[#This Row],[Abwasserbehandlung]],Dropdown!$A$2:$D$4,4,FALSE)</f>
        <v>-</v>
      </c>
      <c r="Z13" s="61" t="str">
        <f>VLOOKUP(Tabelle1722[[#This Row],[Notstromaggregate, Back-Up-
Server und Mobilfunkstationen]],Dropdown!$A$2:$D$4,4,FALSE)</f>
        <v>-</v>
      </c>
      <c r="AA13" s="61" t="str">
        <f>VLOOKUP(Tabelle1722[[#This Row],[Prozesswärme]],Dropdown!$A$2:$D$4,4,FALSE)</f>
        <v>-</v>
      </c>
      <c r="AB13" s="61" t="str">
        <f>VLOOKUP(Tabelle1722[[#This Row],[Druckluft]],Dropdown!$A$2:$D$4,4,FALSE)</f>
        <v>-</v>
      </c>
    </row>
    <row r="14" spans="1:28" x14ac:dyDescent="0.2">
      <c r="A14" s="6">
        <v>13</v>
      </c>
      <c r="B14" s="61" t="str">
        <f>VLOOKUP(Tabelle1722[[#This Row],[Büros und Textilbetriebe gesamt]],Dropdown!$A$2:$D$4,4,FALSE)</f>
        <v>-</v>
      </c>
      <c r="C14" s="61" t="str">
        <f>VLOOKUP(Tabelle1722[[#This Row],[Handel gesamt]],Dropdown!$A$2:$D$4,4,FALSE)</f>
        <v>-</v>
      </c>
      <c r="D14" s="61" t="str">
        <f>VLOOKUP(Tabelle1722[[#This Row],[Gastgewerbe gesamt]],Dropdown!$A$2:$D$4,4,FALSE)</f>
        <v>-</v>
      </c>
      <c r="E14" s="61" t="str">
        <f>VLOOKUP(Tabelle1722[[#This Row],[Landwirtschaft gesamt]],Dropdown!$A$2:$D$4,4,FALSE)</f>
        <v>-</v>
      </c>
      <c r="F14" s="61" t="str">
        <f>VLOOKUP(Tabelle1722[[#This Row],[Gartenbau gesamt]],Dropdown!$A$2:$D$4,4,FALSE)</f>
        <v>-</v>
      </c>
      <c r="G14" s="61" t="str">
        <f>VLOOKUP(Tabelle1722[[#This Row],[Bäder gesamt]],Dropdown!$A$2:$D$4,4,FALSE)</f>
        <v>-</v>
      </c>
      <c r="H14" s="61" t="str">
        <f>VLOOKUP(Tabelle1722[[#This Row],[Wäschereien gesamt]],Dropdown!$A$2:$D$4,4,FALSE)</f>
        <v>-</v>
      </c>
      <c r="I14" s="61" t="str">
        <f>VLOOKUP(Tabelle1722[[#This Row],[produzierendes Gewerbe gesamt]],Dropdown!$A$2:$D$4,4,FALSE)</f>
        <v>-</v>
      </c>
      <c r="J14" s="61" t="str">
        <f>VLOOKUP(Tabelle1722[[#This Row],[Baugewerbe gesamt]],Dropdown!$A$2:$D$4,4,FALSE)</f>
        <v>-</v>
      </c>
      <c r="K14" s="61" t="str">
        <f>VLOOKUP(Tabelle1722[[#This Row],[Prozesskälte]],Dropdown!$A$2:$D$4,4,FALSE)</f>
        <v>-</v>
      </c>
      <c r="L14" s="61" t="str">
        <f>VLOOKUP(Tabelle1722[[#This Row],[Kühlhäuser]],Dropdown!$A$2:$D$4,4,FALSE)</f>
        <v>-</v>
      </c>
      <c r="M14" s="61" t="str">
        <f>VLOOKUP(Tabelle1722[[#This Row],[Kühlung im 
Lebensmitteleinzelhandel]],Dropdown!$A$2:$D$4,4,FALSE)</f>
        <v>-</v>
      </c>
      <c r="N14" s="61" t="str">
        <f>VLOOKUP(Tabelle1722[[#This Row],[Kühlung im Gastronomiebereich 
(Hotels, Restaurants)]],Dropdown!$A$2:$D$4,4,FALSE)</f>
        <v>-</v>
      </c>
      <c r="O14" s="61" t="str">
        <f>VLOOKUP(Tabelle1722[[#This Row],[Klimakälte]],Dropdown!$A$2:$D$4,4,FALSE)</f>
        <v>-</v>
      </c>
      <c r="P14" s="61" t="str">
        <f>VLOOKUP(Tabelle1722[[#This Row],[Warmwasserbereitstellung]],Dropdown!$A$2:$D$4,4,FALSE)</f>
        <v>-</v>
      </c>
      <c r="Q14" s="61" t="str">
        <f>VLOOKUP(Tabelle1722[[#This Row],[Raumwärme 
(elektrische Raumheizung)]],Dropdown!$A$2:$D$4,4,FALSE)</f>
        <v>-</v>
      </c>
      <c r="R14" s="61" t="str">
        <f>VLOOKUP(Tabelle1722[[#This Row],[Nachtspeicherheizungen]],Dropdown!$A$2:$D$4,4,FALSE)</f>
        <v>-</v>
      </c>
      <c r="S14" s="61" t="str">
        <f>VLOOKUP(Tabelle1722[[#This Row],[Wärmepumpen]],Dropdown!$A$2:$D$4,4,FALSE)</f>
        <v>-</v>
      </c>
      <c r="T14" s="61" t="str">
        <f>VLOOKUP(Tabelle1722[[#This Row],[Hybrid-Wärmeerzeugungssysteme]],Dropdown!$A$2:$D$4,4,FALSE)</f>
        <v>-</v>
      </c>
      <c r="U14" s="61" t="str">
        <f>VLOOKUP(Tabelle1722[[#This Row],[Pumpenanwendungen]],Dropdown!$A$2:$D$4,4,FALSE)</f>
        <v>-</v>
      </c>
      <c r="V14" s="61" t="str">
        <f>VLOOKUP(Tabelle1722[[#This Row],[Pumpenanwendungen in der 
Wasserversorgung]],Dropdown!$A$2:$D$4,4,FALSE)</f>
        <v>-</v>
      </c>
      <c r="W14" s="61" t="str">
        <f>VLOOKUP(Tabelle1722[[#This Row],[Beleuchtung im Gartenbau]],Dropdown!$A$2:$D$4,4,FALSE)</f>
        <v>-</v>
      </c>
      <c r="X14" s="61" t="str">
        <f>VLOOKUP(Tabelle1722[[#This Row],[Belüftung]],Dropdown!$A$2:$D$4,4,FALSE)</f>
        <v>-</v>
      </c>
      <c r="Y14" s="61" t="str">
        <f>VLOOKUP(Tabelle1722[[#This Row],[Abwasserbehandlung]],Dropdown!$A$2:$D$4,4,FALSE)</f>
        <v>-</v>
      </c>
      <c r="Z14" s="61" t="str">
        <f>VLOOKUP(Tabelle1722[[#This Row],[Notstromaggregate, Back-Up-
Server und Mobilfunkstationen]],Dropdown!$A$2:$D$4,4,FALSE)</f>
        <v>-</v>
      </c>
      <c r="AA14" s="61" t="str">
        <f>VLOOKUP(Tabelle1722[[#This Row],[Prozesswärme]],Dropdown!$A$2:$D$4,4,FALSE)</f>
        <v>-</v>
      </c>
      <c r="AB14" s="61" t="str">
        <f>VLOOKUP(Tabelle1722[[#This Row],[Druckluft]],Dropdown!$A$2:$D$4,4,FALSE)</f>
        <v>-</v>
      </c>
    </row>
    <row r="15" spans="1:28" x14ac:dyDescent="0.2">
      <c r="A15" s="6">
        <v>14</v>
      </c>
      <c r="B15" s="61" t="str">
        <f>VLOOKUP(Tabelle1722[[#This Row],[Büros und Textilbetriebe gesamt]],Dropdown!$A$2:$D$4,4,FALSE)</f>
        <v>-</v>
      </c>
      <c r="C15" s="61" t="str">
        <f>VLOOKUP(Tabelle1722[[#This Row],[Handel gesamt]],Dropdown!$A$2:$D$4,4,FALSE)</f>
        <v>-</v>
      </c>
      <c r="D15" s="61" t="str">
        <f>VLOOKUP(Tabelle1722[[#This Row],[Gastgewerbe gesamt]],Dropdown!$A$2:$D$4,4,FALSE)</f>
        <v>-</v>
      </c>
      <c r="E15" s="61" t="str">
        <f>VLOOKUP(Tabelle1722[[#This Row],[Landwirtschaft gesamt]],Dropdown!$A$2:$D$4,4,FALSE)</f>
        <v>-</v>
      </c>
      <c r="F15" s="61" t="str">
        <f>VLOOKUP(Tabelle1722[[#This Row],[Gartenbau gesamt]],Dropdown!$A$2:$D$4,4,FALSE)</f>
        <v>-</v>
      </c>
      <c r="G15" s="61" t="str">
        <f>VLOOKUP(Tabelle1722[[#This Row],[Bäder gesamt]],Dropdown!$A$2:$D$4,4,FALSE)</f>
        <v>-</v>
      </c>
      <c r="H15" s="61" t="str">
        <f>VLOOKUP(Tabelle1722[[#This Row],[Wäschereien gesamt]],Dropdown!$A$2:$D$4,4,FALSE)</f>
        <v>-</v>
      </c>
      <c r="I15" s="61" t="str">
        <f>VLOOKUP(Tabelle1722[[#This Row],[produzierendes Gewerbe gesamt]],Dropdown!$A$2:$D$4,4,FALSE)</f>
        <v>-</v>
      </c>
      <c r="J15" s="61" t="str">
        <f>VLOOKUP(Tabelle1722[[#This Row],[Baugewerbe gesamt]],Dropdown!$A$2:$D$4,4,FALSE)</f>
        <v>-</v>
      </c>
      <c r="K15" s="61" t="str">
        <f>VLOOKUP(Tabelle1722[[#This Row],[Prozesskälte]],Dropdown!$A$2:$D$4,4,FALSE)</f>
        <v>X</v>
      </c>
      <c r="L15" s="61" t="str">
        <f>VLOOKUP(Tabelle1722[[#This Row],[Kühlhäuser]],Dropdown!$A$2:$D$4,4,FALSE)</f>
        <v>-</v>
      </c>
      <c r="M15" s="61" t="str">
        <f>VLOOKUP(Tabelle1722[[#This Row],[Kühlung im 
Lebensmitteleinzelhandel]],Dropdown!$A$2:$D$4,4,FALSE)</f>
        <v>-</v>
      </c>
      <c r="N15" s="61" t="str">
        <f>VLOOKUP(Tabelle1722[[#This Row],[Kühlung im Gastronomiebereich 
(Hotels, Restaurants)]],Dropdown!$A$2:$D$4,4,FALSE)</f>
        <v>-</v>
      </c>
      <c r="O15" s="61" t="str">
        <f>VLOOKUP(Tabelle1722[[#This Row],[Klimakälte]],Dropdown!$A$2:$D$4,4,FALSE)</f>
        <v>X</v>
      </c>
      <c r="P15" s="61" t="str">
        <f>VLOOKUP(Tabelle1722[[#This Row],[Warmwasserbereitstellung]],Dropdown!$A$2:$D$4,4,FALSE)</f>
        <v>-</v>
      </c>
      <c r="Q15" s="61" t="str">
        <f>VLOOKUP(Tabelle1722[[#This Row],[Raumwärme 
(elektrische Raumheizung)]],Dropdown!$A$2:$D$4,4,FALSE)</f>
        <v>-</v>
      </c>
      <c r="R15" s="61" t="str">
        <f>VLOOKUP(Tabelle1722[[#This Row],[Nachtspeicherheizungen]],Dropdown!$A$2:$D$4,4,FALSE)</f>
        <v>X</v>
      </c>
      <c r="S15" s="61" t="str">
        <f>VLOOKUP(Tabelle1722[[#This Row],[Wärmepumpen]],Dropdown!$A$2:$D$4,4,FALSE)</f>
        <v>X</v>
      </c>
      <c r="T15" s="61" t="str">
        <f>VLOOKUP(Tabelle1722[[#This Row],[Hybrid-Wärmeerzeugungssysteme]],Dropdown!$A$2:$D$4,4,FALSE)</f>
        <v>-</v>
      </c>
      <c r="U15" s="61" t="str">
        <f>VLOOKUP(Tabelle1722[[#This Row],[Pumpenanwendungen]],Dropdown!$A$2:$D$4,4,FALSE)</f>
        <v>-</v>
      </c>
      <c r="V15" s="61" t="str">
        <f>VLOOKUP(Tabelle1722[[#This Row],[Pumpenanwendungen in der 
Wasserversorgung]],Dropdown!$A$2:$D$4,4,FALSE)</f>
        <v>-</v>
      </c>
      <c r="W15" s="61" t="str">
        <f>VLOOKUP(Tabelle1722[[#This Row],[Beleuchtung im Gartenbau]],Dropdown!$A$2:$D$4,4,FALSE)</f>
        <v>-</v>
      </c>
      <c r="X15" s="61" t="str">
        <f>VLOOKUP(Tabelle1722[[#This Row],[Belüftung]],Dropdown!$A$2:$D$4,4,FALSE)</f>
        <v>X</v>
      </c>
      <c r="Y15" s="61" t="str">
        <f>VLOOKUP(Tabelle1722[[#This Row],[Abwasserbehandlung]],Dropdown!$A$2:$D$4,4,FALSE)</f>
        <v>-</v>
      </c>
      <c r="Z15" s="61" t="str">
        <f>VLOOKUP(Tabelle1722[[#This Row],[Notstromaggregate, Back-Up-
Server und Mobilfunkstationen]],Dropdown!$A$2:$D$4,4,FALSE)</f>
        <v>-</v>
      </c>
      <c r="AA15" s="61" t="str">
        <f>VLOOKUP(Tabelle1722[[#This Row],[Prozesswärme]],Dropdown!$A$2:$D$4,4,FALSE)</f>
        <v>-</v>
      </c>
      <c r="AB15" s="61" t="str">
        <f>VLOOKUP(Tabelle1722[[#This Row],[Druckluft]],Dropdown!$A$2:$D$4,4,FALSE)</f>
        <v>-</v>
      </c>
    </row>
    <row r="16" spans="1:28" x14ac:dyDescent="0.2">
      <c r="A16" s="6">
        <v>15</v>
      </c>
      <c r="B16" s="61" t="str">
        <f>VLOOKUP(Tabelle1722[[#This Row],[Büros und Textilbetriebe gesamt]],Dropdown!$A$2:$D$4,4,FALSE)</f>
        <v>-</v>
      </c>
      <c r="C16" s="61" t="str">
        <f>VLOOKUP(Tabelle1722[[#This Row],[Handel gesamt]],Dropdown!$A$2:$D$4,4,FALSE)</f>
        <v>-</v>
      </c>
      <c r="D16" s="61" t="str">
        <f>VLOOKUP(Tabelle1722[[#This Row],[Gastgewerbe gesamt]],Dropdown!$A$2:$D$4,4,FALSE)</f>
        <v>-</v>
      </c>
      <c r="E16" s="61" t="str">
        <f>VLOOKUP(Tabelle1722[[#This Row],[Landwirtschaft gesamt]],Dropdown!$A$2:$D$4,4,FALSE)</f>
        <v>-</v>
      </c>
      <c r="F16" s="61" t="str">
        <f>VLOOKUP(Tabelle1722[[#This Row],[Gartenbau gesamt]],Dropdown!$A$2:$D$4,4,FALSE)</f>
        <v>-</v>
      </c>
      <c r="G16" s="61" t="str">
        <f>VLOOKUP(Tabelle1722[[#This Row],[Bäder gesamt]],Dropdown!$A$2:$D$4,4,FALSE)</f>
        <v>-</v>
      </c>
      <c r="H16" s="61" t="str">
        <f>VLOOKUP(Tabelle1722[[#This Row],[Wäschereien gesamt]],Dropdown!$A$2:$D$4,4,FALSE)</f>
        <v>-</v>
      </c>
      <c r="I16" s="61" t="str">
        <f>VLOOKUP(Tabelle1722[[#This Row],[produzierendes Gewerbe gesamt]],Dropdown!$A$2:$D$4,4,FALSE)</f>
        <v>-</v>
      </c>
      <c r="J16" s="61" t="str">
        <f>VLOOKUP(Tabelle1722[[#This Row],[Baugewerbe gesamt]],Dropdown!$A$2:$D$4,4,FALSE)</f>
        <v>-</v>
      </c>
      <c r="K16" s="61" t="str">
        <f>VLOOKUP(Tabelle1722[[#This Row],[Prozesskälte]],Dropdown!$A$2:$D$4,4,FALSE)</f>
        <v>-</v>
      </c>
      <c r="L16" s="61" t="str">
        <f>VLOOKUP(Tabelle1722[[#This Row],[Kühlhäuser]],Dropdown!$A$2:$D$4,4,FALSE)</f>
        <v>-</v>
      </c>
      <c r="M16" s="61" t="str">
        <f>VLOOKUP(Tabelle1722[[#This Row],[Kühlung im 
Lebensmitteleinzelhandel]],Dropdown!$A$2:$D$4,4,FALSE)</f>
        <v>-</v>
      </c>
      <c r="N16" s="61" t="str">
        <f>VLOOKUP(Tabelle1722[[#This Row],[Kühlung im Gastronomiebereich 
(Hotels, Restaurants)]],Dropdown!$A$2:$D$4,4,FALSE)</f>
        <v>-</v>
      </c>
      <c r="O16" s="61" t="str">
        <f>VLOOKUP(Tabelle1722[[#This Row],[Klimakälte]],Dropdown!$A$2:$D$4,4,FALSE)</f>
        <v>-</v>
      </c>
      <c r="P16" s="61" t="str">
        <f>VLOOKUP(Tabelle1722[[#This Row],[Warmwasserbereitstellung]],Dropdown!$A$2:$D$4,4,FALSE)</f>
        <v>-</v>
      </c>
      <c r="Q16" s="61" t="str">
        <f>VLOOKUP(Tabelle1722[[#This Row],[Raumwärme 
(elektrische Raumheizung)]],Dropdown!$A$2:$D$4,4,FALSE)</f>
        <v>-</v>
      </c>
      <c r="R16" s="61" t="str">
        <f>VLOOKUP(Tabelle1722[[#This Row],[Nachtspeicherheizungen]],Dropdown!$A$2:$D$4,4,FALSE)</f>
        <v>-</v>
      </c>
      <c r="S16" s="61" t="str">
        <f>VLOOKUP(Tabelle1722[[#This Row],[Wärmepumpen]],Dropdown!$A$2:$D$4,4,FALSE)</f>
        <v>-</v>
      </c>
      <c r="T16" s="61" t="str">
        <f>VLOOKUP(Tabelle1722[[#This Row],[Hybrid-Wärmeerzeugungssysteme]],Dropdown!$A$2:$D$4,4,FALSE)</f>
        <v>-</v>
      </c>
      <c r="U16" s="61" t="str">
        <f>VLOOKUP(Tabelle1722[[#This Row],[Pumpenanwendungen]],Dropdown!$A$2:$D$4,4,FALSE)</f>
        <v>-</v>
      </c>
      <c r="V16" s="61" t="str">
        <f>VLOOKUP(Tabelle1722[[#This Row],[Pumpenanwendungen in der 
Wasserversorgung]],Dropdown!$A$2:$D$4,4,FALSE)</f>
        <v>-</v>
      </c>
      <c r="W16" s="61" t="str">
        <f>VLOOKUP(Tabelle1722[[#This Row],[Beleuchtung im Gartenbau]],Dropdown!$A$2:$D$4,4,FALSE)</f>
        <v>-</v>
      </c>
      <c r="X16" s="61" t="str">
        <f>VLOOKUP(Tabelle1722[[#This Row],[Belüftung]],Dropdown!$A$2:$D$4,4,FALSE)</f>
        <v>-</v>
      </c>
      <c r="Y16" s="61" t="str">
        <f>VLOOKUP(Tabelle1722[[#This Row],[Abwasserbehandlung]],Dropdown!$A$2:$D$4,4,FALSE)</f>
        <v>-</v>
      </c>
      <c r="Z16" s="61" t="str">
        <f>VLOOKUP(Tabelle1722[[#This Row],[Notstromaggregate, Back-Up-
Server und Mobilfunkstationen]],Dropdown!$A$2:$D$4,4,FALSE)</f>
        <v>-</v>
      </c>
      <c r="AA16" s="61" t="str">
        <f>VLOOKUP(Tabelle1722[[#This Row],[Prozesswärme]],Dropdown!$A$2:$D$4,4,FALSE)</f>
        <v>-</v>
      </c>
      <c r="AB16" s="61" t="str">
        <f>VLOOKUP(Tabelle1722[[#This Row],[Druckluft]],Dropdown!$A$2:$D$4,4,FALSE)</f>
        <v>-</v>
      </c>
    </row>
    <row r="17" spans="1:28" x14ac:dyDescent="0.2">
      <c r="A17" s="6">
        <v>16</v>
      </c>
      <c r="B17" s="61" t="str">
        <f>VLOOKUP(Tabelle1722[[#This Row],[Büros und Textilbetriebe gesamt]],Dropdown!$A$2:$D$4,4,FALSE)</f>
        <v>-</v>
      </c>
      <c r="C17" s="61" t="str">
        <f>VLOOKUP(Tabelle1722[[#This Row],[Handel gesamt]],Dropdown!$A$2:$D$4,4,FALSE)</f>
        <v>-</v>
      </c>
      <c r="D17" s="61" t="str">
        <f>VLOOKUP(Tabelle1722[[#This Row],[Gastgewerbe gesamt]],Dropdown!$A$2:$D$4,4,FALSE)</f>
        <v>-</v>
      </c>
      <c r="E17" s="61" t="str">
        <f>VLOOKUP(Tabelle1722[[#This Row],[Landwirtschaft gesamt]],Dropdown!$A$2:$D$4,4,FALSE)</f>
        <v>-</v>
      </c>
      <c r="F17" s="61" t="str">
        <f>VLOOKUP(Tabelle1722[[#This Row],[Gartenbau gesamt]],Dropdown!$A$2:$D$4,4,FALSE)</f>
        <v>-</v>
      </c>
      <c r="G17" s="61" t="str">
        <f>VLOOKUP(Tabelle1722[[#This Row],[Bäder gesamt]],Dropdown!$A$2:$D$4,4,FALSE)</f>
        <v>-</v>
      </c>
      <c r="H17" s="61" t="str">
        <f>VLOOKUP(Tabelle1722[[#This Row],[Wäschereien gesamt]],Dropdown!$A$2:$D$4,4,FALSE)</f>
        <v>-</v>
      </c>
      <c r="I17" s="61" t="str">
        <f>VLOOKUP(Tabelle1722[[#This Row],[produzierendes Gewerbe gesamt]],Dropdown!$A$2:$D$4,4,FALSE)</f>
        <v>-</v>
      </c>
      <c r="J17" s="61" t="str">
        <f>VLOOKUP(Tabelle1722[[#This Row],[Baugewerbe gesamt]],Dropdown!$A$2:$D$4,4,FALSE)</f>
        <v>-</v>
      </c>
      <c r="K17" s="61" t="str">
        <f>VLOOKUP(Tabelle1722[[#This Row],[Prozesskälte]],Dropdown!$A$2:$D$4,4,FALSE)</f>
        <v>-</v>
      </c>
      <c r="L17" s="61" t="str">
        <f>VLOOKUP(Tabelle1722[[#This Row],[Kühlhäuser]],Dropdown!$A$2:$D$4,4,FALSE)</f>
        <v>-</v>
      </c>
      <c r="M17" s="61" t="str">
        <f>VLOOKUP(Tabelle1722[[#This Row],[Kühlung im 
Lebensmitteleinzelhandel]],Dropdown!$A$2:$D$4,4,FALSE)</f>
        <v>-</v>
      </c>
      <c r="N17" s="61" t="str">
        <f>VLOOKUP(Tabelle1722[[#This Row],[Kühlung im Gastronomiebereich 
(Hotels, Restaurants)]],Dropdown!$A$2:$D$4,4,FALSE)</f>
        <v>-</v>
      </c>
      <c r="O17" s="61" t="str">
        <f>VLOOKUP(Tabelle1722[[#This Row],[Klimakälte]],Dropdown!$A$2:$D$4,4,FALSE)</f>
        <v>-</v>
      </c>
      <c r="P17" s="61" t="str">
        <f>VLOOKUP(Tabelle1722[[#This Row],[Warmwasserbereitstellung]],Dropdown!$A$2:$D$4,4,FALSE)</f>
        <v>-</v>
      </c>
      <c r="Q17" s="61" t="str">
        <f>VLOOKUP(Tabelle1722[[#This Row],[Raumwärme 
(elektrische Raumheizung)]],Dropdown!$A$2:$D$4,4,FALSE)</f>
        <v>-</v>
      </c>
      <c r="R17" s="61" t="str">
        <f>VLOOKUP(Tabelle1722[[#This Row],[Nachtspeicherheizungen]],Dropdown!$A$2:$D$4,4,FALSE)</f>
        <v>-</v>
      </c>
      <c r="S17" s="61" t="str">
        <f>VLOOKUP(Tabelle1722[[#This Row],[Wärmepumpen]],Dropdown!$A$2:$D$4,4,FALSE)</f>
        <v>-</v>
      </c>
      <c r="T17" s="61" t="str">
        <f>VLOOKUP(Tabelle1722[[#This Row],[Hybrid-Wärmeerzeugungssysteme]],Dropdown!$A$2:$D$4,4,FALSE)</f>
        <v>-</v>
      </c>
      <c r="U17" s="61" t="str">
        <f>VLOOKUP(Tabelle1722[[#This Row],[Pumpenanwendungen]],Dropdown!$A$2:$D$4,4,FALSE)</f>
        <v>-</v>
      </c>
      <c r="V17" s="61" t="str">
        <f>VLOOKUP(Tabelle1722[[#This Row],[Pumpenanwendungen in der 
Wasserversorgung]],Dropdown!$A$2:$D$4,4,FALSE)</f>
        <v>-</v>
      </c>
      <c r="W17" s="61" t="str">
        <f>VLOOKUP(Tabelle1722[[#This Row],[Beleuchtung im Gartenbau]],Dropdown!$A$2:$D$4,4,FALSE)</f>
        <v>-</v>
      </c>
      <c r="X17" s="61" t="str">
        <f>VLOOKUP(Tabelle1722[[#This Row],[Belüftung]],Dropdown!$A$2:$D$4,4,FALSE)</f>
        <v>-</v>
      </c>
      <c r="Y17" s="61" t="str">
        <f>VLOOKUP(Tabelle1722[[#This Row],[Abwasserbehandlung]],Dropdown!$A$2:$D$4,4,FALSE)</f>
        <v>-</v>
      </c>
      <c r="Z17" s="61" t="str">
        <f>VLOOKUP(Tabelle1722[[#This Row],[Notstromaggregate, Back-Up-
Server und Mobilfunkstationen]],Dropdown!$A$2:$D$4,4,FALSE)</f>
        <v>-</v>
      </c>
      <c r="AA17" s="61" t="str">
        <f>VLOOKUP(Tabelle1722[[#This Row],[Prozesswärme]],Dropdown!$A$2:$D$4,4,FALSE)</f>
        <v>-</v>
      </c>
      <c r="AB17" s="61" t="str">
        <f>VLOOKUP(Tabelle1722[[#This Row],[Druckluft]],Dropdown!$A$2:$D$4,4,FALSE)</f>
        <v>-</v>
      </c>
    </row>
    <row r="18" spans="1:28" x14ac:dyDescent="0.2">
      <c r="A18" s="6">
        <v>17</v>
      </c>
      <c r="B18" s="61" t="str">
        <f>VLOOKUP(Tabelle1722[[#This Row],[Büros und Textilbetriebe gesamt]],Dropdown!$A$2:$D$4,4,FALSE)</f>
        <v>-</v>
      </c>
      <c r="C18" s="61" t="str">
        <f>VLOOKUP(Tabelle1722[[#This Row],[Handel gesamt]],Dropdown!$A$2:$D$4,4,FALSE)</f>
        <v>-</v>
      </c>
      <c r="D18" s="61" t="str">
        <f>VLOOKUP(Tabelle1722[[#This Row],[Gastgewerbe gesamt]],Dropdown!$A$2:$D$4,4,FALSE)</f>
        <v>-</v>
      </c>
      <c r="E18" s="61" t="str">
        <f>VLOOKUP(Tabelle1722[[#This Row],[Landwirtschaft gesamt]],Dropdown!$A$2:$D$4,4,FALSE)</f>
        <v>-</v>
      </c>
      <c r="F18" s="61" t="str">
        <f>VLOOKUP(Tabelle1722[[#This Row],[Gartenbau gesamt]],Dropdown!$A$2:$D$4,4,FALSE)</f>
        <v>-</v>
      </c>
      <c r="G18" s="61" t="str">
        <f>VLOOKUP(Tabelle1722[[#This Row],[Bäder gesamt]],Dropdown!$A$2:$D$4,4,FALSE)</f>
        <v>-</v>
      </c>
      <c r="H18" s="61" t="str">
        <f>VLOOKUP(Tabelle1722[[#This Row],[Wäschereien gesamt]],Dropdown!$A$2:$D$4,4,FALSE)</f>
        <v>-</v>
      </c>
      <c r="I18" s="61" t="str">
        <f>VLOOKUP(Tabelle1722[[#This Row],[produzierendes Gewerbe gesamt]],Dropdown!$A$2:$D$4,4,FALSE)</f>
        <v>-</v>
      </c>
      <c r="J18" s="61" t="str">
        <f>VLOOKUP(Tabelle1722[[#This Row],[Baugewerbe gesamt]],Dropdown!$A$2:$D$4,4,FALSE)</f>
        <v>-</v>
      </c>
      <c r="K18" s="61" t="str">
        <f>VLOOKUP(Tabelle1722[[#This Row],[Prozesskälte]],Dropdown!$A$2:$D$4,4,FALSE)</f>
        <v>X</v>
      </c>
      <c r="L18" s="61" t="str">
        <f>VLOOKUP(Tabelle1722[[#This Row],[Kühlhäuser]],Dropdown!$A$2:$D$4,4,FALSE)</f>
        <v>-</v>
      </c>
      <c r="M18" s="61" t="str">
        <f>VLOOKUP(Tabelle1722[[#This Row],[Kühlung im 
Lebensmitteleinzelhandel]],Dropdown!$A$2:$D$4,4,FALSE)</f>
        <v>-</v>
      </c>
      <c r="N18" s="61" t="str">
        <f>VLOOKUP(Tabelle1722[[#This Row],[Kühlung im Gastronomiebereich 
(Hotels, Restaurants)]],Dropdown!$A$2:$D$4,4,FALSE)</f>
        <v>-</v>
      </c>
      <c r="O18" s="61" t="str">
        <f>VLOOKUP(Tabelle1722[[#This Row],[Klimakälte]],Dropdown!$A$2:$D$4,4,FALSE)</f>
        <v>X</v>
      </c>
      <c r="P18" s="61" t="str">
        <f>VLOOKUP(Tabelle1722[[#This Row],[Warmwasserbereitstellung]],Dropdown!$A$2:$D$4,4,FALSE)</f>
        <v>-</v>
      </c>
      <c r="Q18" s="61" t="str">
        <f>VLOOKUP(Tabelle1722[[#This Row],[Raumwärme 
(elektrische Raumheizung)]],Dropdown!$A$2:$D$4,4,FALSE)</f>
        <v>X</v>
      </c>
      <c r="R18" s="61" t="str">
        <f>VLOOKUP(Tabelle1722[[#This Row],[Nachtspeicherheizungen]],Dropdown!$A$2:$D$4,4,FALSE)</f>
        <v>-</v>
      </c>
      <c r="S18" s="61" t="str">
        <f>VLOOKUP(Tabelle1722[[#This Row],[Wärmepumpen]],Dropdown!$A$2:$D$4,4,FALSE)</f>
        <v>-</v>
      </c>
      <c r="T18" s="61" t="str">
        <f>VLOOKUP(Tabelle1722[[#This Row],[Hybrid-Wärmeerzeugungssysteme]],Dropdown!$A$2:$D$4,4,FALSE)</f>
        <v>-</v>
      </c>
      <c r="U18" s="61" t="str">
        <f>VLOOKUP(Tabelle1722[[#This Row],[Pumpenanwendungen]],Dropdown!$A$2:$D$4,4,FALSE)</f>
        <v>-</v>
      </c>
      <c r="V18" s="61" t="str">
        <f>VLOOKUP(Tabelle1722[[#This Row],[Pumpenanwendungen in der 
Wasserversorgung]],Dropdown!$A$2:$D$4,4,FALSE)</f>
        <v>-</v>
      </c>
      <c r="W18" s="61" t="str">
        <f>VLOOKUP(Tabelle1722[[#This Row],[Beleuchtung im Gartenbau]],Dropdown!$A$2:$D$4,4,FALSE)</f>
        <v>-</v>
      </c>
      <c r="X18" s="61" t="str">
        <f>VLOOKUP(Tabelle1722[[#This Row],[Belüftung]],Dropdown!$A$2:$D$4,4,FALSE)</f>
        <v>X</v>
      </c>
      <c r="Y18" s="61" t="str">
        <f>VLOOKUP(Tabelle1722[[#This Row],[Abwasserbehandlung]],Dropdown!$A$2:$D$4,4,FALSE)</f>
        <v>-</v>
      </c>
      <c r="Z18" s="61" t="str">
        <f>VLOOKUP(Tabelle1722[[#This Row],[Notstromaggregate, Back-Up-
Server und Mobilfunkstationen]],Dropdown!$A$2:$D$4,4,FALSE)</f>
        <v>-</v>
      </c>
      <c r="AA18" s="61" t="str">
        <f>VLOOKUP(Tabelle1722[[#This Row],[Prozesswärme]],Dropdown!$A$2:$D$4,4,FALSE)</f>
        <v>X</v>
      </c>
      <c r="AB18" s="61" t="str">
        <f>VLOOKUP(Tabelle1722[[#This Row],[Druckluft]],Dropdown!$A$2:$D$4,4,FALSE)</f>
        <v>-</v>
      </c>
    </row>
    <row r="19" spans="1:28" x14ac:dyDescent="0.2">
      <c r="A19" s="6">
        <v>18</v>
      </c>
      <c r="B19" s="61" t="str">
        <f>VLOOKUP(Tabelle1722[[#This Row],[Büros und Textilbetriebe gesamt]],Dropdown!$A$2:$D$4,4,FALSE)</f>
        <v>-</v>
      </c>
      <c r="C19" s="61" t="str">
        <f>VLOOKUP(Tabelle1722[[#This Row],[Handel gesamt]],Dropdown!$A$2:$D$4,4,FALSE)</f>
        <v>-</v>
      </c>
      <c r="D19" s="61" t="str">
        <f>VLOOKUP(Tabelle1722[[#This Row],[Gastgewerbe gesamt]],Dropdown!$A$2:$D$4,4,FALSE)</f>
        <v>-</v>
      </c>
      <c r="E19" s="61" t="str">
        <f>VLOOKUP(Tabelle1722[[#This Row],[Landwirtschaft gesamt]],Dropdown!$A$2:$D$4,4,FALSE)</f>
        <v>-</v>
      </c>
      <c r="F19" s="61" t="str">
        <f>VLOOKUP(Tabelle1722[[#This Row],[Gartenbau gesamt]],Dropdown!$A$2:$D$4,4,FALSE)</f>
        <v>-</v>
      </c>
      <c r="G19" s="61" t="str">
        <f>VLOOKUP(Tabelle1722[[#This Row],[Bäder gesamt]],Dropdown!$A$2:$D$4,4,FALSE)</f>
        <v>-</v>
      </c>
      <c r="H19" s="61" t="str">
        <f>VLOOKUP(Tabelle1722[[#This Row],[Wäschereien gesamt]],Dropdown!$A$2:$D$4,4,FALSE)</f>
        <v>-</v>
      </c>
      <c r="I19" s="61" t="str">
        <f>VLOOKUP(Tabelle1722[[#This Row],[produzierendes Gewerbe gesamt]],Dropdown!$A$2:$D$4,4,FALSE)</f>
        <v>-</v>
      </c>
      <c r="J19" s="61" t="str">
        <f>VLOOKUP(Tabelle1722[[#This Row],[Baugewerbe gesamt]],Dropdown!$A$2:$D$4,4,FALSE)</f>
        <v>-</v>
      </c>
      <c r="K19" s="61" t="str">
        <f>VLOOKUP(Tabelle1722[[#This Row],[Prozesskälte]],Dropdown!$A$2:$D$4,4,FALSE)</f>
        <v>-</v>
      </c>
      <c r="L19" s="61" t="str">
        <f>VLOOKUP(Tabelle1722[[#This Row],[Kühlhäuser]],Dropdown!$A$2:$D$4,4,FALSE)</f>
        <v>-</v>
      </c>
      <c r="M19" s="61" t="str">
        <f>VLOOKUP(Tabelle1722[[#This Row],[Kühlung im 
Lebensmitteleinzelhandel]],Dropdown!$A$2:$D$4,4,FALSE)</f>
        <v>-</v>
      </c>
      <c r="N19" s="61" t="str">
        <f>VLOOKUP(Tabelle1722[[#This Row],[Kühlung im Gastronomiebereich 
(Hotels, Restaurants)]],Dropdown!$A$2:$D$4,4,FALSE)</f>
        <v>-</v>
      </c>
      <c r="O19" s="61" t="str">
        <f>VLOOKUP(Tabelle1722[[#This Row],[Klimakälte]],Dropdown!$A$2:$D$4,4,FALSE)</f>
        <v>-</v>
      </c>
      <c r="P19" s="61" t="str">
        <f>VLOOKUP(Tabelle1722[[#This Row],[Warmwasserbereitstellung]],Dropdown!$A$2:$D$4,4,FALSE)</f>
        <v>-</v>
      </c>
      <c r="Q19" s="61" t="str">
        <f>VLOOKUP(Tabelle1722[[#This Row],[Raumwärme 
(elektrische Raumheizung)]],Dropdown!$A$2:$D$4,4,FALSE)</f>
        <v>-</v>
      </c>
      <c r="R19" s="61" t="str">
        <f>VLOOKUP(Tabelle1722[[#This Row],[Nachtspeicherheizungen]],Dropdown!$A$2:$D$4,4,FALSE)</f>
        <v>-</v>
      </c>
      <c r="S19" s="61" t="str">
        <f>VLOOKUP(Tabelle1722[[#This Row],[Wärmepumpen]],Dropdown!$A$2:$D$4,4,FALSE)</f>
        <v>-</v>
      </c>
      <c r="T19" s="61" t="str">
        <f>VLOOKUP(Tabelle1722[[#This Row],[Hybrid-Wärmeerzeugungssysteme]],Dropdown!$A$2:$D$4,4,FALSE)</f>
        <v>-</v>
      </c>
      <c r="U19" s="61" t="str">
        <f>VLOOKUP(Tabelle1722[[#This Row],[Pumpenanwendungen]],Dropdown!$A$2:$D$4,4,FALSE)</f>
        <v>-</v>
      </c>
      <c r="V19" s="61" t="str">
        <f>VLOOKUP(Tabelle1722[[#This Row],[Pumpenanwendungen in der 
Wasserversorgung]],Dropdown!$A$2:$D$4,4,FALSE)</f>
        <v>-</v>
      </c>
      <c r="W19" s="61" t="str">
        <f>VLOOKUP(Tabelle1722[[#This Row],[Beleuchtung im Gartenbau]],Dropdown!$A$2:$D$4,4,FALSE)</f>
        <v>-</v>
      </c>
      <c r="X19" s="61" t="str">
        <f>VLOOKUP(Tabelle1722[[#This Row],[Belüftung]],Dropdown!$A$2:$D$4,4,FALSE)</f>
        <v>-</v>
      </c>
      <c r="Y19" s="61" t="str">
        <f>VLOOKUP(Tabelle1722[[#This Row],[Abwasserbehandlung]],Dropdown!$A$2:$D$4,4,FALSE)</f>
        <v>-</v>
      </c>
      <c r="Z19" s="61" t="str">
        <f>VLOOKUP(Tabelle1722[[#This Row],[Notstromaggregate, Back-Up-
Server und Mobilfunkstationen]],Dropdown!$A$2:$D$4,4,FALSE)</f>
        <v>-</v>
      </c>
      <c r="AA19" s="61" t="str">
        <f>VLOOKUP(Tabelle1722[[#This Row],[Prozesswärme]],Dropdown!$A$2:$D$4,4,FALSE)</f>
        <v>-</v>
      </c>
      <c r="AB19" s="61" t="str">
        <f>VLOOKUP(Tabelle1722[[#This Row],[Druckluft]],Dropdown!$A$2:$D$4,4,FALSE)</f>
        <v>-</v>
      </c>
    </row>
    <row r="20" spans="1:28" x14ac:dyDescent="0.2">
      <c r="A20" s="6">
        <v>19</v>
      </c>
      <c r="B20" s="61" t="str">
        <f>VLOOKUP(Tabelle1722[[#This Row],[Büros und Textilbetriebe gesamt]],Dropdown!$A$2:$D$4,4,FALSE)</f>
        <v>-</v>
      </c>
      <c r="C20" s="61" t="str">
        <f>VLOOKUP(Tabelle1722[[#This Row],[Handel gesamt]],Dropdown!$A$2:$D$4,4,FALSE)</f>
        <v>-</v>
      </c>
      <c r="D20" s="61" t="str">
        <f>VLOOKUP(Tabelle1722[[#This Row],[Gastgewerbe gesamt]],Dropdown!$A$2:$D$4,4,FALSE)</f>
        <v>-</v>
      </c>
      <c r="E20" s="61" t="str">
        <f>VLOOKUP(Tabelle1722[[#This Row],[Landwirtschaft gesamt]],Dropdown!$A$2:$D$4,4,FALSE)</f>
        <v>-</v>
      </c>
      <c r="F20" s="61" t="str">
        <f>VLOOKUP(Tabelle1722[[#This Row],[Gartenbau gesamt]],Dropdown!$A$2:$D$4,4,FALSE)</f>
        <v>-</v>
      </c>
      <c r="G20" s="61" t="str">
        <f>VLOOKUP(Tabelle1722[[#This Row],[Bäder gesamt]],Dropdown!$A$2:$D$4,4,FALSE)</f>
        <v>-</v>
      </c>
      <c r="H20" s="61" t="str">
        <f>VLOOKUP(Tabelle1722[[#This Row],[Wäschereien gesamt]],Dropdown!$A$2:$D$4,4,FALSE)</f>
        <v>-</v>
      </c>
      <c r="I20" s="61" t="str">
        <f>VLOOKUP(Tabelle1722[[#This Row],[produzierendes Gewerbe gesamt]],Dropdown!$A$2:$D$4,4,FALSE)</f>
        <v>-</v>
      </c>
      <c r="J20" s="61" t="str">
        <f>VLOOKUP(Tabelle1722[[#This Row],[Baugewerbe gesamt]],Dropdown!$A$2:$D$4,4,FALSE)</f>
        <v>-</v>
      </c>
      <c r="K20" s="61" t="str">
        <f>VLOOKUP(Tabelle1722[[#This Row],[Prozesskälte]],Dropdown!$A$2:$D$4,4,FALSE)</f>
        <v>-</v>
      </c>
      <c r="L20" s="61" t="str">
        <f>VLOOKUP(Tabelle1722[[#This Row],[Kühlhäuser]],Dropdown!$A$2:$D$4,4,FALSE)</f>
        <v>-</v>
      </c>
      <c r="M20" s="61" t="str">
        <f>VLOOKUP(Tabelle1722[[#This Row],[Kühlung im 
Lebensmitteleinzelhandel]],Dropdown!$A$2:$D$4,4,FALSE)</f>
        <v>-</v>
      </c>
      <c r="N20" s="61" t="str">
        <f>VLOOKUP(Tabelle1722[[#This Row],[Kühlung im Gastronomiebereich 
(Hotels, Restaurants)]],Dropdown!$A$2:$D$4,4,FALSE)</f>
        <v>-</v>
      </c>
      <c r="O20" s="61" t="str">
        <f>VLOOKUP(Tabelle1722[[#This Row],[Klimakälte]],Dropdown!$A$2:$D$4,4,FALSE)</f>
        <v>-</v>
      </c>
      <c r="P20" s="61" t="str">
        <f>VLOOKUP(Tabelle1722[[#This Row],[Warmwasserbereitstellung]],Dropdown!$A$2:$D$4,4,FALSE)</f>
        <v>-</v>
      </c>
      <c r="Q20" s="61" t="str">
        <f>VLOOKUP(Tabelle1722[[#This Row],[Raumwärme 
(elektrische Raumheizung)]],Dropdown!$A$2:$D$4,4,FALSE)</f>
        <v>-</v>
      </c>
      <c r="R20" s="61" t="str">
        <f>VLOOKUP(Tabelle1722[[#This Row],[Nachtspeicherheizungen]],Dropdown!$A$2:$D$4,4,FALSE)</f>
        <v>-</v>
      </c>
      <c r="S20" s="61" t="str">
        <f>VLOOKUP(Tabelle1722[[#This Row],[Wärmepumpen]],Dropdown!$A$2:$D$4,4,FALSE)</f>
        <v>-</v>
      </c>
      <c r="T20" s="61" t="str">
        <f>VLOOKUP(Tabelle1722[[#This Row],[Hybrid-Wärmeerzeugungssysteme]],Dropdown!$A$2:$D$4,4,FALSE)</f>
        <v>-</v>
      </c>
      <c r="U20" s="61" t="str">
        <f>VLOOKUP(Tabelle1722[[#This Row],[Pumpenanwendungen]],Dropdown!$A$2:$D$4,4,FALSE)</f>
        <v>X</v>
      </c>
      <c r="V20" s="61" t="str">
        <f>VLOOKUP(Tabelle1722[[#This Row],[Pumpenanwendungen in der 
Wasserversorgung]],Dropdown!$A$2:$D$4,4,FALSE)</f>
        <v>-</v>
      </c>
      <c r="W20" s="61" t="str">
        <f>VLOOKUP(Tabelle1722[[#This Row],[Beleuchtung im Gartenbau]],Dropdown!$A$2:$D$4,4,FALSE)</f>
        <v>X</v>
      </c>
      <c r="X20" s="61" t="str">
        <f>VLOOKUP(Tabelle1722[[#This Row],[Belüftung]],Dropdown!$A$2:$D$4,4,FALSE)</f>
        <v>X</v>
      </c>
      <c r="Y20" s="61" t="str">
        <f>VLOOKUP(Tabelle1722[[#This Row],[Abwasserbehandlung]],Dropdown!$A$2:$D$4,4,FALSE)</f>
        <v>-</v>
      </c>
      <c r="Z20" s="61" t="str">
        <f>VLOOKUP(Tabelle1722[[#This Row],[Notstromaggregate, Back-Up-
Server und Mobilfunkstationen]],Dropdown!$A$2:$D$4,4,FALSE)</f>
        <v>-</v>
      </c>
      <c r="AA20" s="61" t="str">
        <f>VLOOKUP(Tabelle1722[[#This Row],[Prozesswärme]],Dropdown!$A$2:$D$4,4,FALSE)</f>
        <v>-</v>
      </c>
      <c r="AB20" s="61" t="str">
        <f>VLOOKUP(Tabelle1722[[#This Row],[Druckluft]],Dropdown!$A$2:$D$4,4,FALSE)</f>
        <v>X</v>
      </c>
    </row>
    <row r="21" spans="1:28" x14ac:dyDescent="0.2">
      <c r="A21" s="6">
        <v>20</v>
      </c>
      <c r="B21" s="61" t="str">
        <f>VLOOKUP(Tabelle1722[[#This Row],[Büros und Textilbetriebe gesamt]],Dropdown!$A$2:$D$4,4,FALSE)</f>
        <v>-</v>
      </c>
      <c r="C21" s="61" t="str">
        <f>VLOOKUP(Tabelle1722[[#This Row],[Handel gesamt]],Dropdown!$A$2:$D$4,4,FALSE)</f>
        <v>-</v>
      </c>
      <c r="D21" s="61" t="str">
        <f>VLOOKUP(Tabelle1722[[#This Row],[Gastgewerbe gesamt]],Dropdown!$A$2:$D$4,4,FALSE)</f>
        <v>-</v>
      </c>
      <c r="E21" s="61" t="str">
        <f>VLOOKUP(Tabelle1722[[#This Row],[Landwirtschaft gesamt]],Dropdown!$A$2:$D$4,4,FALSE)</f>
        <v>-</v>
      </c>
      <c r="F21" s="61" t="str">
        <f>VLOOKUP(Tabelle1722[[#This Row],[Gartenbau gesamt]],Dropdown!$A$2:$D$4,4,FALSE)</f>
        <v>-</v>
      </c>
      <c r="G21" s="61" t="str">
        <f>VLOOKUP(Tabelle1722[[#This Row],[Bäder gesamt]],Dropdown!$A$2:$D$4,4,FALSE)</f>
        <v>-</v>
      </c>
      <c r="H21" s="61" t="str">
        <f>VLOOKUP(Tabelle1722[[#This Row],[Wäschereien gesamt]],Dropdown!$A$2:$D$4,4,FALSE)</f>
        <v>-</v>
      </c>
      <c r="I21" s="61" t="str">
        <f>VLOOKUP(Tabelle1722[[#This Row],[produzierendes Gewerbe gesamt]],Dropdown!$A$2:$D$4,4,FALSE)</f>
        <v>-</v>
      </c>
      <c r="J21" s="61" t="str">
        <f>VLOOKUP(Tabelle1722[[#This Row],[Baugewerbe gesamt]],Dropdown!$A$2:$D$4,4,FALSE)</f>
        <v>-</v>
      </c>
      <c r="K21" s="61" t="str">
        <f>VLOOKUP(Tabelle1722[[#This Row],[Prozesskälte]],Dropdown!$A$2:$D$4,4,FALSE)</f>
        <v>-</v>
      </c>
      <c r="L21" s="61" t="str">
        <f>VLOOKUP(Tabelle1722[[#This Row],[Kühlhäuser]],Dropdown!$A$2:$D$4,4,FALSE)</f>
        <v>-</v>
      </c>
      <c r="M21" s="61" t="str">
        <f>VLOOKUP(Tabelle1722[[#This Row],[Kühlung im 
Lebensmitteleinzelhandel]],Dropdown!$A$2:$D$4,4,FALSE)</f>
        <v>-</v>
      </c>
      <c r="N21" s="61" t="str">
        <f>VLOOKUP(Tabelle1722[[#This Row],[Kühlung im Gastronomiebereich 
(Hotels, Restaurants)]],Dropdown!$A$2:$D$4,4,FALSE)</f>
        <v>-</v>
      </c>
      <c r="O21" s="61" t="str">
        <f>VLOOKUP(Tabelle1722[[#This Row],[Klimakälte]],Dropdown!$A$2:$D$4,4,FALSE)</f>
        <v>-</v>
      </c>
      <c r="P21" s="61" t="str">
        <f>VLOOKUP(Tabelle1722[[#This Row],[Warmwasserbereitstellung]],Dropdown!$A$2:$D$4,4,FALSE)</f>
        <v>-</v>
      </c>
      <c r="Q21" s="61" t="str">
        <f>VLOOKUP(Tabelle1722[[#This Row],[Raumwärme 
(elektrische Raumheizung)]],Dropdown!$A$2:$D$4,4,FALSE)</f>
        <v>-</v>
      </c>
      <c r="R21" s="61" t="str">
        <f>VLOOKUP(Tabelle1722[[#This Row],[Nachtspeicherheizungen]],Dropdown!$A$2:$D$4,4,FALSE)</f>
        <v>-</v>
      </c>
      <c r="S21" s="61" t="str">
        <f>VLOOKUP(Tabelle1722[[#This Row],[Wärmepumpen]],Dropdown!$A$2:$D$4,4,FALSE)</f>
        <v>-</v>
      </c>
      <c r="T21" s="61" t="str">
        <f>VLOOKUP(Tabelle1722[[#This Row],[Hybrid-Wärmeerzeugungssysteme]],Dropdown!$A$2:$D$4,4,FALSE)</f>
        <v>-</v>
      </c>
      <c r="U21" s="61" t="str">
        <f>VLOOKUP(Tabelle1722[[#This Row],[Pumpenanwendungen]],Dropdown!$A$2:$D$4,4,FALSE)</f>
        <v>-</v>
      </c>
      <c r="V21" s="61" t="str">
        <f>VLOOKUP(Tabelle1722[[#This Row],[Pumpenanwendungen in der 
Wasserversorgung]],Dropdown!$A$2:$D$4,4,FALSE)</f>
        <v>-</v>
      </c>
      <c r="W21" s="61" t="str">
        <f>VLOOKUP(Tabelle1722[[#This Row],[Beleuchtung im Gartenbau]],Dropdown!$A$2:$D$4,4,FALSE)</f>
        <v>-</v>
      </c>
      <c r="X21" s="61" t="str">
        <f>VLOOKUP(Tabelle1722[[#This Row],[Belüftung]],Dropdown!$A$2:$D$4,4,FALSE)</f>
        <v>-</v>
      </c>
      <c r="Y21" s="61" t="str">
        <f>VLOOKUP(Tabelle1722[[#This Row],[Abwasserbehandlung]],Dropdown!$A$2:$D$4,4,FALSE)</f>
        <v>-</v>
      </c>
      <c r="Z21" s="61" t="str">
        <f>VLOOKUP(Tabelle1722[[#This Row],[Notstromaggregate, Back-Up-
Server und Mobilfunkstationen]],Dropdown!$A$2:$D$4,4,FALSE)</f>
        <v>-</v>
      </c>
      <c r="AA21" s="61" t="str">
        <f>VLOOKUP(Tabelle1722[[#This Row],[Prozesswärme]],Dropdown!$A$2:$D$4,4,FALSE)</f>
        <v>-</v>
      </c>
      <c r="AB21" s="61" t="str">
        <f>VLOOKUP(Tabelle1722[[#This Row],[Druckluft]],Dropdown!$A$2:$D$4,4,FALSE)</f>
        <v>-</v>
      </c>
    </row>
    <row r="22" spans="1:28" x14ac:dyDescent="0.2">
      <c r="A22" s="6">
        <v>21</v>
      </c>
      <c r="B22" s="61" t="str">
        <f>VLOOKUP(Tabelle1722[[#This Row],[Büros und Textilbetriebe gesamt]],Dropdown!$A$2:$D$4,4,FALSE)</f>
        <v>-</v>
      </c>
      <c r="C22" s="61" t="str">
        <f>VLOOKUP(Tabelle1722[[#This Row],[Handel gesamt]],Dropdown!$A$2:$D$4,4,FALSE)</f>
        <v>-</v>
      </c>
      <c r="D22" s="61" t="str">
        <f>VLOOKUP(Tabelle1722[[#This Row],[Gastgewerbe gesamt]],Dropdown!$A$2:$D$4,4,FALSE)</f>
        <v>-</v>
      </c>
      <c r="E22" s="61" t="str">
        <f>VLOOKUP(Tabelle1722[[#This Row],[Landwirtschaft gesamt]],Dropdown!$A$2:$D$4,4,FALSE)</f>
        <v>-</v>
      </c>
      <c r="F22" s="61" t="str">
        <f>VLOOKUP(Tabelle1722[[#This Row],[Gartenbau gesamt]],Dropdown!$A$2:$D$4,4,FALSE)</f>
        <v>-</v>
      </c>
      <c r="G22" s="61" t="str">
        <f>VLOOKUP(Tabelle1722[[#This Row],[Bäder gesamt]],Dropdown!$A$2:$D$4,4,FALSE)</f>
        <v>-</v>
      </c>
      <c r="H22" s="61" t="str">
        <f>VLOOKUP(Tabelle1722[[#This Row],[Wäschereien gesamt]],Dropdown!$A$2:$D$4,4,FALSE)</f>
        <v>-</v>
      </c>
      <c r="I22" s="61" t="str">
        <f>VLOOKUP(Tabelle1722[[#This Row],[produzierendes Gewerbe gesamt]],Dropdown!$A$2:$D$4,4,FALSE)</f>
        <v>-</v>
      </c>
      <c r="J22" s="61" t="str">
        <f>VLOOKUP(Tabelle1722[[#This Row],[Baugewerbe gesamt]],Dropdown!$A$2:$D$4,4,FALSE)</f>
        <v>-</v>
      </c>
      <c r="K22" s="61" t="str">
        <f>VLOOKUP(Tabelle1722[[#This Row],[Prozesskälte]],Dropdown!$A$2:$D$4,4,FALSE)</f>
        <v>-</v>
      </c>
      <c r="L22" s="61" t="str">
        <f>VLOOKUP(Tabelle1722[[#This Row],[Kühlhäuser]],Dropdown!$A$2:$D$4,4,FALSE)</f>
        <v>-</v>
      </c>
      <c r="M22" s="61" t="str">
        <f>VLOOKUP(Tabelle1722[[#This Row],[Kühlung im 
Lebensmitteleinzelhandel]],Dropdown!$A$2:$D$4,4,FALSE)</f>
        <v>-</v>
      </c>
      <c r="N22" s="61" t="str">
        <f>VLOOKUP(Tabelle1722[[#This Row],[Kühlung im Gastronomiebereich 
(Hotels, Restaurants)]],Dropdown!$A$2:$D$4,4,FALSE)</f>
        <v>-</v>
      </c>
      <c r="O22" s="61" t="str">
        <f>VLOOKUP(Tabelle1722[[#This Row],[Klimakälte]],Dropdown!$A$2:$D$4,4,FALSE)</f>
        <v>-</v>
      </c>
      <c r="P22" s="61" t="str">
        <f>VLOOKUP(Tabelle1722[[#This Row],[Warmwasserbereitstellung]],Dropdown!$A$2:$D$4,4,FALSE)</f>
        <v>-</v>
      </c>
      <c r="Q22" s="61" t="str">
        <f>VLOOKUP(Tabelle1722[[#This Row],[Raumwärme 
(elektrische Raumheizung)]],Dropdown!$A$2:$D$4,4,FALSE)</f>
        <v>-</v>
      </c>
      <c r="R22" s="61" t="str">
        <f>VLOOKUP(Tabelle1722[[#This Row],[Nachtspeicherheizungen]],Dropdown!$A$2:$D$4,4,FALSE)</f>
        <v>-</v>
      </c>
      <c r="S22" s="61" t="str">
        <f>VLOOKUP(Tabelle1722[[#This Row],[Wärmepumpen]],Dropdown!$A$2:$D$4,4,FALSE)</f>
        <v>-</v>
      </c>
      <c r="T22" s="61" t="str">
        <f>VLOOKUP(Tabelle1722[[#This Row],[Hybrid-Wärmeerzeugungssysteme]],Dropdown!$A$2:$D$4,4,FALSE)</f>
        <v>-</v>
      </c>
      <c r="U22" s="61" t="str">
        <f>VLOOKUP(Tabelle1722[[#This Row],[Pumpenanwendungen]],Dropdown!$A$2:$D$4,4,FALSE)</f>
        <v>-</v>
      </c>
      <c r="V22" s="61" t="str">
        <f>VLOOKUP(Tabelle1722[[#This Row],[Pumpenanwendungen in der 
Wasserversorgung]],Dropdown!$A$2:$D$4,4,FALSE)</f>
        <v>-</v>
      </c>
      <c r="W22" s="61" t="str">
        <f>VLOOKUP(Tabelle1722[[#This Row],[Beleuchtung im Gartenbau]],Dropdown!$A$2:$D$4,4,FALSE)</f>
        <v>-</v>
      </c>
      <c r="X22" s="61" t="str">
        <f>VLOOKUP(Tabelle1722[[#This Row],[Belüftung]],Dropdown!$A$2:$D$4,4,FALSE)</f>
        <v>-</v>
      </c>
      <c r="Y22" s="61" t="str">
        <f>VLOOKUP(Tabelle1722[[#This Row],[Abwasserbehandlung]],Dropdown!$A$2:$D$4,4,FALSE)</f>
        <v>-</v>
      </c>
      <c r="Z22" s="61" t="str">
        <f>VLOOKUP(Tabelle1722[[#This Row],[Notstromaggregate, Back-Up-
Server und Mobilfunkstationen]],Dropdown!$A$2:$D$4,4,FALSE)</f>
        <v>-</v>
      </c>
      <c r="AA22" s="61" t="str">
        <f>VLOOKUP(Tabelle1722[[#This Row],[Prozesswärme]],Dropdown!$A$2:$D$4,4,FALSE)</f>
        <v>-</v>
      </c>
      <c r="AB22" s="61" t="str">
        <f>VLOOKUP(Tabelle1722[[#This Row],[Druckluft]],Dropdown!$A$2:$D$4,4,FALSE)</f>
        <v>-</v>
      </c>
    </row>
    <row r="23" spans="1:28" x14ac:dyDescent="0.2">
      <c r="A23" s="6">
        <v>22</v>
      </c>
      <c r="B23" s="61" t="str">
        <f>VLOOKUP(Tabelle1722[[#This Row],[Büros und Textilbetriebe gesamt]],Dropdown!$A$2:$D$4,4,FALSE)</f>
        <v>-</v>
      </c>
      <c r="C23" s="61" t="str">
        <f>VLOOKUP(Tabelle1722[[#This Row],[Handel gesamt]],Dropdown!$A$2:$D$4,4,FALSE)</f>
        <v>-</v>
      </c>
      <c r="D23" s="61" t="str">
        <f>VLOOKUP(Tabelle1722[[#This Row],[Gastgewerbe gesamt]],Dropdown!$A$2:$D$4,4,FALSE)</f>
        <v>-</v>
      </c>
      <c r="E23" s="61" t="str">
        <f>VLOOKUP(Tabelle1722[[#This Row],[Landwirtschaft gesamt]],Dropdown!$A$2:$D$4,4,FALSE)</f>
        <v>-</v>
      </c>
      <c r="F23" s="61" t="str">
        <f>VLOOKUP(Tabelle1722[[#This Row],[Gartenbau gesamt]],Dropdown!$A$2:$D$4,4,FALSE)</f>
        <v>-</v>
      </c>
      <c r="G23" s="61" t="str">
        <f>VLOOKUP(Tabelle1722[[#This Row],[Bäder gesamt]],Dropdown!$A$2:$D$4,4,FALSE)</f>
        <v>-</v>
      </c>
      <c r="H23" s="61" t="str">
        <f>VLOOKUP(Tabelle1722[[#This Row],[Wäschereien gesamt]],Dropdown!$A$2:$D$4,4,FALSE)</f>
        <v>-</v>
      </c>
      <c r="I23" s="61" t="str">
        <f>VLOOKUP(Tabelle1722[[#This Row],[produzierendes Gewerbe gesamt]],Dropdown!$A$2:$D$4,4,FALSE)</f>
        <v>-</v>
      </c>
      <c r="J23" s="61" t="str">
        <f>VLOOKUP(Tabelle1722[[#This Row],[Baugewerbe gesamt]],Dropdown!$A$2:$D$4,4,FALSE)</f>
        <v>-</v>
      </c>
      <c r="K23" s="61" t="str">
        <f>VLOOKUP(Tabelle1722[[#This Row],[Prozesskälte]],Dropdown!$A$2:$D$4,4,FALSE)</f>
        <v>-</v>
      </c>
      <c r="L23" s="61" t="str">
        <f>VLOOKUP(Tabelle1722[[#This Row],[Kühlhäuser]],Dropdown!$A$2:$D$4,4,FALSE)</f>
        <v>X</v>
      </c>
      <c r="M23" s="61" t="str">
        <f>VLOOKUP(Tabelle1722[[#This Row],[Kühlung im 
Lebensmitteleinzelhandel]],Dropdown!$A$2:$D$4,4,FALSE)</f>
        <v>X</v>
      </c>
      <c r="N23" s="61" t="str">
        <f>VLOOKUP(Tabelle1722[[#This Row],[Kühlung im Gastronomiebereich 
(Hotels, Restaurants)]],Dropdown!$A$2:$D$4,4,FALSE)</f>
        <v>X</v>
      </c>
      <c r="O23" s="61" t="str">
        <f>VLOOKUP(Tabelle1722[[#This Row],[Klimakälte]],Dropdown!$A$2:$D$4,4,FALSE)</f>
        <v>X</v>
      </c>
      <c r="P23" s="61" t="str">
        <f>VLOOKUP(Tabelle1722[[#This Row],[Warmwasserbereitstellung]],Dropdown!$A$2:$D$4,4,FALSE)</f>
        <v>X</v>
      </c>
      <c r="Q23" s="61" t="str">
        <f>VLOOKUP(Tabelle1722[[#This Row],[Raumwärme 
(elektrische Raumheizung)]],Dropdown!$A$2:$D$4,4,FALSE)</f>
        <v>-</v>
      </c>
      <c r="R23" s="61" t="str">
        <f>VLOOKUP(Tabelle1722[[#This Row],[Nachtspeicherheizungen]],Dropdown!$A$2:$D$4,4,FALSE)</f>
        <v>X</v>
      </c>
      <c r="S23" s="61" t="str">
        <f>VLOOKUP(Tabelle1722[[#This Row],[Wärmepumpen]],Dropdown!$A$2:$D$4,4,FALSE)</f>
        <v>-</v>
      </c>
      <c r="T23" s="61" t="str">
        <f>VLOOKUP(Tabelle1722[[#This Row],[Hybrid-Wärmeerzeugungssysteme]],Dropdown!$A$2:$D$4,4,FALSE)</f>
        <v>-</v>
      </c>
      <c r="U23" s="61" t="str">
        <f>VLOOKUP(Tabelle1722[[#This Row],[Pumpenanwendungen]],Dropdown!$A$2:$D$4,4,FALSE)</f>
        <v>-</v>
      </c>
      <c r="V23" s="61" t="str">
        <f>VLOOKUP(Tabelle1722[[#This Row],[Pumpenanwendungen in der 
Wasserversorgung]],Dropdown!$A$2:$D$4,4,FALSE)</f>
        <v>X</v>
      </c>
      <c r="W23" s="61" t="str">
        <f>VLOOKUP(Tabelle1722[[#This Row],[Beleuchtung im Gartenbau]],Dropdown!$A$2:$D$4,4,FALSE)</f>
        <v>-</v>
      </c>
      <c r="X23" s="61" t="str">
        <f>VLOOKUP(Tabelle1722[[#This Row],[Belüftung]],Dropdown!$A$2:$D$4,4,FALSE)</f>
        <v>X</v>
      </c>
      <c r="Y23" s="61" t="str">
        <f>VLOOKUP(Tabelle1722[[#This Row],[Abwasserbehandlung]],Dropdown!$A$2:$D$4,4,FALSE)</f>
        <v>X</v>
      </c>
      <c r="Z23" s="61" t="str">
        <f>VLOOKUP(Tabelle1722[[#This Row],[Notstromaggregate, Back-Up-
Server und Mobilfunkstationen]],Dropdown!$A$2:$D$4,4,FALSE)</f>
        <v>-</v>
      </c>
      <c r="AA23" s="61" t="str">
        <f>VLOOKUP(Tabelle1722[[#This Row],[Prozesswärme]],Dropdown!$A$2:$D$4,4,FALSE)</f>
        <v>-</v>
      </c>
      <c r="AB23" s="61" t="str">
        <f>VLOOKUP(Tabelle1722[[#This Row],[Druckluft]],Dropdown!$A$2:$D$4,4,FALSE)</f>
        <v>-</v>
      </c>
    </row>
    <row r="24" spans="1:28" x14ac:dyDescent="0.2">
      <c r="A24" s="6">
        <v>23</v>
      </c>
      <c r="B24" s="61" t="str">
        <f>VLOOKUP(Tabelle1722[[#This Row],[Büros und Textilbetriebe gesamt]],Dropdown!$A$2:$D$4,4,FALSE)</f>
        <v>-</v>
      </c>
      <c r="C24" s="61" t="str">
        <f>VLOOKUP(Tabelle1722[[#This Row],[Handel gesamt]],Dropdown!$A$2:$D$4,4,FALSE)</f>
        <v>-</v>
      </c>
      <c r="D24" s="61" t="str">
        <f>VLOOKUP(Tabelle1722[[#This Row],[Gastgewerbe gesamt]],Dropdown!$A$2:$D$4,4,FALSE)</f>
        <v>-</v>
      </c>
      <c r="E24" s="61" t="str">
        <f>VLOOKUP(Tabelle1722[[#This Row],[Landwirtschaft gesamt]],Dropdown!$A$2:$D$4,4,FALSE)</f>
        <v>-</v>
      </c>
      <c r="F24" s="61" t="str">
        <f>VLOOKUP(Tabelle1722[[#This Row],[Gartenbau gesamt]],Dropdown!$A$2:$D$4,4,FALSE)</f>
        <v>-</v>
      </c>
      <c r="G24" s="61" t="str">
        <f>VLOOKUP(Tabelle1722[[#This Row],[Bäder gesamt]],Dropdown!$A$2:$D$4,4,FALSE)</f>
        <v>-</v>
      </c>
      <c r="H24" s="61" t="str">
        <f>VLOOKUP(Tabelle1722[[#This Row],[Wäschereien gesamt]],Dropdown!$A$2:$D$4,4,FALSE)</f>
        <v>-</v>
      </c>
      <c r="I24" s="61" t="str">
        <f>VLOOKUP(Tabelle1722[[#This Row],[produzierendes Gewerbe gesamt]],Dropdown!$A$2:$D$4,4,FALSE)</f>
        <v>-</v>
      </c>
      <c r="J24" s="61" t="str">
        <f>VLOOKUP(Tabelle1722[[#This Row],[Baugewerbe gesamt]],Dropdown!$A$2:$D$4,4,FALSE)</f>
        <v>-</v>
      </c>
      <c r="K24" s="61" t="str">
        <f>VLOOKUP(Tabelle1722[[#This Row],[Prozesskälte]],Dropdown!$A$2:$D$4,4,FALSE)</f>
        <v>-</v>
      </c>
      <c r="L24" s="61" t="str">
        <f>VLOOKUP(Tabelle1722[[#This Row],[Kühlhäuser]],Dropdown!$A$2:$D$4,4,FALSE)</f>
        <v>X</v>
      </c>
      <c r="M24" s="61" t="str">
        <f>VLOOKUP(Tabelle1722[[#This Row],[Kühlung im 
Lebensmitteleinzelhandel]],Dropdown!$A$2:$D$4,4,FALSE)</f>
        <v>-</v>
      </c>
      <c r="N24" s="61" t="str">
        <f>VLOOKUP(Tabelle1722[[#This Row],[Kühlung im Gastronomiebereich 
(Hotels, Restaurants)]],Dropdown!$A$2:$D$4,4,FALSE)</f>
        <v>-</v>
      </c>
      <c r="O24" s="61" t="str">
        <f>VLOOKUP(Tabelle1722[[#This Row],[Klimakälte]],Dropdown!$A$2:$D$4,4,FALSE)</f>
        <v>-</v>
      </c>
      <c r="P24" s="61" t="str">
        <f>VLOOKUP(Tabelle1722[[#This Row],[Warmwasserbereitstellung]],Dropdown!$A$2:$D$4,4,FALSE)</f>
        <v>-</v>
      </c>
      <c r="Q24" s="61" t="str">
        <f>VLOOKUP(Tabelle1722[[#This Row],[Raumwärme 
(elektrische Raumheizung)]],Dropdown!$A$2:$D$4,4,FALSE)</f>
        <v>-</v>
      </c>
      <c r="R24" s="61" t="str">
        <f>VLOOKUP(Tabelle1722[[#This Row],[Nachtspeicherheizungen]],Dropdown!$A$2:$D$4,4,FALSE)</f>
        <v>-</v>
      </c>
      <c r="S24" s="61" t="str">
        <f>VLOOKUP(Tabelle1722[[#This Row],[Wärmepumpen]],Dropdown!$A$2:$D$4,4,FALSE)</f>
        <v>-</v>
      </c>
      <c r="T24" s="61" t="str">
        <f>VLOOKUP(Tabelle1722[[#This Row],[Hybrid-Wärmeerzeugungssysteme]],Dropdown!$A$2:$D$4,4,FALSE)</f>
        <v>-</v>
      </c>
      <c r="U24" s="61" t="str">
        <f>VLOOKUP(Tabelle1722[[#This Row],[Pumpenanwendungen]],Dropdown!$A$2:$D$4,4,FALSE)</f>
        <v>-</v>
      </c>
      <c r="V24" s="61" t="str">
        <f>VLOOKUP(Tabelle1722[[#This Row],[Pumpenanwendungen in der 
Wasserversorgung]],Dropdown!$A$2:$D$4,4,FALSE)</f>
        <v>-</v>
      </c>
      <c r="W24" s="61" t="str">
        <f>VLOOKUP(Tabelle1722[[#This Row],[Beleuchtung im Gartenbau]],Dropdown!$A$2:$D$4,4,FALSE)</f>
        <v>-</v>
      </c>
      <c r="X24" s="61" t="str">
        <f>VLOOKUP(Tabelle1722[[#This Row],[Belüftung]],Dropdown!$A$2:$D$4,4,FALSE)</f>
        <v>X</v>
      </c>
      <c r="Y24" s="61" t="str">
        <f>VLOOKUP(Tabelle1722[[#This Row],[Abwasserbehandlung]],Dropdown!$A$2:$D$4,4,FALSE)</f>
        <v>-</v>
      </c>
      <c r="Z24" s="61" t="str">
        <f>VLOOKUP(Tabelle1722[[#This Row],[Notstromaggregate, Back-Up-
Server und Mobilfunkstationen]],Dropdown!$A$2:$D$4,4,FALSE)</f>
        <v>-</v>
      </c>
      <c r="AA24" s="61" t="str">
        <f>VLOOKUP(Tabelle1722[[#This Row],[Prozesswärme]],Dropdown!$A$2:$D$4,4,FALSE)</f>
        <v>-</v>
      </c>
      <c r="AB24" s="61" t="str">
        <f>VLOOKUP(Tabelle1722[[#This Row],[Druckluft]],Dropdown!$A$2:$D$4,4,FALSE)</f>
        <v>-</v>
      </c>
    </row>
    <row r="25" spans="1:28" x14ac:dyDescent="0.2">
      <c r="A25" s="6">
        <v>24</v>
      </c>
      <c r="B25" s="61" t="str">
        <f>VLOOKUP(Tabelle1722[[#This Row],[Büros und Textilbetriebe gesamt]],Dropdown!$A$2:$D$4,4,FALSE)</f>
        <v>-</v>
      </c>
      <c r="C25" s="61" t="str">
        <f>VLOOKUP(Tabelle1722[[#This Row],[Handel gesamt]],Dropdown!$A$2:$D$4,4,FALSE)</f>
        <v>-</v>
      </c>
      <c r="D25" s="61" t="str">
        <f>VLOOKUP(Tabelle1722[[#This Row],[Gastgewerbe gesamt]],Dropdown!$A$2:$D$4,4,FALSE)</f>
        <v>-</v>
      </c>
      <c r="E25" s="61" t="str">
        <f>VLOOKUP(Tabelle1722[[#This Row],[Landwirtschaft gesamt]],Dropdown!$A$2:$D$4,4,FALSE)</f>
        <v>-</v>
      </c>
      <c r="F25" s="61" t="str">
        <f>VLOOKUP(Tabelle1722[[#This Row],[Gartenbau gesamt]],Dropdown!$A$2:$D$4,4,FALSE)</f>
        <v>-</v>
      </c>
      <c r="G25" s="61" t="str">
        <f>VLOOKUP(Tabelle1722[[#This Row],[Bäder gesamt]],Dropdown!$A$2:$D$4,4,FALSE)</f>
        <v>-</v>
      </c>
      <c r="H25" s="61" t="str">
        <f>VLOOKUP(Tabelle1722[[#This Row],[Wäschereien gesamt]],Dropdown!$A$2:$D$4,4,FALSE)</f>
        <v>-</v>
      </c>
      <c r="I25" s="61" t="str">
        <f>VLOOKUP(Tabelle1722[[#This Row],[produzierendes Gewerbe gesamt]],Dropdown!$A$2:$D$4,4,FALSE)</f>
        <v>-</v>
      </c>
      <c r="J25" s="61" t="str">
        <f>VLOOKUP(Tabelle1722[[#This Row],[Baugewerbe gesamt]],Dropdown!$A$2:$D$4,4,FALSE)</f>
        <v>-</v>
      </c>
      <c r="K25" s="61" t="str">
        <f>VLOOKUP(Tabelle1722[[#This Row],[Prozesskälte]],Dropdown!$A$2:$D$4,4,FALSE)</f>
        <v>-</v>
      </c>
      <c r="L25" s="61" t="str">
        <f>VLOOKUP(Tabelle1722[[#This Row],[Kühlhäuser]],Dropdown!$A$2:$D$4,4,FALSE)</f>
        <v>-</v>
      </c>
      <c r="M25" s="61" t="str">
        <f>VLOOKUP(Tabelle1722[[#This Row],[Kühlung im 
Lebensmitteleinzelhandel]],Dropdown!$A$2:$D$4,4,FALSE)</f>
        <v>-</v>
      </c>
      <c r="N25" s="61" t="str">
        <f>VLOOKUP(Tabelle1722[[#This Row],[Kühlung im Gastronomiebereich 
(Hotels, Restaurants)]],Dropdown!$A$2:$D$4,4,FALSE)</f>
        <v>-</v>
      </c>
      <c r="O25" s="61" t="str">
        <f>VLOOKUP(Tabelle1722[[#This Row],[Klimakälte]],Dropdown!$A$2:$D$4,4,FALSE)</f>
        <v>-</v>
      </c>
      <c r="P25" s="61" t="str">
        <f>VLOOKUP(Tabelle1722[[#This Row],[Warmwasserbereitstellung]],Dropdown!$A$2:$D$4,4,FALSE)</f>
        <v>-</v>
      </c>
      <c r="Q25" s="61" t="str">
        <f>VLOOKUP(Tabelle1722[[#This Row],[Raumwärme 
(elektrische Raumheizung)]],Dropdown!$A$2:$D$4,4,FALSE)</f>
        <v>-</v>
      </c>
      <c r="R25" s="61" t="str">
        <f>VLOOKUP(Tabelle1722[[#This Row],[Nachtspeicherheizungen]],Dropdown!$A$2:$D$4,4,FALSE)</f>
        <v>-</v>
      </c>
      <c r="S25" s="61" t="str">
        <f>VLOOKUP(Tabelle1722[[#This Row],[Wärmepumpen]],Dropdown!$A$2:$D$4,4,FALSE)</f>
        <v>-</v>
      </c>
      <c r="T25" s="61" t="str">
        <f>VLOOKUP(Tabelle1722[[#This Row],[Hybrid-Wärmeerzeugungssysteme]],Dropdown!$A$2:$D$4,4,FALSE)</f>
        <v>-</v>
      </c>
      <c r="U25" s="61" t="str">
        <f>VLOOKUP(Tabelle1722[[#This Row],[Pumpenanwendungen]],Dropdown!$A$2:$D$4,4,FALSE)</f>
        <v>-</v>
      </c>
      <c r="V25" s="61" t="str">
        <f>VLOOKUP(Tabelle1722[[#This Row],[Pumpenanwendungen in der 
Wasserversorgung]],Dropdown!$A$2:$D$4,4,FALSE)</f>
        <v>-</v>
      </c>
      <c r="W25" s="61" t="str">
        <f>VLOOKUP(Tabelle1722[[#This Row],[Beleuchtung im Gartenbau]],Dropdown!$A$2:$D$4,4,FALSE)</f>
        <v>-</v>
      </c>
      <c r="X25" s="61" t="str">
        <f>VLOOKUP(Tabelle1722[[#This Row],[Belüftung]],Dropdown!$A$2:$D$4,4,FALSE)</f>
        <v>-</v>
      </c>
      <c r="Y25" s="61" t="str">
        <f>VLOOKUP(Tabelle1722[[#This Row],[Abwasserbehandlung]],Dropdown!$A$2:$D$4,4,FALSE)</f>
        <v>-</v>
      </c>
      <c r="Z25" s="61" t="str">
        <f>VLOOKUP(Tabelle1722[[#This Row],[Notstromaggregate, Back-Up-
Server und Mobilfunkstationen]],Dropdown!$A$2:$D$4,4,FALSE)</f>
        <v>-</v>
      </c>
      <c r="AA25" s="61" t="str">
        <f>VLOOKUP(Tabelle1722[[#This Row],[Prozesswärme]],Dropdown!$A$2:$D$4,4,FALSE)</f>
        <v>-</v>
      </c>
      <c r="AB25" s="61" t="str">
        <f>VLOOKUP(Tabelle1722[[#This Row],[Druckluft]],Dropdown!$A$2:$D$4,4,FALSE)</f>
        <v>-</v>
      </c>
    </row>
    <row r="26" spans="1:28" x14ac:dyDescent="0.2">
      <c r="A26" s="6">
        <v>25</v>
      </c>
      <c r="B26" s="61" t="str">
        <f>VLOOKUP(Tabelle1722[[#This Row],[Büros und Textilbetriebe gesamt]],Dropdown!$A$2:$D$4,4,FALSE)</f>
        <v>-</v>
      </c>
      <c r="C26" s="61" t="str">
        <f>VLOOKUP(Tabelle1722[[#This Row],[Handel gesamt]],Dropdown!$A$2:$D$4,4,FALSE)</f>
        <v>-</v>
      </c>
      <c r="D26" s="61" t="str">
        <f>VLOOKUP(Tabelle1722[[#This Row],[Gastgewerbe gesamt]],Dropdown!$A$2:$D$4,4,FALSE)</f>
        <v>-</v>
      </c>
      <c r="E26" s="61" t="str">
        <f>VLOOKUP(Tabelle1722[[#This Row],[Landwirtschaft gesamt]],Dropdown!$A$2:$D$4,4,FALSE)</f>
        <v>-</v>
      </c>
      <c r="F26" s="61" t="str">
        <f>VLOOKUP(Tabelle1722[[#This Row],[Gartenbau gesamt]],Dropdown!$A$2:$D$4,4,FALSE)</f>
        <v>-</v>
      </c>
      <c r="G26" s="61" t="str">
        <f>VLOOKUP(Tabelle1722[[#This Row],[Bäder gesamt]],Dropdown!$A$2:$D$4,4,FALSE)</f>
        <v>-</v>
      </c>
      <c r="H26" s="61" t="str">
        <f>VLOOKUP(Tabelle1722[[#This Row],[Wäschereien gesamt]],Dropdown!$A$2:$D$4,4,FALSE)</f>
        <v>-</v>
      </c>
      <c r="I26" s="61" t="str">
        <f>VLOOKUP(Tabelle1722[[#This Row],[produzierendes Gewerbe gesamt]],Dropdown!$A$2:$D$4,4,FALSE)</f>
        <v>-</v>
      </c>
      <c r="J26" s="61" t="str">
        <f>VLOOKUP(Tabelle1722[[#This Row],[Baugewerbe gesamt]],Dropdown!$A$2:$D$4,4,FALSE)</f>
        <v>-</v>
      </c>
      <c r="K26" s="61" t="str">
        <f>VLOOKUP(Tabelle1722[[#This Row],[Prozesskälte]],Dropdown!$A$2:$D$4,4,FALSE)</f>
        <v>-</v>
      </c>
      <c r="L26" s="61" t="str">
        <f>VLOOKUP(Tabelle1722[[#This Row],[Kühlhäuser]],Dropdown!$A$2:$D$4,4,FALSE)</f>
        <v>-</v>
      </c>
      <c r="M26" s="61" t="str">
        <f>VLOOKUP(Tabelle1722[[#This Row],[Kühlung im 
Lebensmitteleinzelhandel]],Dropdown!$A$2:$D$4,4,FALSE)</f>
        <v>-</v>
      </c>
      <c r="N26" s="61" t="str">
        <f>VLOOKUP(Tabelle1722[[#This Row],[Kühlung im Gastronomiebereich 
(Hotels, Restaurants)]],Dropdown!$A$2:$D$4,4,FALSE)</f>
        <v>-</v>
      </c>
      <c r="O26" s="61" t="str">
        <f>VLOOKUP(Tabelle1722[[#This Row],[Klimakälte]],Dropdown!$A$2:$D$4,4,FALSE)</f>
        <v>-</v>
      </c>
      <c r="P26" s="61" t="str">
        <f>VLOOKUP(Tabelle1722[[#This Row],[Warmwasserbereitstellung]],Dropdown!$A$2:$D$4,4,FALSE)</f>
        <v>-</v>
      </c>
      <c r="Q26" s="61" t="str">
        <f>VLOOKUP(Tabelle1722[[#This Row],[Raumwärme 
(elektrische Raumheizung)]],Dropdown!$A$2:$D$4,4,FALSE)</f>
        <v>-</v>
      </c>
      <c r="R26" s="61" t="str">
        <f>VLOOKUP(Tabelle1722[[#This Row],[Nachtspeicherheizungen]],Dropdown!$A$2:$D$4,4,FALSE)</f>
        <v>-</v>
      </c>
      <c r="S26" s="61" t="str">
        <f>VLOOKUP(Tabelle1722[[#This Row],[Wärmepumpen]],Dropdown!$A$2:$D$4,4,FALSE)</f>
        <v>-</v>
      </c>
      <c r="T26" s="61" t="str">
        <f>VLOOKUP(Tabelle1722[[#This Row],[Hybrid-Wärmeerzeugungssysteme]],Dropdown!$A$2:$D$4,4,FALSE)</f>
        <v>-</v>
      </c>
      <c r="U26" s="61" t="str">
        <f>VLOOKUP(Tabelle1722[[#This Row],[Pumpenanwendungen]],Dropdown!$A$2:$D$4,4,FALSE)</f>
        <v>-</v>
      </c>
      <c r="V26" s="61" t="str">
        <f>VLOOKUP(Tabelle1722[[#This Row],[Pumpenanwendungen in der 
Wasserversorgung]],Dropdown!$A$2:$D$4,4,FALSE)</f>
        <v>-</v>
      </c>
      <c r="W26" s="61" t="str">
        <f>VLOOKUP(Tabelle1722[[#This Row],[Beleuchtung im Gartenbau]],Dropdown!$A$2:$D$4,4,FALSE)</f>
        <v>-</v>
      </c>
      <c r="X26" s="61" t="str">
        <f>VLOOKUP(Tabelle1722[[#This Row],[Belüftung]],Dropdown!$A$2:$D$4,4,FALSE)</f>
        <v>-</v>
      </c>
      <c r="Y26" s="61" t="str">
        <f>VLOOKUP(Tabelle1722[[#This Row],[Abwasserbehandlung]],Dropdown!$A$2:$D$4,4,FALSE)</f>
        <v>-</v>
      </c>
      <c r="Z26" s="61" t="str">
        <f>VLOOKUP(Tabelle1722[[#This Row],[Notstromaggregate, Back-Up-
Server und Mobilfunkstationen]],Dropdown!$A$2:$D$4,4,FALSE)</f>
        <v>-</v>
      </c>
      <c r="AA26" s="61" t="str">
        <f>VLOOKUP(Tabelle1722[[#This Row],[Prozesswärme]],Dropdown!$A$2:$D$4,4,FALSE)</f>
        <v>-</v>
      </c>
      <c r="AB26" s="61" t="str">
        <f>VLOOKUP(Tabelle1722[[#This Row],[Druckluft]],Dropdown!$A$2:$D$4,4,FALSE)</f>
        <v>-</v>
      </c>
    </row>
    <row r="27" spans="1:28" x14ac:dyDescent="0.2">
      <c r="A27" s="59" t="s">
        <v>854</v>
      </c>
      <c r="B27" s="59">
        <f>Tabelle1722[[#This Row],[Büros und Textilbetriebe gesamt]]</f>
        <v>1</v>
      </c>
      <c r="C27" s="59">
        <f>Tabelle1722[[#This Row],[Handel gesamt]]</f>
        <v>1</v>
      </c>
      <c r="D27" s="59">
        <f>Tabelle1722[[#This Row],[Gastgewerbe gesamt]]</f>
        <v>1</v>
      </c>
      <c r="E27" s="59">
        <f>Tabelle1722[[#This Row],[Landwirtschaft gesamt]]</f>
        <v>1</v>
      </c>
      <c r="F27" s="59">
        <f>Tabelle1722[[#This Row],[Gartenbau gesamt]]</f>
        <v>1</v>
      </c>
      <c r="G27" s="59">
        <f>Tabelle1722[[#This Row],[Bäder gesamt]]</f>
        <v>1</v>
      </c>
      <c r="H27" s="59">
        <f>Tabelle1722[[#This Row],[Wäschereien gesamt]]</f>
        <v>1</v>
      </c>
      <c r="I27" s="59">
        <f>Tabelle1722[[#This Row],[produzierendes Gewerbe gesamt]]</f>
        <v>1</v>
      </c>
      <c r="J27" s="59">
        <f>Tabelle1722[[#This Row],[Baugewerbe gesamt]]</f>
        <v>1</v>
      </c>
      <c r="K27" s="59">
        <f>Tabelle1722[[#This Row],[Prozesskälte]]</f>
        <v>7</v>
      </c>
      <c r="L27" s="59">
        <f>Tabelle1722[[#This Row],[Kühlhäuser]]</f>
        <v>6</v>
      </c>
      <c r="M27" s="59">
        <f>Tabelle1722[[#This Row],[Kühlung im 
Lebensmitteleinzelhandel]]</f>
        <v>4</v>
      </c>
      <c r="N27" s="59">
        <f>Tabelle1722[[#This Row],[Kühlung im Gastronomiebereich 
(Hotels, Restaurants)]]</f>
        <v>2</v>
      </c>
      <c r="O27" s="59">
        <f>Tabelle1722[[#This Row],[Klimakälte]]</f>
        <v>8</v>
      </c>
      <c r="P27" s="59">
        <f>Tabelle1722[[#This Row],[Warmwasserbereitstellung]]</f>
        <v>5</v>
      </c>
      <c r="Q27" s="59">
        <f>Tabelle1722[[#This Row],[Raumwärme 
(elektrische Raumheizung)]]</f>
        <v>3</v>
      </c>
      <c r="R27" s="59">
        <f>Tabelle1722[[#This Row],[Nachtspeicherheizungen]]</f>
        <v>5</v>
      </c>
      <c r="S27" s="59">
        <f>Tabelle1722[[#This Row],[Wärmepumpen]]</f>
        <v>1</v>
      </c>
      <c r="T27" s="59">
        <f>Tabelle1722[[#This Row],[Hybrid-Wärmeerzeugungssysteme]]</f>
        <v>1</v>
      </c>
      <c r="U27" s="59">
        <f>Tabelle1722[[#This Row],[Pumpenanwendungen]]</f>
        <v>1</v>
      </c>
      <c r="V27" s="59">
        <f>Tabelle1722[[#This Row],[Pumpenanwendungen in der 
Wasserversorgung]]</f>
        <v>3</v>
      </c>
      <c r="W27" s="59">
        <f>Tabelle1722[[#This Row],[Beleuchtung im Gartenbau]]</f>
        <v>2</v>
      </c>
      <c r="X27" s="59">
        <f>Tabelle1722[[#This Row],[Belüftung]]</f>
        <v>8</v>
      </c>
      <c r="Y27" s="59">
        <f>Tabelle1722[[#This Row],[Abwasserbehandlung]]</f>
        <v>2</v>
      </c>
      <c r="Z27" s="59">
        <f>Tabelle1722[[#This Row],[Notstromaggregate, Back-Up-
Server und Mobilfunkstationen]]</f>
        <v>1</v>
      </c>
      <c r="AA27" s="59">
        <f>Tabelle1722[[#This Row],[Prozesswärme]]</f>
        <v>1</v>
      </c>
      <c r="AB27" s="59">
        <f>Tabelle1722[[#This Row],[Druckluft]]</f>
        <v>1</v>
      </c>
    </row>
  </sheetData>
  <pageMargins left="0.7" right="0.7" top="0.78740157499999996" bottom="0.78740157499999996"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7156C-E946-4CB2-9076-9E3F3B3CF085}">
  <sheetPr codeName="Tabelle41">
    <tabColor theme="5" tint="0.79998168889431442"/>
  </sheetPr>
  <dimension ref="A1:T27"/>
  <sheetViews>
    <sheetView topLeftCell="D1" workbookViewId="0">
      <selection activeCell="U1" sqref="U1"/>
    </sheetView>
  </sheetViews>
  <sheetFormatPr baseColWidth="10" defaultColWidth="11" defaultRowHeight="12.75" x14ac:dyDescent="0.2"/>
  <cols>
    <col min="1" max="1" width="17.625" style="55" customWidth="1"/>
    <col min="2" max="20" width="5.875" style="55" customWidth="1"/>
    <col min="21" max="16384" width="11" style="55"/>
  </cols>
  <sheetData>
    <row r="1" spans="1:20" ht="165.75" customHeight="1" x14ac:dyDescent="0.2">
      <c r="A1" s="50" t="s">
        <v>1</v>
      </c>
      <c r="B1" s="53" t="s">
        <v>1131</v>
      </c>
      <c r="C1" s="53" t="s">
        <v>1116</v>
      </c>
      <c r="D1" s="53" t="s">
        <v>1118</v>
      </c>
      <c r="E1" s="53" t="s">
        <v>1129</v>
      </c>
      <c r="F1" s="53" t="s">
        <v>1139</v>
      </c>
      <c r="G1" s="53" t="s">
        <v>1078</v>
      </c>
      <c r="H1" s="53" t="s">
        <v>1112</v>
      </c>
      <c r="I1" s="53" t="s">
        <v>1071</v>
      </c>
      <c r="J1" s="53" t="s">
        <v>1132</v>
      </c>
      <c r="K1" s="53" t="s">
        <v>1144</v>
      </c>
      <c r="L1" s="53" t="s">
        <v>1145</v>
      </c>
      <c r="M1" s="53" t="s">
        <v>1146</v>
      </c>
      <c r="N1" s="53" t="s">
        <v>1147</v>
      </c>
      <c r="O1" s="53" t="s">
        <v>1114</v>
      </c>
      <c r="P1" s="53" t="s">
        <v>1133</v>
      </c>
      <c r="Q1" s="53" t="s">
        <v>1135</v>
      </c>
      <c r="R1" s="53" t="s">
        <v>1136</v>
      </c>
      <c r="S1" s="53" t="s">
        <v>1149</v>
      </c>
      <c r="T1" s="53" t="s">
        <v>1642</v>
      </c>
    </row>
    <row r="2" spans="1:20" x14ac:dyDescent="0.2">
      <c r="A2" s="6" t="s">
        <v>12</v>
      </c>
      <c r="B2" s="58">
        <v>1</v>
      </c>
      <c r="C2" s="58">
        <v>1</v>
      </c>
      <c r="D2" s="58">
        <v>1</v>
      </c>
      <c r="E2" s="58">
        <v>1</v>
      </c>
      <c r="F2" s="58">
        <v>1</v>
      </c>
      <c r="G2" s="58">
        <v>1</v>
      </c>
      <c r="H2" s="58"/>
      <c r="I2" s="58">
        <v>1</v>
      </c>
      <c r="J2" s="58">
        <v>1</v>
      </c>
      <c r="K2" s="58">
        <v>1</v>
      </c>
      <c r="L2" s="58">
        <v>1</v>
      </c>
      <c r="M2" s="58"/>
      <c r="N2" s="58"/>
      <c r="O2" s="58"/>
      <c r="P2" s="58"/>
      <c r="Q2" s="58"/>
      <c r="R2" s="58"/>
      <c r="S2" s="58"/>
      <c r="T2" s="58"/>
    </row>
    <row r="3" spans="1:20" ht="25.5" x14ac:dyDescent="0.2">
      <c r="A3" s="6" t="s">
        <v>347</v>
      </c>
      <c r="B3" s="58"/>
      <c r="C3" s="58">
        <v>1</v>
      </c>
      <c r="D3" s="58">
        <v>1</v>
      </c>
      <c r="E3" s="58">
        <v>1</v>
      </c>
      <c r="F3" s="58"/>
      <c r="G3" s="58"/>
      <c r="H3" s="58"/>
      <c r="I3" s="58">
        <v>1</v>
      </c>
      <c r="J3" s="58"/>
      <c r="K3" s="58">
        <v>1</v>
      </c>
      <c r="L3" s="58">
        <v>1</v>
      </c>
      <c r="M3" s="58">
        <v>1</v>
      </c>
      <c r="N3" s="58">
        <v>1</v>
      </c>
      <c r="O3" s="58">
        <v>1</v>
      </c>
      <c r="P3" s="58"/>
      <c r="Q3" s="58"/>
      <c r="R3" s="58"/>
      <c r="S3" s="58"/>
      <c r="T3" s="58"/>
    </row>
    <row r="4" spans="1:20" ht="25.5" x14ac:dyDescent="0.2">
      <c r="A4" s="6" t="s">
        <v>348</v>
      </c>
      <c r="B4" s="58"/>
      <c r="C4" s="58"/>
      <c r="D4" s="58"/>
      <c r="E4" s="58"/>
      <c r="F4" s="58"/>
      <c r="G4" s="58"/>
      <c r="H4" s="58"/>
      <c r="I4" s="58"/>
      <c r="J4" s="58"/>
      <c r="K4" s="58"/>
      <c r="L4" s="58"/>
      <c r="M4" s="58"/>
      <c r="N4" s="58"/>
      <c r="O4" s="58"/>
      <c r="P4" s="58"/>
      <c r="Q4" s="58"/>
      <c r="R4" s="58"/>
      <c r="S4" s="58"/>
      <c r="T4" s="58"/>
    </row>
    <row r="5" spans="1:20" x14ac:dyDescent="0.2">
      <c r="A5" s="6" t="s">
        <v>183</v>
      </c>
      <c r="B5" s="58"/>
      <c r="C5" s="58"/>
      <c r="D5" s="58"/>
      <c r="E5" s="58"/>
      <c r="F5" s="58"/>
      <c r="G5" s="58"/>
      <c r="H5" s="58"/>
      <c r="I5" s="58"/>
      <c r="J5" s="58"/>
      <c r="K5" s="58"/>
      <c r="L5" s="58"/>
      <c r="M5" s="58"/>
      <c r="N5" s="58"/>
      <c r="O5" s="58"/>
      <c r="P5" s="58"/>
      <c r="Q5" s="58"/>
      <c r="R5" s="58"/>
      <c r="S5" s="58"/>
      <c r="T5" s="58"/>
    </row>
    <row r="6" spans="1:20" ht="25.5" x14ac:dyDescent="0.2">
      <c r="A6" s="6" t="s">
        <v>258</v>
      </c>
      <c r="B6" s="58">
        <v>1</v>
      </c>
      <c r="C6" s="58">
        <v>1</v>
      </c>
      <c r="D6" s="58">
        <v>1</v>
      </c>
      <c r="E6" s="58">
        <v>1</v>
      </c>
      <c r="F6" s="58">
        <v>1</v>
      </c>
      <c r="G6" s="58">
        <v>1</v>
      </c>
      <c r="H6" s="58"/>
      <c r="I6" s="58">
        <v>1</v>
      </c>
      <c r="J6" s="58">
        <v>1</v>
      </c>
      <c r="K6" s="58">
        <v>1</v>
      </c>
      <c r="L6" s="58">
        <v>1</v>
      </c>
      <c r="M6" s="58"/>
      <c r="N6" s="58"/>
      <c r="O6" s="58">
        <v>1</v>
      </c>
      <c r="P6" s="58"/>
      <c r="Q6" s="58"/>
      <c r="R6" s="58"/>
      <c r="S6" s="58"/>
      <c r="T6" s="58"/>
    </row>
    <row r="7" spans="1:20" x14ac:dyDescent="0.2">
      <c r="A7" s="6" t="s">
        <v>355</v>
      </c>
      <c r="B7" s="58">
        <v>1</v>
      </c>
      <c r="C7" s="58">
        <v>1</v>
      </c>
      <c r="D7" s="58">
        <v>1</v>
      </c>
      <c r="E7" s="58">
        <v>1</v>
      </c>
      <c r="F7" s="58">
        <v>1</v>
      </c>
      <c r="G7" s="58">
        <v>1</v>
      </c>
      <c r="H7" s="58"/>
      <c r="I7" s="58">
        <v>1</v>
      </c>
      <c r="J7" s="58">
        <v>1</v>
      </c>
      <c r="K7" s="58">
        <v>1</v>
      </c>
      <c r="L7" s="58">
        <v>1</v>
      </c>
      <c r="M7" s="58"/>
      <c r="N7" s="58"/>
      <c r="O7" s="58"/>
      <c r="P7" s="58"/>
      <c r="Q7" s="58"/>
      <c r="R7" s="58"/>
      <c r="S7" s="58"/>
      <c r="T7" s="58"/>
    </row>
    <row r="8" spans="1:20" x14ac:dyDescent="0.2">
      <c r="A8" s="6" t="s">
        <v>431</v>
      </c>
      <c r="B8" s="58">
        <v>1</v>
      </c>
      <c r="C8" s="58">
        <v>1</v>
      </c>
      <c r="D8" s="58">
        <v>1</v>
      </c>
      <c r="E8" s="58">
        <v>1</v>
      </c>
      <c r="F8" s="58">
        <v>1</v>
      </c>
      <c r="G8" s="58">
        <v>1</v>
      </c>
      <c r="H8" s="58"/>
      <c r="I8" s="58">
        <v>1</v>
      </c>
      <c r="J8" s="58"/>
      <c r="K8" s="58"/>
      <c r="L8" s="58">
        <v>1</v>
      </c>
      <c r="M8" s="58"/>
      <c r="N8" s="58"/>
      <c r="O8" s="58"/>
      <c r="P8" s="58"/>
      <c r="Q8" s="58"/>
      <c r="R8" s="58"/>
      <c r="S8" s="58"/>
      <c r="T8" s="58"/>
    </row>
    <row r="9" spans="1:20" x14ac:dyDescent="0.2">
      <c r="A9" s="6" t="s">
        <v>410</v>
      </c>
      <c r="B9" s="58"/>
      <c r="C9" s="58"/>
      <c r="D9" s="58"/>
      <c r="E9" s="58"/>
      <c r="F9" s="58"/>
      <c r="G9" s="58"/>
      <c r="H9" s="58"/>
      <c r="I9" s="58"/>
      <c r="J9" s="58"/>
      <c r="K9" s="58"/>
      <c r="L9" s="58"/>
      <c r="M9" s="58"/>
      <c r="N9" s="58"/>
      <c r="O9" s="58"/>
      <c r="P9" s="58"/>
      <c r="Q9" s="58"/>
      <c r="R9" s="58"/>
      <c r="S9" s="58"/>
      <c r="T9" s="58"/>
    </row>
    <row r="10" spans="1:20" x14ac:dyDescent="0.2">
      <c r="A10" s="6" t="s">
        <v>393</v>
      </c>
      <c r="B10" s="58">
        <v>1</v>
      </c>
      <c r="C10" s="58"/>
      <c r="D10" s="58"/>
      <c r="E10" s="58"/>
      <c r="F10" s="58"/>
      <c r="G10" s="58"/>
      <c r="H10" s="58"/>
      <c r="I10" s="58"/>
      <c r="J10" s="58">
        <v>1</v>
      </c>
      <c r="K10" s="58">
        <v>1</v>
      </c>
      <c r="L10" s="58">
        <v>1</v>
      </c>
      <c r="M10" s="58"/>
      <c r="N10" s="58"/>
      <c r="O10" s="58"/>
      <c r="P10" s="58"/>
      <c r="Q10" s="58"/>
      <c r="R10" s="58"/>
      <c r="S10" s="58"/>
      <c r="T10" s="58"/>
    </row>
    <row r="11" spans="1:20" ht="38.25" x14ac:dyDescent="0.2">
      <c r="A11" s="6" t="s">
        <v>380</v>
      </c>
      <c r="B11" s="58"/>
      <c r="C11" s="58"/>
      <c r="D11" s="58"/>
      <c r="E11" s="58"/>
      <c r="F11" s="58"/>
      <c r="G11" s="58"/>
      <c r="H11" s="58">
        <v>1</v>
      </c>
      <c r="I11" s="58"/>
      <c r="J11" s="58"/>
      <c r="K11" s="58">
        <v>1</v>
      </c>
      <c r="L11" s="58"/>
      <c r="M11" s="58"/>
      <c r="N11" s="58"/>
      <c r="O11" s="58"/>
      <c r="P11" s="58"/>
      <c r="Q11" s="58"/>
      <c r="R11" s="58"/>
      <c r="S11" s="58"/>
      <c r="T11" s="58"/>
    </row>
    <row r="12" spans="1:20" ht="25.5" x14ac:dyDescent="0.2">
      <c r="A12" s="6" t="s">
        <v>95</v>
      </c>
      <c r="B12" s="58">
        <v>1</v>
      </c>
      <c r="C12" s="58">
        <v>1</v>
      </c>
      <c r="D12" s="58">
        <v>1</v>
      </c>
      <c r="E12" s="58">
        <v>1</v>
      </c>
      <c r="F12" s="58"/>
      <c r="G12" s="58">
        <v>1</v>
      </c>
      <c r="H12" s="58"/>
      <c r="I12" s="58">
        <v>1</v>
      </c>
      <c r="J12" s="58">
        <v>1</v>
      </c>
      <c r="K12" s="58">
        <v>1</v>
      </c>
      <c r="L12" s="58">
        <v>1</v>
      </c>
      <c r="M12" s="58"/>
      <c r="N12" s="58"/>
      <c r="O12" s="58">
        <v>1</v>
      </c>
      <c r="P12" s="58"/>
      <c r="Q12" s="58"/>
      <c r="R12" s="58"/>
      <c r="S12" s="58"/>
      <c r="T12" s="58"/>
    </row>
    <row r="13" spans="1:20" ht="38.25" x14ac:dyDescent="0.2">
      <c r="A13" s="6" t="s">
        <v>1709</v>
      </c>
      <c r="B13" s="58"/>
      <c r="C13" s="58"/>
      <c r="D13" s="58"/>
      <c r="E13" s="58"/>
      <c r="F13" s="58"/>
      <c r="G13" s="58"/>
      <c r="H13" s="58"/>
      <c r="I13" s="58"/>
      <c r="J13" s="58"/>
      <c r="K13" s="58"/>
      <c r="L13" s="58"/>
      <c r="M13" s="58"/>
      <c r="N13" s="58"/>
      <c r="O13" s="58"/>
      <c r="P13" s="58"/>
      <c r="Q13" s="58"/>
      <c r="R13" s="58"/>
      <c r="S13" s="58"/>
      <c r="T13" s="58"/>
    </row>
    <row r="14" spans="1:20" x14ac:dyDescent="0.2">
      <c r="A14" s="6" t="s">
        <v>179</v>
      </c>
      <c r="B14" s="58"/>
      <c r="C14" s="58"/>
      <c r="D14" s="58"/>
      <c r="E14" s="58"/>
      <c r="F14" s="58"/>
      <c r="G14" s="58">
        <v>1</v>
      </c>
      <c r="H14" s="58"/>
      <c r="I14" s="58">
        <v>1</v>
      </c>
      <c r="J14" s="58"/>
      <c r="K14" s="58"/>
      <c r="L14" s="58"/>
      <c r="M14" s="58"/>
      <c r="N14" s="58"/>
      <c r="O14" s="58"/>
      <c r="P14" s="58"/>
      <c r="Q14" s="58"/>
      <c r="R14" s="58"/>
      <c r="S14" s="58"/>
      <c r="T14" s="58"/>
    </row>
    <row r="15" spans="1:20" x14ac:dyDescent="0.2">
      <c r="A15" s="6" t="s">
        <v>341</v>
      </c>
      <c r="B15" s="58"/>
      <c r="C15" s="58"/>
      <c r="D15" s="58"/>
      <c r="E15" s="58"/>
      <c r="F15" s="58"/>
      <c r="G15" s="58">
        <v>1</v>
      </c>
      <c r="H15" s="58"/>
      <c r="I15" s="58">
        <v>1</v>
      </c>
      <c r="J15" s="58"/>
      <c r="K15" s="58">
        <v>1</v>
      </c>
      <c r="L15" s="58"/>
      <c r="M15" s="58"/>
      <c r="N15" s="58"/>
      <c r="O15" s="58"/>
      <c r="P15" s="58">
        <v>1</v>
      </c>
      <c r="Q15" s="58"/>
      <c r="R15" s="58"/>
      <c r="S15" s="58"/>
      <c r="T15" s="58"/>
    </row>
    <row r="16" spans="1:20" x14ac:dyDescent="0.2">
      <c r="A16" s="6" t="s">
        <v>22</v>
      </c>
      <c r="B16" s="58"/>
      <c r="C16" s="58"/>
      <c r="D16" s="58"/>
      <c r="E16" s="58"/>
      <c r="F16" s="58"/>
      <c r="G16" s="58"/>
      <c r="H16" s="58"/>
      <c r="I16" s="58"/>
      <c r="J16" s="58"/>
      <c r="K16" s="58"/>
      <c r="L16" s="58"/>
      <c r="M16" s="58"/>
      <c r="N16" s="58"/>
      <c r="O16" s="58"/>
      <c r="P16" s="58"/>
      <c r="Q16" s="58"/>
      <c r="R16" s="58"/>
      <c r="S16" s="58"/>
      <c r="T16" s="58"/>
    </row>
    <row r="17" spans="1:20" ht="25.5" x14ac:dyDescent="0.2">
      <c r="A17" s="6" t="s">
        <v>188</v>
      </c>
      <c r="B17" s="58"/>
      <c r="C17" s="58"/>
      <c r="D17" s="58"/>
      <c r="E17" s="58"/>
      <c r="F17" s="58">
        <v>1</v>
      </c>
      <c r="G17" s="58">
        <v>1</v>
      </c>
      <c r="H17" s="58"/>
      <c r="I17" s="58">
        <v>1</v>
      </c>
      <c r="J17" s="58"/>
      <c r="K17" s="58"/>
      <c r="L17" s="58"/>
      <c r="M17" s="58"/>
      <c r="N17" s="58"/>
      <c r="O17" s="58">
        <v>1</v>
      </c>
      <c r="P17" s="58">
        <v>1</v>
      </c>
      <c r="Q17" s="58">
        <v>0.5</v>
      </c>
      <c r="R17" s="58">
        <v>0.5</v>
      </c>
      <c r="S17" s="58">
        <v>0.5</v>
      </c>
      <c r="T17" s="58"/>
    </row>
    <row r="18" spans="1:20" ht="25.5" x14ac:dyDescent="0.2">
      <c r="A18" s="6" t="s">
        <v>133</v>
      </c>
      <c r="B18" s="58">
        <v>1</v>
      </c>
      <c r="C18" s="58">
        <v>1</v>
      </c>
      <c r="D18" s="58">
        <v>1</v>
      </c>
      <c r="E18" s="58">
        <v>1</v>
      </c>
      <c r="F18" s="58"/>
      <c r="G18" s="58">
        <v>1</v>
      </c>
      <c r="H18" s="58"/>
      <c r="I18" s="58">
        <v>1</v>
      </c>
      <c r="J18" s="58"/>
      <c r="K18" s="58">
        <v>1</v>
      </c>
      <c r="L18" s="58">
        <v>1</v>
      </c>
      <c r="M18" s="58"/>
      <c r="N18" s="58"/>
      <c r="O18" s="58">
        <v>1</v>
      </c>
      <c r="P18" s="58"/>
      <c r="Q18" s="58"/>
      <c r="R18" s="58"/>
      <c r="S18" s="58"/>
      <c r="T18" s="58"/>
    </row>
    <row r="19" spans="1:20" ht="25.5" x14ac:dyDescent="0.2">
      <c r="A19" s="6" t="s">
        <v>10</v>
      </c>
      <c r="B19" s="58"/>
      <c r="C19" s="58"/>
      <c r="D19" s="58"/>
      <c r="E19" s="58"/>
      <c r="F19" s="58"/>
      <c r="G19" s="58"/>
      <c r="H19" s="58"/>
      <c r="I19" s="58"/>
      <c r="J19" s="58"/>
      <c r="K19" s="58"/>
      <c r="L19" s="58"/>
      <c r="M19" s="58"/>
      <c r="N19" s="58"/>
      <c r="O19" s="58"/>
      <c r="P19" s="58"/>
      <c r="Q19" s="58"/>
      <c r="R19" s="58"/>
      <c r="S19" s="58"/>
      <c r="T19" s="58"/>
    </row>
    <row r="20" spans="1:20" ht="38.25" x14ac:dyDescent="0.2">
      <c r="A20" s="6" t="s">
        <v>832</v>
      </c>
      <c r="B20" s="58">
        <v>1</v>
      </c>
      <c r="C20" s="58">
        <v>1</v>
      </c>
      <c r="D20" s="58">
        <v>1</v>
      </c>
      <c r="E20" s="58">
        <v>1</v>
      </c>
      <c r="F20" s="58"/>
      <c r="G20" s="58">
        <v>1</v>
      </c>
      <c r="H20" s="58">
        <v>1</v>
      </c>
      <c r="I20" s="58">
        <v>1</v>
      </c>
      <c r="J20" s="58">
        <v>1</v>
      </c>
      <c r="K20" s="58">
        <v>1</v>
      </c>
      <c r="L20" s="58">
        <v>1</v>
      </c>
      <c r="M20" s="58"/>
      <c r="N20" s="58"/>
      <c r="O20" s="58"/>
      <c r="P20" s="58"/>
      <c r="Q20" s="58"/>
      <c r="R20" s="58"/>
      <c r="S20" s="58"/>
      <c r="T20" s="58">
        <v>1</v>
      </c>
    </row>
    <row r="21" spans="1:20" x14ac:dyDescent="0.2">
      <c r="A21" s="6" t="s">
        <v>16</v>
      </c>
      <c r="B21" s="58"/>
      <c r="C21" s="58"/>
      <c r="D21" s="58"/>
      <c r="E21" s="58"/>
      <c r="F21" s="58"/>
      <c r="G21" s="58"/>
      <c r="H21" s="58"/>
      <c r="I21" s="58"/>
      <c r="J21" s="58"/>
      <c r="K21" s="58"/>
      <c r="L21" s="58"/>
      <c r="M21" s="58"/>
      <c r="N21" s="58"/>
      <c r="O21" s="58"/>
      <c r="P21" s="58"/>
      <c r="Q21" s="58"/>
      <c r="R21" s="58"/>
      <c r="S21" s="58"/>
      <c r="T21" s="58"/>
    </row>
    <row r="22" spans="1:20" ht="25.5" x14ac:dyDescent="0.2">
      <c r="A22" s="6" t="s">
        <v>7</v>
      </c>
      <c r="B22" s="58"/>
      <c r="C22" s="58"/>
      <c r="D22" s="58"/>
      <c r="E22" s="58"/>
      <c r="F22" s="58"/>
      <c r="G22" s="58"/>
      <c r="H22" s="58"/>
      <c r="I22" s="58"/>
      <c r="J22" s="58"/>
      <c r="K22" s="58"/>
      <c r="L22" s="58"/>
      <c r="M22" s="58"/>
      <c r="N22" s="58"/>
      <c r="O22" s="58"/>
      <c r="P22" s="58"/>
      <c r="Q22" s="58"/>
      <c r="R22" s="58"/>
      <c r="S22" s="58"/>
      <c r="T22" s="58"/>
    </row>
    <row r="23" spans="1:20" x14ac:dyDescent="0.2">
      <c r="A23" s="6" t="s">
        <v>18</v>
      </c>
      <c r="B23" s="58">
        <v>1</v>
      </c>
      <c r="C23" s="58">
        <v>1</v>
      </c>
      <c r="D23" s="58">
        <v>1</v>
      </c>
      <c r="E23" s="58">
        <v>1</v>
      </c>
      <c r="F23" s="58">
        <v>1</v>
      </c>
      <c r="G23" s="58">
        <v>1</v>
      </c>
      <c r="H23" s="58"/>
      <c r="I23" s="58">
        <v>1</v>
      </c>
      <c r="J23" s="58">
        <v>1</v>
      </c>
      <c r="K23" s="58">
        <v>1</v>
      </c>
      <c r="L23" s="58">
        <v>1</v>
      </c>
      <c r="M23" s="58"/>
      <c r="N23" s="58"/>
      <c r="O23" s="58">
        <v>1</v>
      </c>
      <c r="P23" s="58"/>
      <c r="Q23" s="58"/>
      <c r="R23" s="58"/>
      <c r="S23" s="58"/>
      <c r="T23" s="58"/>
    </row>
    <row r="24" spans="1:20" x14ac:dyDescent="0.2">
      <c r="A24" s="6" t="s">
        <v>338</v>
      </c>
      <c r="B24" s="58">
        <v>1</v>
      </c>
      <c r="C24" s="58"/>
      <c r="D24" s="58"/>
      <c r="E24" s="58"/>
      <c r="F24" s="58"/>
      <c r="G24" s="58">
        <v>1</v>
      </c>
      <c r="H24" s="58"/>
      <c r="I24" s="58">
        <v>1</v>
      </c>
      <c r="J24" s="58">
        <v>1</v>
      </c>
      <c r="K24" s="58">
        <v>1</v>
      </c>
      <c r="L24" s="58">
        <v>1</v>
      </c>
      <c r="M24" s="58"/>
      <c r="N24" s="58"/>
      <c r="O24" s="58"/>
      <c r="P24" s="58"/>
      <c r="Q24" s="58"/>
      <c r="R24" s="58"/>
      <c r="S24" s="58"/>
      <c r="T24" s="58"/>
    </row>
    <row r="25" spans="1:20" ht="25.5" x14ac:dyDescent="0.2">
      <c r="A25" s="6" t="s">
        <v>351</v>
      </c>
      <c r="B25" s="58">
        <v>1</v>
      </c>
      <c r="C25" s="58">
        <v>1</v>
      </c>
      <c r="D25" s="58">
        <v>1</v>
      </c>
      <c r="E25" s="58">
        <v>1</v>
      </c>
      <c r="F25" s="58">
        <v>1</v>
      </c>
      <c r="G25" s="58">
        <v>1</v>
      </c>
      <c r="H25" s="58"/>
      <c r="I25" s="58">
        <v>1</v>
      </c>
      <c r="J25" s="58">
        <v>1</v>
      </c>
      <c r="K25" s="58">
        <v>1</v>
      </c>
      <c r="L25" s="58">
        <v>1</v>
      </c>
      <c r="M25" s="58"/>
      <c r="N25" s="58"/>
      <c r="O25" s="58">
        <v>1</v>
      </c>
      <c r="P25" s="58"/>
      <c r="Q25" s="58"/>
      <c r="R25" s="58"/>
      <c r="S25" s="58"/>
      <c r="T25" s="58"/>
    </row>
    <row r="26" spans="1:20" ht="38.25" x14ac:dyDescent="0.2">
      <c r="A26" s="6" t="s">
        <v>24</v>
      </c>
      <c r="B26" s="58">
        <v>1</v>
      </c>
      <c r="C26" s="58"/>
      <c r="D26" s="58">
        <v>1</v>
      </c>
      <c r="E26" s="58"/>
      <c r="F26" s="58">
        <v>1</v>
      </c>
      <c r="G26" s="58"/>
      <c r="H26" s="58"/>
      <c r="I26" s="58"/>
      <c r="J26" s="58">
        <v>1</v>
      </c>
      <c r="K26" s="58"/>
      <c r="L26" s="58">
        <v>1</v>
      </c>
      <c r="M26" s="58"/>
      <c r="N26" s="58"/>
      <c r="O26" s="58">
        <v>1</v>
      </c>
      <c r="P26" s="58">
        <v>1</v>
      </c>
      <c r="Q26" s="58"/>
      <c r="R26" s="58">
        <v>1</v>
      </c>
      <c r="S26" s="58"/>
      <c r="T26" s="58">
        <v>1</v>
      </c>
    </row>
    <row r="27" spans="1:20" x14ac:dyDescent="0.2">
      <c r="A27" s="59" t="s">
        <v>854</v>
      </c>
      <c r="B27" s="59">
        <f>SUM(B2:B26)</f>
        <v>12</v>
      </c>
      <c r="C27" s="59">
        <f t="shared" ref="C27:T27" si="0">SUM(C2:C26)</f>
        <v>10</v>
      </c>
      <c r="D27" s="59">
        <f t="shared" si="0"/>
        <v>11</v>
      </c>
      <c r="E27" s="59">
        <f t="shared" si="0"/>
        <v>10</v>
      </c>
      <c r="F27" s="59">
        <f t="shared" si="0"/>
        <v>8</v>
      </c>
      <c r="G27" s="59">
        <f t="shared" si="0"/>
        <v>13</v>
      </c>
      <c r="H27" s="59">
        <f t="shared" si="0"/>
        <v>2</v>
      </c>
      <c r="I27" s="59">
        <f t="shared" si="0"/>
        <v>14</v>
      </c>
      <c r="J27" s="59">
        <f t="shared" si="0"/>
        <v>10</v>
      </c>
      <c r="K27" s="59">
        <f t="shared" si="0"/>
        <v>13</v>
      </c>
      <c r="L27" s="59">
        <f t="shared" si="0"/>
        <v>13</v>
      </c>
      <c r="M27" s="59">
        <f t="shared" si="0"/>
        <v>1</v>
      </c>
      <c r="N27" s="59">
        <f t="shared" si="0"/>
        <v>1</v>
      </c>
      <c r="O27" s="59">
        <f t="shared" si="0"/>
        <v>8</v>
      </c>
      <c r="P27" s="59">
        <f t="shared" si="0"/>
        <v>3</v>
      </c>
      <c r="Q27" s="59">
        <f t="shared" si="0"/>
        <v>0.5</v>
      </c>
      <c r="R27" s="59">
        <f t="shared" si="0"/>
        <v>1.5</v>
      </c>
      <c r="S27" s="59">
        <f t="shared" si="0"/>
        <v>0.5</v>
      </c>
      <c r="T27" s="59">
        <f t="shared" si="0"/>
        <v>2</v>
      </c>
    </row>
  </sheetData>
  <pageMargins left="0.7" right="0.7" top="0.78740157499999996" bottom="0.78740157499999996"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AE28C-18A6-4EC4-B87F-4EBE6872CCFB}">
  <sheetPr codeName="Tabelle42">
    <tabColor theme="5" tint="0.79998168889431442"/>
  </sheetPr>
  <dimension ref="A1:T27"/>
  <sheetViews>
    <sheetView workbookViewId="0">
      <selection sqref="A1:A26"/>
    </sheetView>
  </sheetViews>
  <sheetFormatPr baseColWidth="10" defaultColWidth="11" defaultRowHeight="12.75" x14ac:dyDescent="0.2"/>
  <cols>
    <col min="1" max="1" width="17.625" style="55" customWidth="1"/>
    <col min="2" max="20" width="5.875" style="55" customWidth="1"/>
    <col min="21" max="16384" width="11" style="55"/>
  </cols>
  <sheetData>
    <row r="1" spans="1:20" ht="165.75" customHeight="1" x14ac:dyDescent="0.2">
      <c r="A1" s="50" t="s">
        <v>1</v>
      </c>
      <c r="B1" s="53" t="s">
        <v>1131</v>
      </c>
      <c r="C1" s="53" t="s">
        <v>1116</v>
      </c>
      <c r="D1" s="53" t="s">
        <v>1118</v>
      </c>
      <c r="E1" s="53" t="s">
        <v>1129</v>
      </c>
      <c r="F1" s="53" t="s">
        <v>1139</v>
      </c>
      <c r="G1" s="53" t="s">
        <v>1078</v>
      </c>
      <c r="H1" s="53" t="s">
        <v>1112</v>
      </c>
      <c r="I1" s="53" t="s">
        <v>1071</v>
      </c>
      <c r="J1" s="53" t="s">
        <v>1132</v>
      </c>
      <c r="K1" s="53" t="s">
        <v>1144</v>
      </c>
      <c r="L1" s="53" t="s">
        <v>1145</v>
      </c>
      <c r="M1" s="53" t="s">
        <v>1146</v>
      </c>
      <c r="N1" s="53" t="s">
        <v>1147</v>
      </c>
      <c r="O1" s="53" t="s">
        <v>1114</v>
      </c>
      <c r="P1" s="53" t="s">
        <v>1133</v>
      </c>
      <c r="Q1" s="53" t="s">
        <v>1135</v>
      </c>
      <c r="R1" s="53" t="s">
        <v>1136</v>
      </c>
      <c r="S1" s="53" t="s">
        <v>1149</v>
      </c>
      <c r="T1" s="53" t="s">
        <v>1148</v>
      </c>
    </row>
    <row r="2" spans="1:20" x14ac:dyDescent="0.2">
      <c r="A2" s="6" t="s">
        <v>12</v>
      </c>
      <c r="B2" s="61" t="str">
        <f>VLOOKUP(Tabelle1823[[#This Row],[Kühlschränke]],Dropdown!$A$2:$D$4,4,FALSE)</f>
        <v>X</v>
      </c>
      <c r="C2" s="61" t="str">
        <f>VLOOKUP(Tabelle1823[[#This Row],[Geschirrspüler]],Dropdown!$A$2:$D$4,4,FALSE)</f>
        <v>X</v>
      </c>
      <c r="D2" s="61" t="str">
        <f>VLOOKUP(Tabelle1823[[#This Row],[Wäschetrockner]],Dropdown!$A$2:$D$4,4,FALSE)</f>
        <v>X</v>
      </c>
      <c r="E2" s="61" t="str">
        <f>VLOOKUP(Tabelle1823[[#This Row],[Waschmaschinen]],Dropdown!$A$2:$D$4,4,FALSE)</f>
        <v>X</v>
      </c>
      <c r="F2" s="61" t="str">
        <f>VLOOKUP(Tabelle1823[[#This Row],[Raumklimatisierung (Klimaanlagen)]],Dropdown!$A$2:$D$4,4,FALSE)</f>
        <v>X</v>
      </c>
      <c r="G2" s="61" t="str">
        <f>VLOOKUP(Tabelle1823[[#This Row],[Wärmepumpen]],Dropdown!$A$2:$D$4,4,FALSE)</f>
        <v>X</v>
      </c>
      <c r="H2" s="61" t="str">
        <f>VLOOKUP(Tabelle1823[[#This Row],[Hybrid-Wärmepumpen]],Dropdown!$A$2:$D$4,4,FALSE)</f>
        <v>-</v>
      </c>
      <c r="I2" s="61" t="str">
        <f>VLOOKUP(Tabelle1823[[#This Row],[Nachtspeicherheizungen]],Dropdown!$A$2:$D$4,4,FALSE)</f>
        <v>X</v>
      </c>
      <c r="J2" s="61" t="str">
        <f>VLOOKUP(Tabelle1823[[#This Row],[Kühl- und Gefrierkombinationen]],Dropdown!$A$2:$D$4,4,FALSE)</f>
        <v>X</v>
      </c>
      <c r="K2" s="61" t="str">
        <f>VLOOKUP(Tabelle1823[[#This Row],[elektrische Warmwassererzeugung]],Dropdown!$A$2:$D$4,4,FALSE)</f>
        <v>X</v>
      </c>
      <c r="L2" s="61" t="str">
        <f>VLOOKUP(Tabelle1823[[#This Row],[Gefrierschränke und -truhen]],Dropdown!$A$2:$D$4,4,FALSE)</f>
        <v>X</v>
      </c>
      <c r="M2" s="61" t="str">
        <f>VLOOKUP(Tabelle1823[[#This Row],[Elektrische Öfen]],Dropdown!$A$2:$D$4,4,FALSE)</f>
        <v>-</v>
      </c>
      <c r="N2" s="61" t="str">
        <f>VLOOKUP(Tabelle1823[[#This Row],[elektrische Direktheizungen]],Dropdown!$A$2:$D$4,4,FALSE)</f>
        <v>-</v>
      </c>
      <c r="O2" s="61" t="str">
        <f>VLOOKUP(Tabelle1823[[#This Row],[Heizungsumwälzpumpen]],Dropdown!$A$2:$D$4,4,FALSE)</f>
        <v>-</v>
      </c>
      <c r="P2" s="61" t="str">
        <f>VLOOKUP(Tabelle1823[[#This Row],[Elektromobilität]],Dropdown!$A$2:$D$4,4,FALSE)</f>
        <v>-</v>
      </c>
      <c r="Q2" s="61" t="str">
        <f>VLOOKUP(Tabelle1823[[#This Row],[Smart Meter / intelligente Geräte]],Dropdown!$A$2:$D$4,4,FALSE)</f>
        <v>-</v>
      </c>
      <c r="R2" s="61" t="str">
        <f>VLOOKUP(Tabelle1823[[#This Row],[Photovoltaik]],Dropdown!$A$2:$D$4,4,FALSE)</f>
        <v>-</v>
      </c>
      <c r="S2" s="61" t="str">
        <f>VLOOKUP(Tabelle1823[[#This Row],[Mini-/Mikro-BHKWs]],Dropdown!$A$2:$D$4,4,FALSE)</f>
        <v>-</v>
      </c>
      <c r="T2" s="61" t="str">
        <f>VLOOKUP(Tabelle1823[[#This Row],[Lastflexibilisierung mittels 
Batteriespeichern]],Dropdown!$A$2:$D$4,4,FALSE)</f>
        <v>-</v>
      </c>
    </row>
    <row r="3" spans="1:20" ht="25.5" x14ac:dyDescent="0.2">
      <c r="A3" s="6" t="s">
        <v>347</v>
      </c>
      <c r="B3" s="61" t="str">
        <f>VLOOKUP(Tabelle1823[[#This Row],[Kühlschränke]],Dropdown!$A$2:$D$4,4,FALSE)</f>
        <v>-</v>
      </c>
      <c r="C3" s="61" t="str">
        <f>VLOOKUP(Tabelle1823[[#This Row],[Geschirrspüler]],Dropdown!$A$2:$D$4,4,FALSE)</f>
        <v>X</v>
      </c>
      <c r="D3" s="61" t="str">
        <f>VLOOKUP(Tabelle1823[[#This Row],[Wäschetrockner]],Dropdown!$A$2:$D$4,4,FALSE)</f>
        <v>X</v>
      </c>
      <c r="E3" s="61" t="str">
        <f>VLOOKUP(Tabelle1823[[#This Row],[Waschmaschinen]],Dropdown!$A$2:$D$4,4,FALSE)</f>
        <v>X</v>
      </c>
      <c r="F3" s="61" t="str">
        <f>VLOOKUP(Tabelle1823[[#This Row],[Raumklimatisierung (Klimaanlagen)]],Dropdown!$A$2:$D$4,4,FALSE)</f>
        <v>-</v>
      </c>
      <c r="G3" s="61" t="str">
        <f>VLOOKUP(Tabelle1823[[#This Row],[Wärmepumpen]],Dropdown!$A$2:$D$4,4,FALSE)</f>
        <v>-</v>
      </c>
      <c r="H3" s="61" t="str">
        <f>VLOOKUP(Tabelle1823[[#This Row],[Hybrid-Wärmepumpen]],Dropdown!$A$2:$D$4,4,FALSE)</f>
        <v>-</v>
      </c>
      <c r="I3" s="61" t="str">
        <f>VLOOKUP(Tabelle1823[[#This Row],[Nachtspeicherheizungen]],Dropdown!$A$2:$D$4,4,FALSE)</f>
        <v>X</v>
      </c>
      <c r="J3" s="61" t="str">
        <f>VLOOKUP(Tabelle1823[[#This Row],[Kühl- und Gefrierkombinationen]],Dropdown!$A$2:$D$4,4,FALSE)</f>
        <v>-</v>
      </c>
      <c r="K3" s="61" t="str">
        <f>VLOOKUP(Tabelle1823[[#This Row],[elektrische Warmwassererzeugung]],Dropdown!$A$2:$D$4,4,FALSE)</f>
        <v>X</v>
      </c>
      <c r="L3" s="61" t="str">
        <f>VLOOKUP(Tabelle1823[[#This Row],[Gefrierschränke und -truhen]],Dropdown!$A$2:$D$4,4,FALSE)</f>
        <v>X</v>
      </c>
      <c r="M3" s="61" t="str">
        <f>VLOOKUP(Tabelle1823[[#This Row],[Elektrische Öfen]],Dropdown!$A$2:$D$4,4,FALSE)</f>
        <v>X</v>
      </c>
      <c r="N3" s="61" t="str">
        <f>VLOOKUP(Tabelle1823[[#This Row],[elektrische Direktheizungen]],Dropdown!$A$2:$D$4,4,FALSE)</f>
        <v>X</v>
      </c>
      <c r="O3" s="61" t="str">
        <f>VLOOKUP(Tabelle1823[[#This Row],[Heizungsumwälzpumpen]],Dropdown!$A$2:$D$4,4,FALSE)</f>
        <v>X</v>
      </c>
      <c r="P3" s="61" t="str">
        <f>VLOOKUP(Tabelle1823[[#This Row],[Elektromobilität]],Dropdown!$A$2:$D$4,4,FALSE)</f>
        <v>-</v>
      </c>
      <c r="Q3" s="61" t="str">
        <f>VLOOKUP(Tabelle1823[[#This Row],[Smart Meter / intelligente Geräte]],Dropdown!$A$2:$D$4,4,FALSE)</f>
        <v>-</v>
      </c>
      <c r="R3" s="61" t="str">
        <f>VLOOKUP(Tabelle1823[[#This Row],[Photovoltaik]],Dropdown!$A$2:$D$4,4,FALSE)</f>
        <v>-</v>
      </c>
      <c r="S3" s="61" t="str">
        <f>VLOOKUP(Tabelle1823[[#This Row],[Mini-/Mikro-BHKWs]],Dropdown!$A$2:$D$4,4,FALSE)</f>
        <v>-</v>
      </c>
      <c r="T3" s="61" t="str">
        <f>VLOOKUP(Tabelle1823[[#This Row],[Lastflexibilisierung mittels 
Batteriespeichern]],Dropdown!$A$2:$D$4,4,FALSE)</f>
        <v>-</v>
      </c>
    </row>
    <row r="4" spans="1:20" ht="25.5" x14ac:dyDescent="0.2">
      <c r="A4" s="6" t="s">
        <v>348</v>
      </c>
      <c r="B4" s="61" t="str">
        <f>VLOOKUP(Tabelle1823[[#This Row],[Kühlschränke]],Dropdown!$A$2:$D$4,4,FALSE)</f>
        <v>-</v>
      </c>
      <c r="C4" s="61" t="str">
        <f>VLOOKUP(Tabelle1823[[#This Row],[Geschirrspüler]],Dropdown!$A$2:$D$4,4,FALSE)</f>
        <v>-</v>
      </c>
      <c r="D4" s="61" t="str">
        <f>VLOOKUP(Tabelle1823[[#This Row],[Wäschetrockner]],Dropdown!$A$2:$D$4,4,FALSE)</f>
        <v>-</v>
      </c>
      <c r="E4" s="61" t="str">
        <f>VLOOKUP(Tabelle1823[[#This Row],[Waschmaschinen]],Dropdown!$A$2:$D$4,4,FALSE)</f>
        <v>-</v>
      </c>
      <c r="F4" s="61" t="str">
        <f>VLOOKUP(Tabelle1823[[#This Row],[Raumklimatisierung (Klimaanlagen)]],Dropdown!$A$2:$D$4,4,FALSE)</f>
        <v>-</v>
      </c>
      <c r="G4" s="61" t="str">
        <f>VLOOKUP(Tabelle1823[[#This Row],[Wärmepumpen]],Dropdown!$A$2:$D$4,4,FALSE)</f>
        <v>-</v>
      </c>
      <c r="H4" s="61" t="str">
        <f>VLOOKUP(Tabelle1823[[#This Row],[Hybrid-Wärmepumpen]],Dropdown!$A$2:$D$4,4,FALSE)</f>
        <v>-</v>
      </c>
      <c r="I4" s="61" t="str">
        <f>VLOOKUP(Tabelle1823[[#This Row],[Nachtspeicherheizungen]],Dropdown!$A$2:$D$4,4,FALSE)</f>
        <v>-</v>
      </c>
      <c r="J4" s="61" t="str">
        <f>VLOOKUP(Tabelle1823[[#This Row],[Kühl- und Gefrierkombinationen]],Dropdown!$A$2:$D$4,4,FALSE)</f>
        <v>-</v>
      </c>
      <c r="K4" s="61" t="str">
        <f>VLOOKUP(Tabelle1823[[#This Row],[elektrische Warmwassererzeugung]],Dropdown!$A$2:$D$4,4,FALSE)</f>
        <v>-</v>
      </c>
      <c r="L4" s="61" t="str">
        <f>VLOOKUP(Tabelle1823[[#This Row],[Gefrierschränke und -truhen]],Dropdown!$A$2:$D$4,4,FALSE)</f>
        <v>-</v>
      </c>
      <c r="M4" s="61" t="str">
        <f>VLOOKUP(Tabelle1823[[#This Row],[Elektrische Öfen]],Dropdown!$A$2:$D$4,4,FALSE)</f>
        <v>-</v>
      </c>
      <c r="N4" s="61" t="str">
        <f>VLOOKUP(Tabelle1823[[#This Row],[elektrische Direktheizungen]],Dropdown!$A$2:$D$4,4,FALSE)</f>
        <v>-</v>
      </c>
      <c r="O4" s="61" t="str">
        <f>VLOOKUP(Tabelle1823[[#This Row],[Heizungsumwälzpumpen]],Dropdown!$A$2:$D$4,4,FALSE)</f>
        <v>-</v>
      </c>
      <c r="P4" s="61" t="str">
        <f>VLOOKUP(Tabelle1823[[#This Row],[Elektromobilität]],Dropdown!$A$2:$D$4,4,FALSE)</f>
        <v>-</v>
      </c>
      <c r="Q4" s="61" t="str">
        <f>VLOOKUP(Tabelle1823[[#This Row],[Smart Meter / intelligente Geräte]],Dropdown!$A$2:$D$4,4,FALSE)</f>
        <v>-</v>
      </c>
      <c r="R4" s="61" t="str">
        <f>VLOOKUP(Tabelle1823[[#This Row],[Photovoltaik]],Dropdown!$A$2:$D$4,4,FALSE)</f>
        <v>-</v>
      </c>
      <c r="S4" s="61" t="str">
        <f>VLOOKUP(Tabelle1823[[#This Row],[Mini-/Mikro-BHKWs]],Dropdown!$A$2:$D$4,4,FALSE)</f>
        <v>-</v>
      </c>
      <c r="T4" s="61" t="str">
        <f>VLOOKUP(Tabelle1823[[#This Row],[Lastflexibilisierung mittels 
Batteriespeichern]],Dropdown!$A$2:$D$4,4,FALSE)</f>
        <v>-</v>
      </c>
    </row>
    <row r="5" spans="1:20" x14ac:dyDescent="0.2">
      <c r="A5" s="6" t="s">
        <v>183</v>
      </c>
      <c r="B5" s="61" t="str">
        <f>VLOOKUP(Tabelle1823[[#This Row],[Kühlschränke]],Dropdown!$A$2:$D$4,4,FALSE)</f>
        <v>-</v>
      </c>
      <c r="C5" s="61" t="str">
        <f>VLOOKUP(Tabelle1823[[#This Row],[Geschirrspüler]],Dropdown!$A$2:$D$4,4,FALSE)</f>
        <v>-</v>
      </c>
      <c r="D5" s="61" t="str">
        <f>VLOOKUP(Tabelle1823[[#This Row],[Wäschetrockner]],Dropdown!$A$2:$D$4,4,FALSE)</f>
        <v>-</v>
      </c>
      <c r="E5" s="61" t="str">
        <f>VLOOKUP(Tabelle1823[[#This Row],[Waschmaschinen]],Dropdown!$A$2:$D$4,4,FALSE)</f>
        <v>-</v>
      </c>
      <c r="F5" s="61" t="str">
        <f>VLOOKUP(Tabelle1823[[#This Row],[Raumklimatisierung (Klimaanlagen)]],Dropdown!$A$2:$D$4,4,FALSE)</f>
        <v>-</v>
      </c>
      <c r="G5" s="61" t="str">
        <f>VLOOKUP(Tabelle1823[[#This Row],[Wärmepumpen]],Dropdown!$A$2:$D$4,4,FALSE)</f>
        <v>-</v>
      </c>
      <c r="H5" s="61" t="str">
        <f>VLOOKUP(Tabelle1823[[#This Row],[Hybrid-Wärmepumpen]],Dropdown!$A$2:$D$4,4,FALSE)</f>
        <v>-</v>
      </c>
      <c r="I5" s="61" t="str">
        <f>VLOOKUP(Tabelle1823[[#This Row],[Nachtspeicherheizungen]],Dropdown!$A$2:$D$4,4,FALSE)</f>
        <v>-</v>
      </c>
      <c r="J5" s="61" t="str">
        <f>VLOOKUP(Tabelle1823[[#This Row],[Kühl- und Gefrierkombinationen]],Dropdown!$A$2:$D$4,4,FALSE)</f>
        <v>-</v>
      </c>
      <c r="K5" s="61" t="str">
        <f>VLOOKUP(Tabelle1823[[#This Row],[elektrische Warmwassererzeugung]],Dropdown!$A$2:$D$4,4,FALSE)</f>
        <v>-</v>
      </c>
      <c r="L5" s="61" t="str">
        <f>VLOOKUP(Tabelle1823[[#This Row],[Gefrierschränke und -truhen]],Dropdown!$A$2:$D$4,4,FALSE)</f>
        <v>-</v>
      </c>
      <c r="M5" s="61" t="str">
        <f>VLOOKUP(Tabelle1823[[#This Row],[Elektrische Öfen]],Dropdown!$A$2:$D$4,4,FALSE)</f>
        <v>-</v>
      </c>
      <c r="N5" s="61" t="str">
        <f>VLOOKUP(Tabelle1823[[#This Row],[elektrische Direktheizungen]],Dropdown!$A$2:$D$4,4,FALSE)</f>
        <v>-</v>
      </c>
      <c r="O5" s="61" t="str">
        <f>VLOOKUP(Tabelle1823[[#This Row],[Heizungsumwälzpumpen]],Dropdown!$A$2:$D$4,4,FALSE)</f>
        <v>-</v>
      </c>
      <c r="P5" s="61" t="str">
        <f>VLOOKUP(Tabelle1823[[#This Row],[Elektromobilität]],Dropdown!$A$2:$D$4,4,FALSE)</f>
        <v>-</v>
      </c>
      <c r="Q5" s="61" t="str">
        <f>VLOOKUP(Tabelle1823[[#This Row],[Smart Meter / intelligente Geräte]],Dropdown!$A$2:$D$4,4,FALSE)</f>
        <v>-</v>
      </c>
      <c r="R5" s="61" t="str">
        <f>VLOOKUP(Tabelle1823[[#This Row],[Photovoltaik]],Dropdown!$A$2:$D$4,4,FALSE)</f>
        <v>-</v>
      </c>
      <c r="S5" s="61" t="str">
        <f>VLOOKUP(Tabelle1823[[#This Row],[Mini-/Mikro-BHKWs]],Dropdown!$A$2:$D$4,4,FALSE)</f>
        <v>-</v>
      </c>
      <c r="T5" s="61" t="str">
        <f>VLOOKUP(Tabelle1823[[#This Row],[Lastflexibilisierung mittels 
Batteriespeichern]],Dropdown!$A$2:$D$4,4,FALSE)</f>
        <v>-</v>
      </c>
    </row>
    <row r="6" spans="1:20" ht="25.5" x14ac:dyDescent="0.2">
      <c r="A6" s="6" t="s">
        <v>258</v>
      </c>
      <c r="B6" s="61" t="str">
        <f>VLOOKUP(Tabelle1823[[#This Row],[Kühlschränke]],Dropdown!$A$2:$D$4,4,FALSE)</f>
        <v>X</v>
      </c>
      <c r="C6" s="61" t="str">
        <f>VLOOKUP(Tabelle1823[[#This Row],[Geschirrspüler]],Dropdown!$A$2:$D$4,4,FALSE)</f>
        <v>X</v>
      </c>
      <c r="D6" s="61" t="str">
        <f>VLOOKUP(Tabelle1823[[#This Row],[Wäschetrockner]],Dropdown!$A$2:$D$4,4,FALSE)</f>
        <v>X</v>
      </c>
      <c r="E6" s="61" t="str">
        <f>VLOOKUP(Tabelle1823[[#This Row],[Waschmaschinen]],Dropdown!$A$2:$D$4,4,FALSE)</f>
        <v>X</v>
      </c>
      <c r="F6" s="61" t="str">
        <f>VLOOKUP(Tabelle1823[[#This Row],[Raumklimatisierung (Klimaanlagen)]],Dropdown!$A$2:$D$4,4,FALSE)</f>
        <v>X</v>
      </c>
      <c r="G6" s="61" t="str">
        <f>VLOOKUP(Tabelle1823[[#This Row],[Wärmepumpen]],Dropdown!$A$2:$D$4,4,FALSE)</f>
        <v>X</v>
      </c>
      <c r="H6" s="61" t="str">
        <f>VLOOKUP(Tabelle1823[[#This Row],[Hybrid-Wärmepumpen]],Dropdown!$A$2:$D$4,4,FALSE)</f>
        <v>-</v>
      </c>
      <c r="I6" s="61" t="str">
        <f>VLOOKUP(Tabelle1823[[#This Row],[Nachtspeicherheizungen]],Dropdown!$A$2:$D$4,4,FALSE)</f>
        <v>X</v>
      </c>
      <c r="J6" s="61" t="str">
        <f>VLOOKUP(Tabelle1823[[#This Row],[Kühl- und Gefrierkombinationen]],Dropdown!$A$2:$D$4,4,FALSE)</f>
        <v>X</v>
      </c>
      <c r="K6" s="61" t="str">
        <f>VLOOKUP(Tabelle1823[[#This Row],[elektrische Warmwassererzeugung]],Dropdown!$A$2:$D$4,4,FALSE)</f>
        <v>X</v>
      </c>
      <c r="L6" s="61" t="str">
        <f>VLOOKUP(Tabelle1823[[#This Row],[Gefrierschränke und -truhen]],Dropdown!$A$2:$D$4,4,FALSE)</f>
        <v>X</v>
      </c>
      <c r="M6" s="61" t="str">
        <f>VLOOKUP(Tabelle1823[[#This Row],[Elektrische Öfen]],Dropdown!$A$2:$D$4,4,FALSE)</f>
        <v>-</v>
      </c>
      <c r="N6" s="61" t="str">
        <f>VLOOKUP(Tabelle1823[[#This Row],[elektrische Direktheizungen]],Dropdown!$A$2:$D$4,4,FALSE)</f>
        <v>-</v>
      </c>
      <c r="O6" s="61" t="str">
        <f>VLOOKUP(Tabelle1823[[#This Row],[Heizungsumwälzpumpen]],Dropdown!$A$2:$D$4,4,FALSE)</f>
        <v>X</v>
      </c>
      <c r="P6" s="61" t="str">
        <f>VLOOKUP(Tabelle1823[[#This Row],[Elektromobilität]],Dropdown!$A$2:$D$4,4,FALSE)</f>
        <v>-</v>
      </c>
      <c r="Q6" s="61" t="str">
        <f>VLOOKUP(Tabelle1823[[#This Row],[Smart Meter / intelligente Geräte]],Dropdown!$A$2:$D$4,4,FALSE)</f>
        <v>-</v>
      </c>
      <c r="R6" s="61" t="str">
        <f>VLOOKUP(Tabelle1823[[#This Row],[Photovoltaik]],Dropdown!$A$2:$D$4,4,FALSE)</f>
        <v>-</v>
      </c>
      <c r="S6" s="61" t="str">
        <f>VLOOKUP(Tabelle1823[[#This Row],[Mini-/Mikro-BHKWs]],Dropdown!$A$2:$D$4,4,FALSE)</f>
        <v>-</v>
      </c>
      <c r="T6" s="61" t="str">
        <f>VLOOKUP(Tabelle1823[[#This Row],[Lastflexibilisierung mittels 
Batteriespeichern]],Dropdown!$A$2:$D$4,4,FALSE)</f>
        <v>-</v>
      </c>
    </row>
    <row r="7" spans="1:20" x14ac:dyDescent="0.2">
      <c r="A7" s="6" t="s">
        <v>355</v>
      </c>
      <c r="B7" s="61" t="str">
        <f>VLOOKUP(Tabelle1823[[#This Row],[Kühlschränke]],Dropdown!$A$2:$D$4,4,FALSE)</f>
        <v>X</v>
      </c>
      <c r="C7" s="61" t="str">
        <f>VLOOKUP(Tabelle1823[[#This Row],[Geschirrspüler]],Dropdown!$A$2:$D$4,4,FALSE)</f>
        <v>X</v>
      </c>
      <c r="D7" s="61" t="str">
        <f>VLOOKUP(Tabelle1823[[#This Row],[Wäschetrockner]],Dropdown!$A$2:$D$4,4,FALSE)</f>
        <v>X</v>
      </c>
      <c r="E7" s="61" t="str">
        <f>VLOOKUP(Tabelle1823[[#This Row],[Waschmaschinen]],Dropdown!$A$2:$D$4,4,FALSE)</f>
        <v>X</v>
      </c>
      <c r="F7" s="61" t="str">
        <f>VLOOKUP(Tabelle1823[[#This Row],[Raumklimatisierung (Klimaanlagen)]],Dropdown!$A$2:$D$4,4,FALSE)</f>
        <v>X</v>
      </c>
      <c r="G7" s="61" t="str">
        <f>VLOOKUP(Tabelle1823[[#This Row],[Wärmepumpen]],Dropdown!$A$2:$D$4,4,FALSE)</f>
        <v>X</v>
      </c>
      <c r="H7" s="61" t="str">
        <f>VLOOKUP(Tabelle1823[[#This Row],[Hybrid-Wärmepumpen]],Dropdown!$A$2:$D$4,4,FALSE)</f>
        <v>-</v>
      </c>
      <c r="I7" s="61" t="str">
        <f>VLOOKUP(Tabelle1823[[#This Row],[Nachtspeicherheizungen]],Dropdown!$A$2:$D$4,4,FALSE)</f>
        <v>X</v>
      </c>
      <c r="J7" s="61" t="str">
        <f>VLOOKUP(Tabelle1823[[#This Row],[Kühl- und Gefrierkombinationen]],Dropdown!$A$2:$D$4,4,FALSE)</f>
        <v>X</v>
      </c>
      <c r="K7" s="61" t="str">
        <f>VLOOKUP(Tabelle1823[[#This Row],[elektrische Warmwassererzeugung]],Dropdown!$A$2:$D$4,4,FALSE)</f>
        <v>X</v>
      </c>
      <c r="L7" s="61" t="str">
        <f>VLOOKUP(Tabelle1823[[#This Row],[Gefrierschränke und -truhen]],Dropdown!$A$2:$D$4,4,FALSE)</f>
        <v>X</v>
      </c>
      <c r="M7" s="61" t="str">
        <f>VLOOKUP(Tabelle1823[[#This Row],[Elektrische Öfen]],Dropdown!$A$2:$D$4,4,FALSE)</f>
        <v>-</v>
      </c>
      <c r="N7" s="61" t="str">
        <f>VLOOKUP(Tabelle1823[[#This Row],[elektrische Direktheizungen]],Dropdown!$A$2:$D$4,4,FALSE)</f>
        <v>-</v>
      </c>
      <c r="O7" s="61" t="str">
        <f>VLOOKUP(Tabelle1823[[#This Row],[Heizungsumwälzpumpen]],Dropdown!$A$2:$D$4,4,FALSE)</f>
        <v>-</v>
      </c>
      <c r="P7" s="61" t="str">
        <f>VLOOKUP(Tabelle1823[[#This Row],[Elektromobilität]],Dropdown!$A$2:$D$4,4,FALSE)</f>
        <v>-</v>
      </c>
      <c r="Q7" s="61" t="str">
        <f>VLOOKUP(Tabelle1823[[#This Row],[Smart Meter / intelligente Geräte]],Dropdown!$A$2:$D$4,4,FALSE)</f>
        <v>-</v>
      </c>
      <c r="R7" s="61" t="str">
        <f>VLOOKUP(Tabelle1823[[#This Row],[Photovoltaik]],Dropdown!$A$2:$D$4,4,FALSE)</f>
        <v>-</v>
      </c>
      <c r="S7" s="61" t="str">
        <f>VLOOKUP(Tabelle1823[[#This Row],[Mini-/Mikro-BHKWs]],Dropdown!$A$2:$D$4,4,FALSE)</f>
        <v>-</v>
      </c>
      <c r="T7" s="61" t="str">
        <f>VLOOKUP(Tabelle1823[[#This Row],[Lastflexibilisierung mittels 
Batteriespeichern]],Dropdown!$A$2:$D$4,4,FALSE)</f>
        <v>-</v>
      </c>
    </row>
    <row r="8" spans="1:20" x14ac:dyDescent="0.2">
      <c r="A8" s="6" t="s">
        <v>431</v>
      </c>
      <c r="B8" s="61" t="str">
        <f>VLOOKUP(Tabelle1823[[#This Row],[Kühlschränke]],Dropdown!$A$2:$D$4,4,FALSE)</f>
        <v>X</v>
      </c>
      <c r="C8" s="61" t="str">
        <f>VLOOKUP(Tabelle1823[[#This Row],[Geschirrspüler]],Dropdown!$A$2:$D$4,4,FALSE)</f>
        <v>X</v>
      </c>
      <c r="D8" s="61" t="str">
        <f>VLOOKUP(Tabelle1823[[#This Row],[Wäschetrockner]],Dropdown!$A$2:$D$4,4,FALSE)</f>
        <v>X</v>
      </c>
      <c r="E8" s="61" t="str">
        <f>VLOOKUP(Tabelle1823[[#This Row],[Waschmaschinen]],Dropdown!$A$2:$D$4,4,FALSE)</f>
        <v>X</v>
      </c>
      <c r="F8" s="61" t="str">
        <f>VLOOKUP(Tabelle1823[[#This Row],[Raumklimatisierung (Klimaanlagen)]],Dropdown!$A$2:$D$4,4,FALSE)</f>
        <v>X</v>
      </c>
      <c r="G8" s="61" t="str">
        <f>VLOOKUP(Tabelle1823[[#This Row],[Wärmepumpen]],Dropdown!$A$2:$D$4,4,FALSE)</f>
        <v>X</v>
      </c>
      <c r="H8" s="61" t="str">
        <f>VLOOKUP(Tabelle1823[[#This Row],[Hybrid-Wärmepumpen]],Dropdown!$A$2:$D$4,4,FALSE)</f>
        <v>-</v>
      </c>
      <c r="I8" s="61" t="str">
        <f>VLOOKUP(Tabelle1823[[#This Row],[Nachtspeicherheizungen]],Dropdown!$A$2:$D$4,4,FALSE)</f>
        <v>X</v>
      </c>
      <c r="J8" s="61" t="str">
        <f>VLOOKUP(Tabelle1823[[#This Row],[Kühl- und Gefrierkombinationen]],Dropdown!$A$2:$D$4,4,FALSE)</f>
        <v>-</v>
      </c>
      <c r="K8" s="61" t="str">
        <f>VLOOKUP(Tabelle1823[[#This Row],[elektrische Warmwassererzeugung]],Dropdown!$A$2:$D$4,4,FALSE)</f>
        <v>-</v>
      </c>
      <c r="L8" s="61" t="str">
        <f>VLOOKUP(Tabelle1823[[#This Row],[Gefrierschränke und -truhen]],Dropdown!$A$2:$D$4,4,FALSE)</f>
        <v>X</v>
      </c>
      <c r="M8" s="61" t="str">
        <f>VLOOKUP(Tabelle1823[[#This Row],[Elektrische Öfen]],Dropdown!$A$2:$D$4,4,FALSE)</f>
        <v>-</v>
      </c>
      <c r="N8" s="61" t="str">
        <f>VLOOKUP(Tabelle1823[[#This Row],[elektrische Direktheizungen]],Dropdown!$A$2:$D$4,4,FALSE)</f>
        <v>-</v>
      </c>
      <c r="O8" s="61" t="str">
        <f>VLOOKUP(Tabelle1823[[#This Row],[Heizungsumwälzpumpen]],Dropdown!$A$2:$D$4,4,FALSE)</f>
        <v>-</v>
      </c>
      <c r="P8" s="61" t="str">
        <f>VLOOKUP(Tabelle1823[[#This Row],[Elektromobilität]],Dropdown!$A$2:$D$4,4,FALSE)</f>
        <v>-</v>
      </c>
      <c r="Q8" s="61" t="str">
        <f>VLOOKUP(Tabelle1823[[#This Row],[Smart Meter / intelligente Geräte]],Dropdown!$A$2:$D$4,4,FALSE)</f>
        <v>-</v>
      </c>
      <c r="R8" s="61" t="str">
        <f>VLOOKUP(Tabelle1823[[#This Row],[Photovoltaik]],Dropdown!$A$2:$D$4,4,FALSE)</f>
        <v>-</v>
      </c>
      <c r="S8" s="61" t="str">
        <f>VLOOKUP(Tabelle1823[[#This Row],[Mini-/Mikro-BHKWs]],Dropdown!$A$2:$D$4,4,FALSE)</f>
        <v>-</v>
      </c>
      <c r="T8" s="61" t="str">
        <f>VLOOKUP(Tabelle1823[[#This Row],[Lastflexibilisierung mittels 
Batteriespeichern]],Dropdown!$A$2:$D$4,4,FALSE)</f>
        <v>-</v>
      </c>
    </row>
    <row r="9" spans="1:20" x14ac:dyDescent="0.2">
      <c r="A9" s="6" t="s">
        <v>410</v>
      </c>
      <c r="B9" s="61" t="str">
        <f>VLOOKUP(Tabelle1823[[#This Row],[Kühlschränke]],Dropdown!$A$2:$D$4,4,FALSE)</f>
        <v>-</v>
      </c>
      <c r="C9" s="61" t="str">
        <f>VLOOKUP(Tabelle1823[[#This Row],[Geschirrspüler]],Dropdown!$A$2:$D$4,4,FALSE)</f>
        <v>-</v>
      </c>
      <c r="D9" s="61" t="str">
        <f>VLOOKUP(Tabelle1823[[#This Row],[Wäschetrockner]],Dropdown!$A$2:$D$4,4,FALSE)</f>
        <v>-</v>
      </c>
      <c r="E9" s="61" t="str">
        <f>VLOOKUP(Tabelle1823[[#This Row],[Waschmaschinen]],Dropdown!$A$2:$D$4,4,FALSE)</f>
        <v>-</v>
      </c>
      <c r="F9" s="61" t="str">
        <f>VLOOKUP(Tabelle1823[[#This Row],[Raumklimatisierung (Klimaanlagen)]],Dropdown!$A$2:$D$4,4,FALSE)</f>
        <v>-</v>
      </c>
      <c r="G9" s="61" t="str">
        <f>VLOOKUP(Tabelle1823[[#This Row],[Wärmepumpen]],Dropdown!$A$2:$D$4,4,FALSE)</f>
        <v>-</v>
      </c>
      <c r="H9" s="61" t="str">
        <f>VLOOKUP(Tabelle1823[[#This Row],[Hybrid-Wärmepumpen]],Dropdown!$A$2:$D$4,4,FALSE)</f>
        <v>-</v>
      </c>
      <c r="I9" s="61" t="str">
        <f>VLOOKUP(Tabelle1823[[#This Row],[Nachtspeicherheizungen]],Dropdown!$A$2:$D$4,4,FALSE)</f>
        <v>-</v>
      </c>
      <c r="J9" s="61" t="str">
        <f>VLOOKUP(Tabelle1823[[#This Row],[Kühl- und Gefrierkombinationen]],Dropdown!$A$2:$D$4,4,FALSE)</f>
        <v>-</v>
      </c>
      <c r="K9" s="61" t="str">
        <f>VLOOKUP(Tabelle1823[[#This Row],[elektrische Warmwassererzeugung]],Dropdown!$A$2:$D$4,4,FALSE)</f>
        <v>-</v>
      </c>
      <c r="L9" s="61" t="str">
        <f>VLOOKUP(Tabelle1823[[#This Row],[Gefrierschränke und -truhen]],Dropdown!$A$2:$D$4,4,FALSE)</f>
        <v>-</v>
      </c>
      <c r="M9" s="61" t="str">
        <f>VLOOKUP(Tabelle1823[[#This Row],[Elektrische Öfen]],Dropdown!$A$2:$D$4,4,FALSE)</f>
        <v>-</v>
      </c>
      <c r="N9" s="61" t="str">
        <f>VLOOKUP(Tabelle1823[[#This Row],[elektrische Direktheizungen]],Dropdown!$A$2:$D$4,4,FALSE)</f>
        <v>-</v>
      </c>
      <c r="O9" s="61" t="str">
        <f>VLOOKUP(Tabelle1823[[#This Row],[Heizungsumwälzpumpen]],Dropdown!$A$2:$D$4,4,FALSE)</f>
        <v>-</v>
      </c>
      <c r="P9" s="61" t="str">
        <f>VLOOKUP(Tabelle1823[[#This Row],[Elektromobilität]],Dropdown!$A$2:$D$4,4,FALSE)</f>
        <v>-</v>
      </c>
      <c r="Q9" s="61" t="str">
        <f>VLOOKUP(Tabelle1823[[#This Row],[Smart Meter / intelligente Geräte]],Dropdown!$A$2:$D$4,4,FALSE)</f>
        <v>-</v>
      </c>
      <c r="R9" s="61" t="str">
        <f>VLOOKUP(Tabelle1823[[#This Row],[Photovoltaik]],Dropdown!$A$2:$D$4,4,FALSE)</f>
        <v>-</v>
      </c>
      <c r="S9" s="61" t="str">
        <f>VLOOKUP(Tabelle1823[[#This Row],[Mini-/Mikro-BHKWs]],Dropdown!$A$2:$D$4,4,FALSE)</f>
        <v>-</v>
      </c>
      <c r="T9" s="61" t="str">
        <f>VLOOKUP(Tabelle1823[[#This Row],[Lastflexibilisierung mittels 
Batteriespeichern]],Dropdown!$A$2:$D$4,4,FALSE)</f>
        <v>-</v>
      </c>
    </row>
    <row r="10" spans="1:20" x14ac:dyDescent="0.2">
      <c r="A10" s="6" t="s">
        <v>393</v>
      </c>
      <c r="B10" s="61" t="str">
        <f>VLOOKUP(Tabelle1823[[#This Row],[Kühlschränke]],Dropdown!$A$2:$D$4,4,FALSE)</f>
        <v>X</v>
      </c>
      <c r="C10" s="61" t="str">
        <f>VLOOKUP(Tabelle1823[[#This Row],[Geschirrspüler]],Dropdown!$A$2:$D$4,4,FALSE)</f>
        <v>-</v>
      </c>
      <c r="D10" s="61" t="str">
        <f>VLOOKUP(Tabelle1823[[#This Row],[Wäschetrockner]],Dropdown!$A$2:$D$4,4,FALSE)</f>
        <v>-</v>
      </c>
      <c r="E10" s="61" t="str">
        <f>VLOOKUP(Tabelle1823[[#This Row],[Waschmaschinen]],Dropdown!$A$2:$D$4,4,FALSE)</f>
        <v>-</v>
      </c>
      <c r="F10" s="61" t="str">
        <f>VLOOKUP(Tabelle1823[[#This Row],[Raumklimatisierung (Klimaanlagen)]],Dropdown!$A$2:$D$4,4,FALSE)</f>
        <v>-</v>
      </c>
      <c r="G10" s="61" t="str">
        <f>VLOOKUP(Tabelle1823[[#This Row],[Wärmepumpen]],Dropdown!$A$2:$D$4,4,FALSE)</f>
        <v>-</v>
      </c>
      <c r="H10" s="61" t="str">
        <f>VLOOKUP(Tabelle1823[[#This Row],[Hybrid-Wärmepumpen]],Dropdown!$A$2:$D$4,4,FALSE)</f>
        <v>-</v>
      </c>
      <c r="I10" s="61" t="str">
        <f>VLOOKUP(Tabelle1823[[#This Row],[Nachtspeicherheizungen]],Dropdown!$A$2:$D$4,4,FALSE)</f>
        <v>-</v>
      </c>
      <c r="J10" s="61" t="str">
        <f>VLOOKUP(Tabelle1823[[#This Row],[Kühl- und Gefrierkombinationen]],Dropdown!$A$2:$D$4,4,FALSE)</f>
        <v>X</v>
      </c>
      <c r="K10" s="61" t="str">
        <f>VLOOKUP(Tabelle1823[[#This Row],[elektrische Warmwassererzeugung]],Dropdown!$A$2:$D$4,4,FALSE)</f>
        <v>X</v>
      </c>
      <c r="L10" s="61" t="str">
        <f>VLOOKUP(Tabelle1823[[#This Row],[Gefrierschränke und -truhen]],Dropdown!$A$2:$D$4,4,FALSE)</f>
        <v>X</v>
      </c>
      <c r="M10" s="61" t="str">
        <f>VLOOKUP(Tabelle1823[[#This Row],[Elektrische Öfen]],Dropdown!$A$2:$D$4,4,FALSE)</f>
        <v>-</v>
      </c>
      <c r="N10" s="61" t="str">
        <f>VLOOKUP(Tabelle1823[[#This Row],[elektrische Direktheizungen]],Dropdown!$A$2:$D$4,4,FALSE)</f>
        <v>-</v>
      </c>
      <c r="O10" s="61" t="str">
        <f>VLOOKUP(Tabelle1823[[#This Row],[Heizungsumwälzpumpen]],Dropdown!$A$2:$D$4,4,FALSE)</f>
        <v>-</v>
      </c>
      <c r="P10" s="61" t="str">
        <f>VLOOKUP(Tabelle1823[[#This Row],[Elektromobilität]],Dropdown!$A$2:$D$4,4,FALSE)</f>
        <v>-</v>
      </c>
      <c r="Q10" s="61" t="str">
        <f>VLOOKUP(Tabelle1823[[#This Row],[Smart Meter / intelligente Geräte]],Dropdown!$A$2:$D$4,4,FALSE)</f>
        <v>-</v>
      </c>
      <c r="R10" s="61" t="str">
        <f>VLOOKUP(Tabelle1823[[#This Row],[Photovoltaik]],Dropdown!$A$2:$D$4,4,FALSE)</f>
        <v>-</v>
      </c>
      <c r="S10" s="61" t="str">
        <f>VLOOKUP(Tabelle1823[[#This Row],[Mini-/Mikro-BHKWs]],Dropdown!$A$2:$D$4,4,FALSE)</f>
        <v>-</v>
      </c>
      <c r="T10" s="61" t="str">
        <f>VLOOKUP(Tabelle1823[[#This Row],[Lastflexibilisierung mittels 
Batteriespeichern]],Dropdown!$A$2:$D$4,4,FALSE)</f>
        <v>-</v>
      </c>
    </row>
    <row r="11" spans="1:20" ht="38.25" x14ac:dyDescent="0.2">
      <c r="A11" s="6" t="s">
        <v>380</v>
      </c>
      <c r="B11" s="61" t="str">
        <f>VLOOKUP(Tabelle1823[[#This Row],[Kühlschränke]],Dropdown!$A$2:$D$4,4,FALSE)</f>
        <v>-</v>
      </c>
      <c r="C11" s="61" t="str">
        <f>VLOOKUP(Tabelle1823[[#This Row],[Geschirrspüler]],Dropdown!$A$2:$D$4,4,FALSE)</f>
        <v>-</v>
      </c>
      <c r="D11" s="61" t="str">
        <f>VLOOKUP(Tabelle1823[[#This Row],[Wäschetrockner]],Dropdown!$A$2:$D$4,4,FALSE)</f>
        <v>-</v>
      </c>
      <c r="E11" s="61" t="str">
        <f>VLOOKUP(Tabelle1823[[#This Row],[Waschmaschinen]],Dropdown!$A$2:$D$4,4,FALSE)</f>
        <v>-</v>
      </c>
      <c r="F11" s="61" t="str">
        <f>VLOOKUP(Tabelle1823[[#This Row],[Raumklimatisierung (Klimaanlagen)]],Dropdown!$A$2:$D$4,4,FALSE)</f>
        <v>-</v>
      </c>
      <c r="G11" s="61" t="str">
        <f>VLOOKUP(Tabelle1823[[#This Row],[Wärmepumpen]],Dropdown!$A$2:$D$4,4,FALSE)</f>
        <v>-</v>
      </c>
      <c r="H11" s="61" t="str">
        <f>VLOOKUP(Tabelle1823[[#This Row],[Hybrid-Wärmepumpen]],Dropdown!$A$2:$D$4,4,FALSE)</f>
        <v>X</v>
      </c>
      <c r="I11" s="61" t="str">
        <f>VLOOKUP(Tabelle1823[[#This Row],[Nachtspeicherheizungen]],Dropdown!$A$2:$D$4,4,FALSE)</f>
        <v>-</v>
      </c>
      <c r="J11" s="61" t="str">
        <f>VLOOKUP(Tabelle1823[[#This Row],[Kühl- und Gefrierkombinationen]],Dropdown!$A$2:$D$4,4,FALSE)</f>
        <v>-</v>
      </c>
      <c r="K11" s="61" t="str">
        <f>VLOOKUP(Tabelle1823[[#This Row],[elektrische Warmwassererzeugung]],Dropdown!$A$2:$D$4,4,FALSE)</f>
        <v>X</v>
      </c>
      <c r="L11" s="61" t="str">
        <f>VLOOKUP(Tabelle1823[[#This Row],[Gefrierschränke und -truhen]],Dropdown!$A$2:$D$4,4,FALSE)</f>
        <v>-</v>
      </c>
      <c r="M11" s="61" t="str">
        <f>VLOOKUP(Tabelle1823[[#This Row],[Elektrische Öfen]],Dropdown!$A$2:$D$4,4,FALSE)</f>
        <v>-</v>
      </c>
      <c r="N11" s="61" t="str">
        <f>VLOOKUP(Tabelle1823[[#This Row],[elektrische Direktheizungen]],Dropdown!$A$2:$D$4,4,FALSE)</f>
        <v>-</v>
      </c>
      <c r="O11" s="61" t="str">
        <f>VLOOKUP(Tabelle1823[[#This Row],[Heizungsumwälzpumpen]],Dropdown!$A$2:$D$4,4,FALSE)</f>
        <v>-</v>
      </c>
      <c r="P11" s="61" t="str">
        <f>VLOOKUP(Tabelle1823[[#This Row],[Elektromobilität]],Dropdown!$A$2:$D$4,4,FALSE)</f>
        <v>-</v>
      </c>
      <c r="Q11" s="61" t="str">
        <f>VLOOKUP(Tabelle1823[[#This Row],[Smart Meter / intelligente Geräte]],Dropdown!$A$2:$D$4,4,FALSE)</f>
        <v>-</v>
      </c>
      <c r="R11" s="61" t="str">
        <f>VLOOKUP(Tabelle1823[[#This Row],[Photovoltaik]],Dropdown!$A$2:$D$4,4,FALSE)</f>
        <v>-</v>
      </c>
      <c r="S11" s="61" t="str">
        <f>VLOOKUP(Tabelle1823[[#This Row],[Mini-/Mikro-BHKWs]],Dropdown!$A$2:$D$4,4,FALSE)</f>
        <v>-</v>
      </c>
      <c r="T11" s="61" t="str">
        <f>VLOOKUP(Tabelle1823[[#This Row],[Lastflexibilisierung mittels 
Batteriespeichern]],Dropdown!$A$2:$D$4,4,FALSE)</f>
        <v>-</v>
      </c>
    </row>
    <row r="12" spans="1:20" ht="25.5" x14ac:dyDescent="0.2">
      <c r="A12" s="6" t="s">
        <v>95</v>
      </c>
      <c r="B12" s="61" t="str">
        <f>VLOOKUP(Tabelle1823[[#This Row],[Kühlschränke]],Dropdown!$A$2:$D$4,4,FALSE)</f>
        <v>X</v>
      </c>
      <c r="C12" s="61" t="str">
        <f>VLOOKUP(Tabelle1823[[#This Row],[Geschirrspüler]],Dropdown!$A$2:$D$4,4,FALSE)</f>
        <v>X</v>
      </c>
      <c r="D12" s="61" t="str">
        <f>VLOOKUP(Tabelle1823[[#This Row],[Wäschetrockner]],Dropdown!$A$2:$D$4,4,FALSE)</f>
        <v>X</v>
      </c>
      <c r="E12" s="61" t="str">
        <f>VLOOKUP(Tabelle1823[[#This Row],[Waschmaschinen]],Dropdown!$A$2:$D$4,4,FALSE)</f>
        <v>X</v>
      </c>
      <c r="F12" s="61" t="str">
        <f>VLOOKUP(Tabelle1823[[#This Row],[Raumklimatisierung (Klimaanlagen)]],Dropdown!$A$2:$D$4,4,FALSE)</f>
        <v>-</v>
      </c>
      <c r="G12" s="61" t="str">
        <f>VLOOKUP(Tabelle1823[[#This Row],[Wärmepumpen]],Dropdown!$A$2:$D$4,4,FALSE)</f>
        <v>X</v>
      </c>
      <c r="H12" s="61" t="str">
        <f>VLOOKUP(Tabelle1823[[#This Row],[Hybrid-Wärmepumpen]],Dropdown!$A$2:$D$4,4,FALSE)</f>
        <v>-</v>
      </c>
      <c r="I12" s="61" t="str">
        <f>VLOOKUP(Tabelle1823[[#This Row],[Nachtspeicherheizungen]],Dropdown!$A$2:$D$4,4,FALSE)</f>
        <v>X</v>
      </c>
      <c r="J12" s="61" t="str">
        <f>VLOOKUP(Tabelle1823[[#This Row],[Kühl- und Gefrierkombinationen]],Dropdown!$A$2:$D$4,4,FALSE)</f>
        <v>X</v>
      </c>
      <c r="K12" s="61" t="str">
        <f>VLOOKUP(Tabelle1823[[#This Row],[elektrische Warmwassererzeugung]],Dropdown!$A$2:$D$4,4,FALSE)</f>
        <v>X</v>
      </c>
      <c r="L12" s="61" t="str">
        <f>VLOOKUP(Tabelle1823[[#This Row],[Gefrierschränke und -truhen]],Dropdown!$A$2:$D$4,4,FALSE)</f>
        <v>X</v>
      </c>
      <c r="M12" s="61" t="str">
        <f>VLOOKUP(Tabelle1823[[#This Row],[Elektrische Öfen]],Dropdown!$A$2:$D$4,4,FALSE)</f>
        <v>-</v>
      </c>
      <c r="N12" s="61" t="str">
        <f>VLOOKUP(Tabelle1823[[#This Row],[elektrische Direktheizungen]],Dropdown!$A$2:$D$4,4,FALSE)</f>
        <v>-</v>
      </c>
      <c r="O12" s="61" t="str">
        <f>VLOOKUP(Tabelle1823[[#This Row],[Heizungsumwälzpumpen]],Dropdown!$A$2:$D$4,4,FALSE)</f>
        <v>X</v>
      </c>
      <c r="P12" s="61" t="str">
        <f>VLOOKUP(Tabelle1823[[#This Row],[Elektromobilität]],Dropdown!$A$2:$D$4,4,FALSE)</f>
        <v>-</v>
      </c>
      <c r="Q12" s="61" t="str">
        <f>VLOOKUP(Tabelle1823[[#This Row],[Smart Meter / intelligente Geräte]],Dropdown!$A$2:$D$4,4,FALSE)</f>
        <v>-</v>
      </c>
      <c r="R12" s="61" t="str">
        <f>VLOOKUP(Tabelle1823[[#This Row],[Photovoltaik]],Dropdown!$A$2:$D$4,4,FALSE)</f>
        <v>-</v>
      </c>
      <c r="S12" s="61" t="str">
        <f>VLOOKUP(Tabelle1823[[#This Row],[Mini-/Mikro-BHKWs]],Dropdown!$A$2:$D$4,4,FALSE)</f>
        <v>-</v>
      </c>
      <c r="T12" s="61" t="str">
        <f>VLOOKUP(Tabelle1823[[#This Row],[Lastflexibilisierung mittels 
Batteriespeichern]],Dropdown!$A$2:$D$4,4,FALSE)</f>
        <v>-</v>
      </c>
    </row>
    <row r="13" spans="1:20" ht="38.25" x14ac:dyDescent="0.2">
      <c r="A13" s="6" t="s">
        <v>1709</v>
      </c>
      <c r="B13" s="61" t="str">
        <f>VLOOKUP(Tabelle1823[[#This Row],[Kühlschränke]],Dropdown!$A$2:$D$4,4,FALSE)</f>
        <v>-</v>
      </c>
      <c r="C13" s="61" t="str">
        <f>VLOOKUP(Tabelle1823[[#This Row],[Geschirrspüler]],Dropdown!$A$2:$D$4,4,FALSE)</f>
        <v>-</v>
      </c>
      <c r="D13" s="61" t="str">
        <f>VLOOKUP(Tabelle1823[[#This Row],[Wäschetrockner]],Dropdown!$A$2:$D$4,4,FALSE)</f>
        <v>-</v>
      </c>
      <c r="E13" s="61" t="str">
        <f>VLOOKUP(Tabelle1823[[#This Row],[Waschmaschinen]],Dropdown!$A$2:$D$4,4,FALSE)</f>
        <v>-</v>
      </c>
      <c r="F13" s="61" t="str">
        <f>VLOOKUP(Tabelle1823[[#This Row],[Raumklimatisierung (Klimaanlagen)]],Dropdown!$A$2:$D$4,4,FALSE)</f>
        <v>-</v>
      </c>
      <c r="G13" s="61" t="str">
        <f>VLOOKUP(Tabelle1823[[#This Row],[Wärmepumpen]],Dropdown!$A$2:$D$4,4,FALSE)</f>
        <v>-</v>
      </c>
      <c r="H13" s="61" t="str">
        <f>VLOOKUP(Tabelle1823[[#This Row],[Hybrid-Wärmepumpen]],Dropdown!$A$2:$D$4,4,FALSE)</f>
        <v>-</v>
      </c>
      <c r="I13" s="61" t="str">
        <f>VLOOKUP(Tabelle1823[[#This Row],[Nachtspeicherheizungen]],Dropdown!$A$2:$D$4,4,FALSE)</f>
        <v>-</v>
      </c>
      <c r="J13" s="61" t="str">
        <f>VLOOKUP(Tabelle1823[[#This Row],[Kühl- und Gefrierkombinationen]],Dropdown!$A$2:$D$4,4,FALSE)</f>
        <v>-</v>
      </c>
      <c r="K13" s="61" t="str">
        <f>VLOOKUP(Tabelle1823[[#This Row],[elektrische Warmwassererzeugung]],Dropdown!$A$2:$D$4,4,FALSE)</f>
        <v>-</v>
      </c>
      <c r="L13" s="61" t="str">
        <f>VLOOKUP(Tabelle1823[[#This Row],[Gefrierschränke und -truhen]],Dropdown!$A$2:$D$4,4,FALSE)</f>
        <v>-</v>
      </c>
      <c r="M13" s="61" t="str">
        <f>VLOOKUP(Tabelle1823[[#This Row],[Elektrische Öfen]],Dropdown!$A$2:$D$4,4,FALSE)</f>
        <v>-</v>
      </c>
      <c r="N13" s="61" t="str">
        <f>VLOOKUP(Tabelle1823[[#This Row],[elektrische Direktheizungen]],Dropdown!$A$2:$D$4,4,FALSE)</f>
        <v>-</v>
      </c>
      <c r="O13" s="61" t="str">
        <f>VLOOKUP(Tabelle1823[[#This Row],[Heizungsumwälzpumpen]],Dropdown!$A$2:$D$4,4,FALSE)</f>
        <v>-</v>
      </c>
      <c r="P13" s="61" t="str">
        <f>VLOOKUP(Tabelle1823[[#This Row],[Elektromobilität]],Dropdown!$A$2:$D$4,4,FALSE)</f>
        <v>-</v>
      </c>
      <c r="Q13" s="61" t="str">
        <f>VLOOKUP(Tabelle1823[[#This Row],[Smart Meter / intelligente Geräte]],Dropdown!$A$2:$D$4,4,FALSE)</f>
        <v>-</v>
      </c>
      <c r="R13" s="61" t="str">
        <f>VLOOKUP(Tabelle1823[[#This Row],[Photovoltaik]],Dropdown!$A$2:$D$4,4,FALSE)</f>
        <v>-</v>
      </c>
      <c r="S13" s="61" t="str">
        <f>VLOOKUP(Tabelle1823[[#This Row],[Mini-/Mikro-BHKWs]],Dropdown!$A$2:$D$4,4,FALSE)</f>
        <v>-</v>
      </c>
      <c r="T13" s="61" t="str">
        <f>VLOOKUP(Tabelle1823[[#This Row],[Lastflexibilisierung mittels 
Batteriespeichern]],Dropdown!$A$2:$D$4,4,FALSE)</f>
        <v>-</v>
      </c>
    </row>
    <row r="14" spans="1:20" x14ac:dyDescent="0.2">
      <c r="A14" s="6" t="s">
        <v>179</v>
      </c>
      <c r="B14" s="61" t="str">
        <f>VLOOKUP(Tabelle1823[[#This Row],[Kühlschränke]],Dropdown!$A$2:$D$4,4,FALSE)</f>
        <v>-</v>
      </c>
      <c r="C14" s="61" t="str">
        <f>VLOOKUP(Tabelle1823[[#This Row],[Geschirrspüler]],Dropdown!$A$2:$D$4,4,FALSE)</f>
        <v>-</v>
      </c>
      <c r="D14" s="61" t="str">
        <f>VLOOKUP(Tabelle1823[[#This Row],[Wäschetrockner]],Dropdown!$A$2:$D$4,4,FALSE)</f>
        <v>-</v>
      </c>
      <c r="E14" s="61" t="str">
        <f>VLOOKUP(Tabelle1823[[#This Row],[Waschmaschinen]],Dropdown!$A$2:$D$4,4,FALSE)</f>
        <v>-</v>
      </c>
      <c r="F14" s="61" t="str">
        <f>VLOOKUP(Tabelle1823[[#This Row],[Raumklimatisierung (Klimaanlagen)]],Dropdown!$A$2:$D$4,4,FALSE)</f>
        <v>-</v>
      </c>
      <c r="G14" s="61" t="str">
        <f>VLOOKUP(Tabelle1823[[#This Row],[Wärmepumpen]],Dropdown!$A$2:$D$4,4,FALSE)</f>
        <v>X</v>
      </c>
      <c r="H14" s="61" t="str">
        <f>VLOOKUP(Tabelle1823[[#This Row],[Hybrid-Wärmepumpen]],Dropdown!$A$2:$D$4,4,FALSE)</f>
        <v>-</v>
      </c>
      <c r="I14" s="61" t="str">
        <f>VLOOKUP(Tabelle1823[[#This Row],[Nachtspeicherheizungen]],Dropdown!$A$2:$D$4,4,FALSE)</f>
        <v>X</v>
      </c>
      <c r="J14" s="61" t="str">
        <f>VLOOKUP(Tabelle1823[[#This Row],[Kühl- und Gefrierkombinationen]],Dropdown!$A$2:$D$4,4,FALSE)</f>
        <v>-</v>
      </c>
      <c r="K14" s="61" t="str">
        <f>VLOOKUP(Tabelle1823[[#This Row],[elektrische Warmwassererzeugung]],Dropdown!$A$2:$D$4,4,FALSE)</f>
        <v>-</v>
      </c>
      <c r="L14" s="61" t="str">
        <f>VLOOKUP(Tabelle1823[[#This Row],[Gefrierschränke und -truhen]],Dropdown!$A$2:$D$4,4,FALSE)</f>
        <v>-</v>
      </c>
      <c r="M14" s="61" t="str">
        <f>VLOOKUP(Tabelle1823[[#This Row],[Elektrische Öfen]],Dropdown!$A$2:$D$4,4,FALSE)</f>
        <v>-</v>
      </c>
      <c r="N14" s="61" t="str">
        <f>VLOOKUP(Tabelle1823[[#This Row],[elektrische Direktheizungen]],Dropdown!$A$2:$D$4,4,FALSE)</f>
        <v>-</v>
      </c>
      <c r="O14" s="61" t="str">
        <f>VLOOKUP(Tabelle1823[[#This Row],[Heizungsumwälzpumpen]],Dropdown!$A$2:$D$4,4,FALSE)</f>
        <v>-</v>
      </c>
      <c r="P14" s="61" t="str">
        <f>VLOOKUP(Tabelle1823[[#This Row],[Elektromobilität]],Dropdown!$A$2:$D$4,4,FALSE)</f>
        <v>-</v>
      </c>
      <c r="Q14" s="61" t="str">
        <f>VLOOKUP(Tabelle1823[[#This Row],[Smart Meter / intelligente Geräte]],Dropdown!$A$2:$D$4,4,FALSE)</f>
        <v>-</v>
      </c>
      <c r="R14" s="61" t="str">
        <f>VLOOKUP(Tabelle1823[[#This Row],[Photovoltaik]],Dropdown!$A$2:$D$4,4,FALSE)</f>
        <v>-</v>
      </c>
      <c r="S14" s="61" t="str">
        <f>VLOOKUP(Tabelle1823[[#This Row],[Mini-/Mikro-BHKWs]],Dropdown!$A$2:$D$4,4,FALSE)</f>
        <v>-</v>
      </c>
      <c r="T14" s="61" t="str">
        <f>VLOOKUP(Tabelle1823[[#This Row],[Lastflexibilisierung mittels 
Batteriespeichern]],Dropdown!$A$2:$D$4,4,FALSE)</f>
        <v>-</v>
      </c>
    </row>
    <row r="15" spans="1:20" x14ac:dyDescent="0.2">
      <c r="A15" s="6" t="s">
        <v>341</v>
      </c>
      <c r="B15" s="61" t="str">
        <f>VLOOKUP(Tabelle1823[[#This Row],[Kühlschränke]],Dropdown!$A$2:$D$4,4,FALSE)</f>
        <v>-</v>
      </c>
      <c r="C15" s="61" t="str">
        <f>VLOOKUP(Tabelle1823[[#This Row],[Geschirrspüler]],Dropdown!$A$2:$D$4,4,FALSE)</f>
        <v>-</v>
      </c>
      <c r="D15" s="61" t="str">
        <f>VLOOKUP(Tabelle1823[[#This Row],[Wäschetrockner]],Dropdown!$A$2:$D$4,4,FALSE)</f>
        <v>-</v>
      </c>
      <c r="E15" s="61" t="str">
        <f>VLOOKUP(Tabelle1823[[#This Row],[Waschmaschinen]],Dropdown!$A$2:$D$4,4,FALSE)</f>
        <v>-</v>
      </c>
      <c r="F15" s="61" t="str">
        <f>VLOOKUP(Tabelle1823[[#This Row],[Raumklimatisierung (Klimaanlagen)]],Dropdown!$A$2:$D$4,4,FALSE)</f>
        <v>-</v>
      </c>
      <c r="G15" s="61" t="str">
        <f>VLOOKUP(Tabelle1823[[#This Row],[Wärmepumpen]],Dropdown!$A$2:$D$4,4,FALSE)</f>
        <v>X</v>
      </c>
      <c r="H15" s="61" t="str">
        <f>VLOOKUP(Tabelle1823[[#This Row],[Hybrid-Wärmepumpen]],Dropdown!$A$2:$D$4,4,FALSE)</f>
        <v>-</v>
      </c>
      <c r="I15" s="61" t="str">
        <f>VLOOKUP(Tabelle1823[[#This Row],[Nachtspeicherheizungen]],Dropdown!$A$2:$D$4,4,FALSE)</f>
        <v>X</v>
      </c>
      <c r="J15" s="61" t="str">
        <f>VLOOKUP(Tabelle1823[[#This Row],[Kühl- und Gefrierkombinationen]],Dropdown!$A$2:$D$4,4,FALSE)</f>
        <v>-</v>
      </c>
      <c r="K15" s="61" t="str">
        <f>VLOOKUP(Tabelle1823[[#This Row],[elektrische Warmwassererzeugung]],Dropdown!$A$2:$D$4,4,FALSE)</f>
        <v>X</v>
      </c>
      <c r="L15" s="61" t="str">
        <f>VLOOKUP(Tabelle1823[[#This Row],[Gefrierschränke und -truhen]],Dropdown!$A$2:$D$4,4,FALSE)</f>
        <v>-</v>
      </c>
      <c r="M15" s="61" t="str">
        <f>VLOOKUP(Tabelle1823[[#This Row],[Elektrische Öfen]],Dropdown!$A$2:$D$4,4,FALSE)</f>
        <v>-</v>
      </c>
      <c r="N15" s="61" t="str">
        <f>VLOOKUP(Tabelle1823[[#This Row],[elektrische Direktheizungen]],Dropdown!$A$2:$D$4,4,FALSE)</f>
        <v>-</v>
      </c>
      <c r="O15" s="61" t="str">
        <f>VLOOKUP(Tabelle1823[[#This Row],[Heizungsumwälzpumpen]],Dropdown!$A$2:$D$4,4,FALSE)</f>
        <v>-</v>
      </c>
      <c r="P15" s="61" t="str">
        <f>VLOOKUP(Tabelle1823[[#This Row],[Elektromobilität]],Dropdown!$A$2:$D$4,4,FALSE)</f>
        <v>X</v>
      </c>
      <c r="Q15" s="61" t="str">
        <f>VLOOKUP(Tabelle1823[[#This Row],[Smart Meter / intelligente Geräte]],Dropdown!$A$2:$D$4,4,FALSE)</f>
        <v>-</v>
      </c>
      <c r="R15" s="61" t="str">
        <f>VLOOKUP(Tabelle1823[[#This Row],[Photovoltaik]],Dropdown!$A$2:$D$4,4,FALSE)</f>
        <v>-</v>
      </c>
      <c r="S15" s="61" t="str">
        <f>VLOOKUP(Tabelle1823[[#This Row],[Mini-/Mikro-BHKWs]],Dropdown!$A$2:$D$4,4,FALSE)</f>
        <v>-</v>
      </c>
      <c r="T15" s="61" t="str">
        <f>VLOOKUP(Tabelle1823[[#This Row],[Lastflexibilisierung mittels 
Batteriespeichern]],Dropdown!$A$2:$D$4,4,FALSE)</f>
        <v>-</v>
      </c>
    </row>
    <row r="16" spans="1:20" x14ac:dyDescent="0.2">
      <c r="A16" s="6" t="s">
        <v>22</v>
      </c>
      <c r="B16" s="61" t="str">
        <f>VLOOKUP(Tabelle1823[[#This Row],[Kühlschränke]],Dropdown!$A$2:$D$4,4,FALSE)</f>
        <v>-</v>
      </c>
      <c r="C16" s="61" t="str">
        <f>VLOOKUP(Tabelle1823[[#This Row],[Geschirrspüler]],Dropdown!$A$2:$D$4,4,FALSE)</f>
        <v>-</v>
      </c>
      <c r="D16" s="61" t="str">
        <f>VLOOKUP(Tabelle1823[[#This Row],[Wäschetrockner]],Dropdown!$A$2:$D$4,4,FALSE)</f>
        <v>-</v>
      </c>
      <c r="E16" s="61" t="str">
        <f>VLOOKUP(Tabelle1823[[#This Row],[Waschmaschinen]],Dropdown!$A$2:$D$4,4,FALSE)</f>
        <v>-</v>
      </c>
      <c r="F16" s="61" t="str">
        <f>VLOOKUP(Tabelle1823[[#This Row],[Raumklimatisierung (Klimaanlagen)]],Dropdown!$A$2:$D$4,4,FALSE)</f>
        <v>-</v>
      </c>
      <c r="G16" s="61" t="str">
        <f>VLOOKUP(Tabelle1823[[#This Row],[Wärmepumpen]],Dropdown!$A$2:$D$4,4,FALSE)</f>
        <v>-</v>
      </c>
      <c r="H16" s="61" t="str">
        <f>VLOOKUP(Tabelle1823[[#This Row],[Hybrid-Wärmepumpen]],Dropdown!$A$2:$D$4,4,FALSE)</f>
        <v>-</v>
      </c>
      <c r="I16" s="61" t="str">
        <f>VLOOKUP(Tabelle1823[[#This Row],[Nachtspeicherheizungen]],Dropdown!$A$2:$D$4,4,FALSE)</f>
        <v>-</v>
      </c>
      <c r="J16" s="61" t="str">
        <f>VLOOKUP(Tabelle1823[[#This Row],[Kühl- und Gefrierkombinationen]],Dropdown!$A$2:$D$4,4,FALSE)</f>
        <v>-</v>
      </c>
      <c r="K16" s="61" t="str">
        <f>VLOOKUP(Tabelle1823[[#This Row],[elektrische Warmwassererzeugung]],Dropdown!$A$2:$D$4,4,FALSE)</f>
        <v>-</v>
      </c>
      <c r="L16" s="61" t="str">
        <f>VLOOKUP(Tabelle1823[[#This Row],[Gefrierschränke und -truhen]],Dropdown!$A$2:$D$4,4,FALSE)</f>
        <v>-</v>
      </c>
      <c r="M16" s="61" t="str">
        <f>VLOOKUP(Tabelle1823[[#This Row],[Elektrische Öfen]],Dropdown!$A$2:$D$4,4,FALSE)</f>
        <v>-</v>
      </c>
      <c r="N16" s="61" t="str">
        <f>VLOOKUP(Tabelle1823[[#This Row],[elektrische Direktheizungen]],Dropdown!$A$2:$D$4,4,FALSE)</f>
        <v>-</v>
      </c>
      <c r="O16" s="61" t="str">
        <f>VLOOKUP(Tabelle1823[[#This Row],[Heizungsumwälzpumpen]],Dropdown!$A$2:$D$4,4,FALSE)</f>
        <v>-</v>
      </c>
      <c r="P16" s="61" t="str">
        <f>VLOOKUP(Tabelle1823[[#This Row],[Elektromobilität]],Dropdown!$A$2:$D$4,4,FALSE)</f>
        <v>-</v>
      </c>
      <c r="Q16" s="61" t="str">
        <f>VLOOKUP(Tabelle1823[[#This Row],[Smart Meter / intelligente Geräte]],Dropdown!$A$2:$D$4,4,FALSE)</f>
        <v>-</v>
      </c>
      <c r="R16" s="61" t="str">
        <f>VLOOKUP(Tabelle1823[[#This Row],[Photovoltaik]],Dropdown!$A$2:$D$4,4,FALSE)</f>
        <v>-</v>
      </c>
      <c r="S16" s="61" t="str">
        <f>VLOOKUP(Tabelle1823[[#This Row],[Mini-/Mikro-BHKWs]],Dropdown!$A$2:$D$4,4,FALSE)</f>
        <v>-</v>
      </c>
      <c r="T16" s="61" t="str">
        <f>VLOOKUP(Tabelle1823[[#This Row],[Lastflexibilisierung mittels 
Batteriespeichern]],Dropdown!$A$2:$D$4,4,FALSE)</f>
        <v>-</v>
      </c>
    </row>
    <row r="17" spans="1:20" ht="25.5" x14ac:dyDescent="0.2">
      <c r="A17" s="6" t="s">
        <v>188</v>
      </c>
      <c r="B17" s="61" t="str">
        <f>VLOOKUP(Tabelle1823[[#This Row],[Kühlschränke]],Dropdown!$A$2:$D$4,4,FALSE)</f>
        <v>-</v>
      </c>
      <c r="C17" s="61" t="str">
        <f>VLOOKUP(Tabelle1823[[#This Row],[Geschirrspüler]],Dropdown!$A$2:$D$4,4,FALSE)</f>
        <v>-</v>
      </c>
      <c r="D17" s="61" t="str">
        <f>VLOOKUP(Tabelle1823[[#This Row],[Wäschetrockner]],Dropdown!$A$2:$D$4,4,FALSE)</f>
        <v>-</v>
      </c>
      <c r="E17" s="61" t="str">
        <f>VLOOKUP(Tabelle1823[[#This Row],[Waschmaschinen]],Dropdown!$A$2:$D$4,4,FALSE)</f>
        <v>-</v>
      </c>
      <c r="F17" s="61" t="str">
        <f>VLOOKUP(Tabelle1823[[#This Row],[Raumklimatisierung (Klimaanlagen)]],Dropdown!$A$2:$D$4,4,FALSE)</f>
        <v>X</v>
      </c>
      <c r="G17" s="61" t="str">
        <f>VLOOKUP(Tabelle1823[[#This Row],[Wärmepumpen]],Dropdown!$A$2:$D$4,4,FALSE)</f>
        <v>X</v>
      </c>
      <c r="H17" s="61" t="str">
        <f>VLOOKUP(Tabelle1823[[#This Row],[Hybrid-Wärmepumpen]],Dropdown!$A$2:$D$4,4,FALSE)</f>
        <v>-</v>
      </c>
      <c r="I17" s="61" t="str">
        <f>VLOOKUP(Tabelle1823[[#This Row],[Nachtspeicherheizungen]],Dropdown!$A$2:$D$4,4,FALSE)</f>
        <v>X</v>
      </c>
      <c r="J17" s="61" t="str">
        <f>VLOOKUP(Tabelle1823[[#This Row],[Kühl- und Gefrierkombinationen]],Dropdown!$A$2:$D$4,4,FALSE)</f>
        <v>-</v>
      </c>
      <c r="K17" s="61" t="str">
        <f>VLOOKUP(Tabelle1823[[#This Row],[elektrische Warmwassererzeugung]],Dropdown!$A$2:$D$4,4,FALSE)</f>
        <v>-</v>
      </c>
      <c r="L17" s="61" t="str">
        <f>VLOOKUP(Tabelle1823[[#This Row],[Gefrierschränke und -truhen]],Dropdown!$A$2:$D$4,4,FALSE)</f>
        <v>-</v>
      </c>
      <c r="M17" s="61" t="str">
        <f>VLOOKUP(Tabelle1823[[#This Row],[Elektrische Öfen]],Dropdown!$A$2:$D$4,4,FALSE)</f>
        <v>-</v>
      </c>
      <c r="N17" s="61" t="str">
        <f>VLOOKUP(Tabelle1823[[#This Row],[elektrische Direktheizungen]],Dropdown!$A$2:$D$4,4,FALSE)</f>
        <v>-</v>
      </c>
      <c r="O17" s="61" t="str">
        <f>VLOOKUP(Tabelle1823[[#This Row],[Heizungsumwälzpumpen]],Dropdown!$A$2:$D$4,4,FALSE)</f>
        <v>X</v>
      </c>
      <c r="P17" s="61" t="str">
        <f>VLOOKUP(Tabelle1823[[#This Row],[Elektromobilität]],Dropdown!$A$2:$D$4,4,FALSE)</f>
        <v>X</v>
      </c>
      <c r="Q17" s="61" t="str">
        <f>VLOOKUP(Tabelle1823[[#This Row],[Smart Meter / intelligente Geräte]],Dropdown!$A$2:$D$4,4,FALSE)</f>
        <v>(X)</v>
      </c>
      <c r="R17" s="61" t="str">
        <f>VLOOKUP(Tabelle1823[[#This Row],[Photovoltaik]],Dropdown!$A$2:$D$4,4,FALSE)</f>
        <v>(X)</v>
      </c>
      <c r="S17" s="61" t="str">
        <f>VLOOKUP(Tabelle1823[[#This Row],[Mini-/Mikro-BHKWs]],Dropdown!$A$2:$D$4,4,FALSE)</f>
        <v>(X)</v>
      </c>
      <c r="T17" s="61" t="str">
        <f>VLOOKUP(Tabelle1823[[#This Row],[Lastflexibilisierung mittels 
Batteriespeichern]],Dropdown!$A$2:$D$4,4,FALSE)</f>
        <v>-</v>
      </c>
    </row>
    <row r="18" spans="1:20" ht="25.5" x14ac:dyDescent="0.2">
      <c r="A18" s="6" t="s">
        <v>133</v>
      </c>
      <c r="B18" s="61" t="str">
        <f>VLOOKUP(Tabelle1823[[#This Row],[Kühlschränke]],Dropdown!$A$2:$D$4,4,FALSE)</f>
        <v>X</v>
      </c>
      <c r="C18" s="61" t="str">
        <f>VLOOKUP(Tabelle1823[[#This Row],[Geschirrspüler]],Dropdown!$A$2:$D$4,4,FALSE)</f>
        <v>X</v>
      </c>
      <c r="D18" s="61" t="str">
        <f>VLOOKUP(Tabelle1823[[#This Row],[Wäschetrockner]],Dropdown!$A$2:$D$4,4,FALSE)</f>
        <v>X</v>
      </c>
      <c r="E18" s="61" t="str">
        <f>VLOOKUP(Tabelle1823[[#This Row],[Waschmaschinen]],Dropdown!$A$2:$D$4,4,FALSE)</f>
        <v>X</v>
      </c>
      <c r="F18" s="61" t="str">
        <f>VLOOKUP(Tabelle1823[[#This Row],[Raumklimatisierung (Klimaanlagen)]],Dropdown!$A$2:$D$4,4,FALSE)</f>
        <v>-</v>
      </c>
      <c r="G18" s="61" t="str">
        <f>VLOOKUP(Tabelle1823[[#This Row],[Wärmepumpen]],Dropdown!$A$2:$D$4,4,FALSE)</f>
        <v>X</v>
      </c>
      <c r="H18" s="61" t="str">
        <f>VLOOKUP(Tabelle1823[[#This Row],[Hybrid-Wärmepumpen]],Dropdown!$A$2:$D$4,4,FALSE)</f>
        <v>-</v>
      </c>
      <c r="I18" s="61" t="str">
        <f>VLOOKUP(Tabelle1823[[#This Row],[Nachtspeicherheizungen]],Dropdown!$A$2:$D$4,4,FALSE)</f>
        <v>X</v>
      </c>
      <c r="J18" s="61" t="str">
        <f>VLOOKUP(Tabelle1823[[#This Row],[Kühl- und Gefrierkombinationen]],Dropdown!$A$2:$D$4,4,FALSE)</f>
        <v>-</v>
      </c>
      <c r="K18" s="61" t="str">
        <f>VLOOKUP(Tabelle1823[[#This Row],[elektrische Warmwassererzeugung]],Dropdown!$A$2:$D$4,4,FALSE)</f>
        <v>X</v>
      </c>
      <c r="L18" s="61" t="str">
        <f>VLOOKUP(Tabelle1823[[#This Row],[Gefrierschränke und -truhen]],Dropdown!$A$2:$D$4,4,FALSE)</f>
        <v>X</v>
      </c>
      <c r="M18" s="61" t="str">
        <f>VLOOKUP(Tabelle1823[[#This Row],[Elektrische Öfen]],Dropdown!$A$2:$D$4,4,FALSE)</f>
        <v>-</v>
      </c>
      <c r="N18" s="61" t="str">
        <f>VLOOKUP(Tabelle1823[[#This Row],[elektrische Direktheizungen]],Dropdown!$A$2:$D$4,4,FALSE)</f>
        <v>-</v>
      </c>
      <c r="O18" s="61" t="str">
        <f>VLOOKUP(Tabelle1823[[#This Row],[Heizungsumwälzpumpen]],Dropdown!$A$2:$D$4,4,FALSE)</f>
        <v>X</v>
      </c>
      <c r="P18" s="61" t="str">
        <f>VLOOKUP(Tabelle1823[[#This Row],[Elektromobilität]],Dropdown!$A$2:$D$4,4,FALSE)</f>
        <v>-</v>
      </c>
      <c r="Q18" s="61" t="str">
        <f>VLOOKUP(Tabelle1823[[#This Row],[Smart Meter / intelligente Geräte]],Dropdown!$A$2:$D$4,4,FALSE)</f>
        <v>-</v>
      </c>
      <c r="R18" s="61" t="str">
        <f>VLOOKUP(Tabelle1823[[#This Row],[Photovoltaik]],Dropdown!$A$2:$D$4,4,FALSE)</f>
        <v>-</v>
      </c>
      <c r="S18" s="61" t="str">
        <f>VLOOKUP(Tabelle1823[[#This Row],[Mini-/Mikro-BHKWs]],Dropdown!$A$2:$D$4,4,FALSE)</f>
        <v>-</v>
      </c>
      <c r="T18" s="61" t="str">
        <f>VLOOKUP(Tabelle1823[[#This Row],[Lastflexibilisierung mittels 
Batteriespeichern]],Dropdown!$A$2:$D$4,4,FALSE)</f>
        <v>-</v>
      </c>
    </row>
    <row r="19" spans="1:20" ht="25.5" x14ac:dyDescent="0.2">
      <c r="A19" s="6" t="s">
        <v>10</v>
      </c>
      <c r="B19" s="61" t="str">
        <f>VLOOKUP(Tabelle1823[[#This Row],[Kühlschränke]],Dropdown!$A$2:$D$4,4,FALSE)</f>
        <v>-</v>
      </c>
      <c r="C19" s="61" t="str">
        <f>VLOOKUP(Tabelle1823[[#This Row],[Geschirrspüler]],Dropdown!$A$2:$D$4,4,FALSE)</f>
        <v>-</v>
      </c>
      <c r="D19" s="61" t="str">
        <f>VLOOKUP(Tabelle1823[[#This Row],[Wäschetrockner]],Dropdown!$A$2:$D$4,4,FALSE)</f>
        <v>-</v>
      </c>
      <c r="E19" s="61" t="str">
        <f>VLOOKUP(Tabelle1823[[#This Row],[Waschmaschinen]],Dropdown!$A$2:$D$4,4,FALSE)</f>
        <v>-</v>
      </c>
      <c r="F19" s="61" t="str">
        <f>VLOOKUP(Tabelle1823[[#This Row],[Raumklimatisierung (Klimaanlagen)]],Dropdown!$A$2:$D$4,4,FALSE)</f>
        <v>-</v>
      </c>
      <c r="G19" s="61" t="str">
        <f>VLOOKUP(Tabelle1823[[#This Row],[Wärmepumpen]],Dropdown!$A$2:$D$4,4,FALSE)</f>
        <v>-</v>
      </c>
      <c r="H19" s="61" t="str">
        <f>VLOOKUP(Tabelle1823[[#This Row],[Hybrid-Wärmepumpen]],Dropdown!$A$2:$D$4,4,FALSE)</f>
        <v>-</v>
      </c>
      <c r="I19" s="61" t="str">
        <f>VLOOKUP(Tabelle1823[[#This Row],[Nachtspeicherheizungen]],Dropdown!$A$2:$D$4,4,FALSE)</f>
        <v>-</v>
      </c>
      <c r="J19" s="61" t="str">
        <f>VLOOKUP(Tabelle1823[[#This Row],[Kühl- und Gefrierkombinationen]],Dropdown!$A$2:$D$4,4,FALSE)</f>
        <v>-</v>
      </c>
      <c r="K19" s="61" t="str">
        <f>VLOOKUP(Tabelle1823[[#This Row],[elektrische Warmwassererzeugung]],Dropdown!$A$2:$D$4,4,FALSE)</f>
        <v>-</v>
      </c>
      <c r="L19" s="61" t="str">
        <f>VLOOKUP(Tabelle1823[[#This Row],[Gefrierschränke und -truhen]],Dropdown!$A$2:$D$4,4,FALSE)</f>
        <v>-</v>
      </c>
      <c r="M19" s="61" t="str">
        <f>VLOOKUP(Tabelle1823[[#This Row],[Elektrische Öfen]],Dropdown!$A$2:$D$4,4,FALSE)</f>
        <v>-</v>
      </c>
      <c r="N19" s="61" t="str">
        <f>VLOOKUP(Tabelle1823[[#This Row],[elektrische Direktheizungen]],Dropdown!$A$2:$D$4,4,FALSE)</f>
        <v>-</v>
      </c>
      <c r="O19" s="61" t="str">
        <f>VLOOKUP(Tabelle1823[[#This Row],[Heizungsumwälzpumpen]],Dropdown!$A$2:$D$4,4,FALSE)</f>
        <v>-</v>
      </c>
      <c r="P19" s="61" t="str">
        <f>VLOOKUP(Tabelle1823[[#This Row],[Elektromobilität]],Dropdown!$A$2:$D$4,4,FALSE)</f>
        <v>-</v>
      </c>
      <c r="Q19" s="61" t="str">
        <f>VLOOKUP(Tabelle1823[[#This Row],[Smart Meter / intelligente Geräte]],Dropdown!$A$2:$D$4,4,FALSE)</f>
        <v>-</v>
      </c>
      <c r="R19" s="61" t="str">
        <f>VLOOKUP(Tabelle1823[[#This Row],[Photovoltaik]],Dropdown!$A$2:$D$4,4,FALSE)</f>
        <v>-</v>
      </c>
      <c r="S19" s="61" t="str">
        <f>VLOOKUP(Tabelle1823[[#This Row],[Mini-/Mikro-BHKWs]],Dropdown!$A$2:$D$4,4,FALSE)</f>
        <v>-</v>
      </c>
      <c r="T19" s="61" t="str">
        <f>VLOOKUP(Tabelle1823[[#This Row],[Lastflexibilisierung mittels 
Batteriespeichern]],Dropdown!$A$2:$D$4,4,FALSE)</f>
        <v>-</v>
      </c>
    </row>
    <row r="20" spans="1:20" ht="38.25" x14ac:dyDescent="0.2">
      <c r="A20" s="6" t="s">
        <v>832</v>
      </c>
      <c r="B20" s="61" t="str">
        <f>VLOOKUP(Tabelle1823[[#This Row],[Kühlschränke]],Dropdown!$A$2:$D$4,4,FALSE)</f>
        <v>X</v>
      </c>
      <c r="C20" s="61" t="str">
        <f>VLOOKUP(Tabelle1823[[#This Row],[Geschirrspüler]],Dropdown!$A$2:$D$4,4,FALSE)</f>
        <v>X</v>
      </c>
      <c r="D20" s="61" t="str">
        <f>VLOOKUP(Tabelle1823[[#This Row],[Wäschetrockner]],Dropdown!$A$2:$D$4,4,FALSE)</f>
        <v>X</v>
      </c>
      <c r="E20" s="61" t="str">
        <f>VLOOKUP(Tabelle1823[[#This Row],[Waschmaschinen]],Dropdown!$A$2:$D$4,4,FALSE)</f>
        <v>X</v>
      </c>
      <c r="F20" s="61" t="str">
        <f>VLOOKUP(Tabelle1823[[#This Row],[Raumklimatisierung (Klimaanlagen)]],Dropdown!$A$2:$D$4,4,FALSE)</f>
        <v>-</v>
      </c>
      <c r="G20" s="61" t="str">
        <f>VLOOKUP(Tabelle1823[[#This Row],[Wärmepumpen]],Dropdown!$A$2:$D$4,4,FALSE)</f>
        <v>X</v>
      </c>
      <c r="H20" s="61" t="str">
        <f>VLOOKUP(Tabelle1823[[#This Row],[Hybrid-Wärmepumpen]],Dropdown!$A$2:$D$4,4,FALSE)</f>
        <v>X</v>
      </c>
      <c r="I20" s="61" t="str">
        <f>VLOOKUP(Tabelle1823[[#This Row],[Nachtspeicherheizungen]],Dropdown!$A$2:$D$4,4,FALSE)</f>
        <v>X</v>
      </c>
      <c r="J20" s="61" t="str">
        <f>VLOOKUP(Tabelle1823[[#This Row],[Kühl- und Gefrierkombinationen]],Dropdown!$A$2:$D$4,4,FALSE)</f>
        <v>X</v>
      </c>
      <c r="K20" s="61" t="str">
        <f>VLOOKUP(Tabelle1823[[#This Row],[elektrische Warmwassererzeugung]],Dropdown!$A$2:$D$4,4,FALSE)</f>
        <v>X</v>
      </c>
      <c r="L20" s="61" t="str">
        <f>VLOOKUP(Tabelle1823[[#This Row],[Gefrierschränke und -truhen]],Dropdown!$A$2:$D$4,4,FALSE)</f>
        <v>X</v>
      </c>
      <c r="M20" s="61" t="str">
        <f>VLOOKUP(Tabelle1823[[#This Row],[Elektrische Öfen]],Dropdown!$A$2:$D$4,4,FALSE)</f>
        <v>-</v>
      </c>
      <c r="N20" s="61" t="str">
        <f>VLOOKUP(Tabelle1823[[#This Row],[elektrische Direktheizungen]],Dropdown!$A$2:$D$4,4,FALSE)</f>
        <v>-</v>
      </c>
      <c r="O20" s="61" t="str">
        <f>VLOOKUP(Tabelle1823[[#This Row],[Heizungsumwälzpumpen]],Dropdown!$A$2:$D$4,4,FALSE)</f>
        <v>-</v>
      </c>
      <c r="P20" s="61" t="str">
        <f>VLOOKUP(Tabelle1823[[#This Row],[Elektromobilität]],Dropdown!$A$2:$D$4,4,FALSE)</f>
        <v>-</v>
      </c>
      <c r="Q20" s="61" t="str">
        <f>VLOOKUP(Tabelle1823[[#This Row],[Smart Meter / intelligente Geräte]],Dropdown!$A$2:$D$4,4,FALSE)</f>
        <v>-</v>
      </c>
      <c r="R20" s="61" t="str">
        <f>VLOOKUP(Tabelle1823[[#This Row],[Photovoltaik]],Dropdown!$A$2:$D$4,4,FALSE)</f>
        <v>-</v>
      </c>
      <c r="S20" s="61" t="str">
        <f>VLOOKUP(Tabelle1823[[#This Row],[Mini-/Mikro-BHKWs]],Dropdown!$A$2:$D$4,4,FALSE)</f>
        <v>-</v>
      </c>
      <c r="T20" s="61" t="str">
        <f>VLOOKUP(Tabelle1823[[#This Row],[Lastflexibilisierung mittels 
Batteriespeichern]],Dropdown!$A$2:$D$4,4,FALSE)</f>
        <v>X</v>
      </c>
    </row>
    <row r="21" spans="1:20" x14ac:dyDescent="0.2">
      <c r="A21" s="6" t="s">
        <v>16</v>
      </c>
      <c r="B21" s="61" t="str">
        <f>VLOOKUP(Tabelle1823[[#This Row],[Kühlschränke]],Dropdown!$A$2:$D$4,4,FALSE)</f>
        <v>-</v>
      </c>
      <c r="C21" s="61" t="str">
        <f>VLOOKUP(Tabelle1823[[#This Row],[Geschirrspüler]],Dropdown!$A$2:$D$4,4,FALSE)</f>
        <v>-</v>
      </c>
      <c r="D21" s="61" t="str">
        <f>VLOOKUP(Tabelle1823[[#This Row],[Wäschetrockner]],Dropdown!$A$2:$D$4,4,FALSE)</f>
        <v>-</v>
      </c>
      <c r="E21" s="61" t="str">
        <f>VLOOKUP(Tabelle1823[[#This Row],[Waschmaschinen]],Dropdown!$A$2:$D$4,4,FALSE)</f>
        <v>-</v>
      </c>
      <c r="F21" s="61" t="str">
        <f>VLOOKUP(Tabelle1823[[#This Row],[Raumklimatisierung (Klimaanlagen)]],Dropdown!$A$2:$D$4,4,FALSE)</f>
        <v>-</v>
      </c>
      <c r="G21" s="61" t="str">
        <f>VLOOKUP(Tabelle1823[[#This Row],[Wärmepumpen]],Dropdown!$A$2:$D$4,4,FALSE)</f>
        <v>-</v>
      </c>
      <c r="H21" s="61" t="str">
        <f>VLOOKUP(Tabelle1823[[#This Row],[Hybrid-Wärmepumpen]],Dropdown!$A$2:$D$4,4,FALSE)</f>
        <v>-</v>
      </c>
      <c r="I21" s="61" t="str">
        <f>VLOOKUP(Tabelle1823[[#This Row],[Nachtspeicherheizungen]],Dropdown!$A$2:$D$4,4,FALSE)</f>
        <v>-</v>
      </c>
      <c r="J21" s="61" t="str">
        <f>VLOOKUP(Tabelle1823[[#This Row],[Kühl- und Gefrierkombinationen]],Dropdown!$A$2:$D$4,4,FALSE)</f>
        <v>-</v>
      </c>
      <c r="K21" s="61" t="str">
        <f>VLOOKUP(Tabelle1823[[#This Row],[elektrische Warmwassererzeugung]],Dropdown!$A$2:$D$4,4,FALSE)</f>
        <v>-</v>
      </c>
      <c r="L21" s="61" t="str">
        <f>VLOOKUP(Tabelle1823[[#This Row],[Gefrierschränke und -truhen]],Dropdown!$A$2:$D$4,4,FALSE)</f>
        <v>-</v>
      </c>
      <c r="M21" s="61" t="str">
        <f>VLOOKUP(Tabelle1823[[#This Row],[Elektrische Öfen]],Dropdown!$A$2:$D$4,4,FALSE)</f>
        <v>-</v>
      </c>
      <c r="N21" s="61" t="str">
        <f>VLOOKUP(Tabelle1823[[#This Row],[elektrische Direktheizungen]],Dropdown!$A$2:$D$4,4,FALSE)</f>
        <v>-</v>
      </c>
      <c r="O21" s="61" t="str">
        <f>VLOOKUP(Tabelle1823[[#This Row],[Heizungsumwälzpumpen]],Dropdown!$A$2:$D$4,4,FALSE)</f>
        <v>-</v>
      </c>
      <c r="P21" s="61" t="str">
        <f>VLOOKUP(Tabelle1823[[#This Row],[Elektromobilität]],Dropdown!$A$2:$D$4,4,FALSE)</f>
        <v>-</v>
      </c>
      <c r="Q21" s="61" t="str">
        <f>VLOOKUP(Tabelle1823[[#This Row],[Smart Meter / intelligente Geräte]],Dropdown!$A$2:$D$4,4,FALSE)</f>
        <v>-</v>
      </c>
      <c r="R21" s="61" t="str">
        <f>VLOOKUP(Tabelle1823[[#This Row],[Photovoltaik]],Dropdown!$A$2:$D$4,4,FALSE)</f>
        <v>-</v>
      </c>
      <c r="S21" s="61" t="str">
        <f>VLOOKUP(Tabelle1823[[#This Row],[Mini-/Mikro-BHKWs]],Dropdown!$A$2:$D$4,4,FALSE)</f>
        <v>-</v>
      </c>
      <c r="T21" s="61" t="str">
        <f>VLOOKUP(Tabelle1823[[#This Row],[Lastflexibilisierung mittels 
Batteriespeichern]],Dropdown!$A$2:$D$4,4,FALSE)</f>
        <v>-</v>
      </c>
    </row>
    <row r="22" spans="1:20" ht="25.5" x14ac:dyDescent="0.2">
      <c r="A22" s="6" t="s">
        <v>7</v>
      </c>
      <c r="B22" s="61" t="str">
        <f>VLOOKUP(Tabelle1823[[#This Row],[Kühlschränke]],Dropdown!$A$2:$D$4,4,FALSE)</f>
        <v>-</v>
      </c>
      <c r="C22" s="61" t="str">
        <f>VLOOKUP(Tabelle1823[[#This Row],[Geschirrspüler]],Dropdown!$A$2:$D$4,4,FALSE)</f>
        <v>-</v>
      </c>
      <c r="D22" s="61" t="str">
        <f>VLOOKUP(Tabelle1823[[#This Row],[Wäschetrockner]],Dropdown!$A$2:$D$4,4,FALSE)</f>
        <v>-</v>
      </c>
      <c r="E22" s="61" t="str">
        <f>VLOOKUP(Tabelle1823[[#This Row],[Waschmaschinen]],Dropdown!$A$2:$D$4,4,FALSE)</f>
        <v>-</v>
      </c>
      <c r="F22" s="61" t="str">
        <f>VLOOKUP(Tabelle1823[[#This Row],[Raumklimatisierung (Klimaanlagen)]],Dropdown!$A$2:$D$4,4,FALSE)</f>
        <v>-</v>
      </c>
      <c r="G22" s="61" t="str">
        <f>VLOOKUP(Tabelle1823[[#This Row],[Wärmepumpen]],Dropdown!$A$2:$D$4,4,FALSE)</f>
        <v>-</v>
      </c>
      <c r="H22" s="61" t="str">
        <f>VLOOKUP(Tabelle1823[[#This Row],[Hybrid-Wärmepumpen]],Dropdown!$A$2:$D$4,4,FALSE)</f>
        <v>-</v>
      </c>
      <c r="I22" s="61" t="str">
        <f>VLOOKUP(Tabelle1823[[#This Row],[Nachtspeicherheizungen]],Dropdown!$A$2:$D$4,4,FALSE)</f>
        <v>-</v>
      </c>
      <c r="J22" s="61" t="str">
        <f>VLOOKUP(Tabelle1823[[#This Row],[Kühl- und Gefrierkombinationen]],Dropdown!$A$2:$D$4,4,FALSE)</f>
        <v>-</v>
      </c>
      <c r="K22" s="61" t="str">
        <f>VLOOKUP(Tabelle1823[[#This Row],[elektrische Warmwassererzeugung]],Dropdown!$A$2:$D$4,4,FALSE)</f>
        <v>-</v>
      </c>
      <c r="L22" s="61" t="str">
        <f>VLOOKUP(Tabelle1823[[#This Row],[Gefrierschränke und -truhen]],Dropdown!$A$2:$D$4,4,FALSE)</f>
        <v>-</v>
      </c>
      <c r="M22" s="61" t="str">
        <f>VLOOKUP(Tabelle1823[[#This Row],[Elektrische Öfen]],Dropdown!$A$2:$D$4,4,FALSE)</f>
        <v>-</v>
      </c>
      <c r="N22" s="61" t="str">
        <f>VLOOKUP(Tabelle1823[[#This Row],[elektrische Direktheizungen]],Dropdown!$A$2:$D$4,4,FALSE)</f>
        <v>-</v>
      </c>
      <c r="O22" s="61" t="str">
        <f>VLOOKUP(Tabelle1823[[#This Row],[Heizungsumwälzpumpen]],Dropdown!$A$2:$D$4,4,FALSE)</f>
        <v>-</v>
      </c>
      <c r="P22" s="61" t="str">
        <f>VLOOKUP(Tabelle1823[[#This Row],[Elektromobilität]],Dropdown!$A$2:$D$4,4,FALSE)</f>
        <v>-</v>
      </c>
      <c r="Q22" s="61" t="str">
        <f>VLOOKUP(Tabelle1823[[#This Row],[Smart Meter / intelligente Geräte]],Dropdown!$A$2:$D$4,4,FALSE)</f>
        <v>-</v>
      </c>
      <c r="R22" s="61" t="str">
        <f>VLOOKUP(Tabelle1823[[#This Row],[Photovoltaik]],Dropdown!$A$2:$D$4,4,FALSE)</f>
        <v>-</v>
      </c>
      <c r="S22" s="61" t="str">
        <f>VLOOKUP(Tabelle1823[[#This Row],[Mini-/Mikro-BHKWs]],Dropdown!$A$2:$D$4,4,FALSE)</f>
        <v>-</v>
      </c>
      <c r="T22" s="61" t="str">
        <f>VLOOKUP(Tabelle1823[[#This Row],[Lastflexibilisierung mittels 
Batteriespeichern]],Dropdown!$A$2:$D$4,4,FALSE)</f>
        <v>-</v>
      </c>
    </row>
    <row r="23" spans="1:20" x14ac:dyDescent="0.2">
      <c r="A23" s="6" t="s">
        <v>18</v>
      </c>
      <c r="B23" s="61" t="str">
        <f>VLOOKUP(Tabelle1823[[#This Row],[Kühlschränke]],Dropdown!$A$2:$D$4,4,FALSE)</f>
        <v>X</v>
      </c>
      <c r="C23" s="61" t="str">
        <f>VLOOKUP(Tabelle1823[[#This Row],[Geschirrspüler]],Dropdown!$A$2:$D$4,4,FALSE)</f>
        <v>X</v>
      </c>
      <c r="D23" s="61" t="str">
        <f>VLOOKUP(Tabelle1823[[#This Row],[Wäschetrockner]],Dropdown!$A$2:$D$4,4,FALSE)</f>
        <v>X</v>
      </c>
      <c r="E23" s="61" t="str">
        <f>VLOOKUP(Tabelle1823[[#This Row],[Waschmaschinen]],Dropdown!$A$2:$D$4,4,FALSE)</f>
        <v>X</v>
      </c>
      <c r="F23" s="61" t="str">
        <f>VLOOKUP(Tabelle1823[[#This Row],[Raumklimatisierung (Klimaanlagen)]],Dropdown!$A$2:$D$4,4,FALSE)</f>
        <v>X</v>
      </c>
      <c r="G23" s="61" t="str">
        <f>VLOOKUP(Tabelle1823[[#This Row],[Wärmepumpen]],Dropdown!$A$2:$D$4,4,FALSE)</f>
        <v>X</v>
      </c>
      <c r="H23" s="61" t="str">
        <f>VLOOKUP(Tabelle1823[[#This Row],[Hybrid-Wärmepumpen]],Dropdown!$A$2:$D$4,4,FALSE)</f>
        <v>-</v>
      </c>
      <c r="I23" s="61" t="str">
        <f>VLOOKUP(Tabelle1823[[#This Row],[Nachtspeicherheizungen]],Dropdown!$A$2:$D$4,4,FALSE)</f>
        <v>X</v>
      </c>
      <c r="J23" s="61" t="str">
        <f>VLOOKUP(Tabelle1823[[#This Row],[Kühl- und Gefrierkombinationen]],Dropdown!$A$2:$D$4,4,FALSE)</f>
        <v>X</v>
      </c>
      <c r="K23" s="61" t="str">
        <f>VLOOKUP(Tabelle1823[[#This Row],[elektrische Warmwassererzeugung]],Dropdown!$A$2:$D$4,4,FALSE)</f>
        <v>X</v>
      </c>
      <c r="L23" s="61" t="str">
        <f>VLOOKUP(Tabelle1823[[#This Row],[Gefrierschränke und -truhen]],Dropdown!$A$2:$D$4,4,FALSE)</f>
        <v>X</v>
      </c>
      <c r="M23" s="61" t="str">
        <f>VLOOKUP(Tabelle1823[[#This Row],[Elektrische Öfen]],Dropdown!$A$2:$D$4,4,FALSE)</f>
        <v>-</v>
      </c>
      <c r="N23" s="61" t="str">
        <f>VLOOKUP(Tabelle1823[[#This Row],[elektrische Direktheizungen]],Dropdown!$A$2:$D$4,4,FALSE)</f>
        <v>-</v>
      </c>
      <c r="O23" s="61" t="str">
        <f>VLOOKUP(Tabelle1823[[#This Row],[Heizungsumwälzpumpen]],Dropdown!$A$2:$D$4,4,FALSE)</f>
        <v>X</v>
      </c>
      <c r="P23" s="61" t="str">
        <f>VLOOKUP(Tabelle1823[[#This Row],[Elektromobilität]],Dropdown!$A$2:$D$4,4,FALSE)</f>
        <v>-</v>
      </c>
      <c r="Q23" s="61" t="str">
        <f>VLOOKUP(Tabelle1823[[#This Row],[Smart Meter / intelligente Geräte]],Dropdown!$A$2:$D$4,4,FALSE)</f>
        <v>-</v>
      </c>
      <c r="R23" s="61" t="str">
        <f>VLOOKUP(Tabelle1823[[#This Row],[Photovoltaik]],Dropdown!$A$2:$D$4,4,FALSE)</f>
        <v>-</v>
      </c>
      <c r="S23" s="61" t="str">
        <f>VLOOKUP(Tabelle1823[[#This Row],[Mini-/Mikro-BHKWs]],Dropdown!$A$2:$D$4,4,FALSE)</f>
        <v>-</v>
      </c>
      <c r="T23" s="61" t="str">
        <f>VLOOKUP(Tabelle1823[[#This Row],[Lastflexibilisierung mittels 
Batteriespeichern]],Dropdown!$A$2:$D$4,4,FALSE)</f>
        <v>-</v>
      </c>
    </row>
    <row r="24" spans="1:20" x14ac:dyDescent="0.2">
      <c r="A24" s="6" t="s">
        <v>338</v>
      </c>
      <c r="B24" s="61" t="str">
        <f>VLOOKUP(Tabelle1823[[#This Row],[Kühlschränke]],Dropdown!$A$2:$D$4,4,FALSE)</f>
        <v>X</v>
      </c>
      <c r="C24" s="61" t="str">
        <f>VLOOKUP(Tabelle1823[[#This Row],[Geschirrspüler]],Dropdown!$A$2:$D$4,4,FALSE)</f>
        <v>-</v>
      </c>
      <c r="D24" s="61" t="str">
        <f>VLOOKUP(Tabelle1823[[#This Row],[Wäschetrockner]],Dropdown!$A$2:$D$4,4,FALSE)</f>
        <v>-</v>
      </c>
      <c r="E24" s="61" t="str">
        <f>VLOOKUP(Tabelle1823[[#This Row],[Waschmaschinen]],Dropdown!$A$2:$D$4,4,FALSE)</f>
        <v>-</v>
      </c>
      <c r="F24" s="61" t="str">
        <f>VLOOKUP(Tabelle1823[[#This Row],[Raumklimatisierung (Klimaanlagen)]],Dropdown!$A$2:$D$4,4,FALSE)</f>
        <v>-</v>
      </c>
      <c r="G24" s="61" t="str">
        <f>VLOOKUP(Tabelle1823[[#This Row],[Wärmepumpen]],Dropdown!$A$2:$D$4,4,FALSE)</f>
        <v>X</v>
      </c>
      <c r="H24" s="61" t="str">
        <f>VLOOKUP(Tabelle1823[[#This Row],[Hybrid-Wärmepumpen]],Dropdown!$A$2:$D$4,4,FALSE)</f>
        <v>-</v>
      </c>
      <c r="I24" s="61" t="str">
        <f>VLOOKUP(Tabelle1823[[#This Row],[Nachtspeicherheizungen]],Dropdown!$A$2:$D$4,4,FALSE)</f>
        <v>X</v>
      </c>
      <c r="J24" s="61" t="str">
        <f>VLOOKUP(Tabelle1823[[#This Row],[Kühl- und Gefrierkombinationen]],Dropdown!$A$2:$D$4,4,FALSE)</f>
        <v>X</v>
      </c>
      <c r="K24" s="61" t="str">
        <f>VLOOKUP(Tabelle1823[[#This Row],[elektrische Warmwassererzeugung]],Dropdown!$A$2:$D$4,4,FALSE)</f>
        <v>X</v>
      </c>
      <c r="L24" s="61" t="str">
        <f>VLOOKUP(Tabelle1823[[#This Row],[Gefrierschränke und -truhen]],Dropdown!$A$2:$D$4,4,FALSE)</f>
        <v>X</v>
      </c>
      <c r="M24" s="61" t="str">
        <f>VLOOKUP(Tabelle1823[[#This Row],[Elektrische Öfen]],Dropdown!$A$2:$D$4,4,FALSE)</f>
        <v>-</v>
      </c>
      <c r="N24" s="61" t="str">
        <f>VLOOKUP(Tabelle1823[[#This Row],[elektrische Direktheizungen]],Dropdown!$A$2:$D$4,4,FALSE)</f>
        <v>-</v>
      </c>
      <c r="O24" s="61" t="str">
        <f>VLOOKUP(Tabelle1823[[#This Row],[Heizungsumwälzpumpen]],Dropdown!$A$2:$D$4,4,FALSE)</f>
        <v>-</v>
      </c>
      <c r="P24" s="61" t="str">
        <f>VLOOKUP(Tabelle1823[[#This Row],[Elektromobilität]],Dropdown!$A$2:$D$4,4,FALSE)</f>
        <v>-</v>
      </c>
      <c r="Q24" s="61" t="str">
        <f>VLOOKUP(Tabelle1823[[#This Row],[Smart Meter / intelligente Geräte]],Dropdown!$A$2:$D$4,4,FALSE)</f>
        <v>-</v>
      </c>
      <c r="R24" s="61" t="str">
        <f>VLOOKUP(Tabelle1823[[#This Row],[Photovoltaik]],Dropdown!$A$2:$D$4,4,FALSE)</f>
        <v>-</v>
      </c>
      <c r="S24" s="61" t="str">
        <f>VLOOKUP(Tabelle1823[[#This Row],[Mini-/Mikro-BHKWs]],Dropdown!$A$2:$D$4,4,FALSE)</f>
        <v>-</v>
      </c>
      <c r="T24" s="61" t="str">
        <f>VLOOKUP(Tabelle1823[[#This Row],[Lastflexibilisierung mittels 
Batteriespeichern]],Dropdown!$A$2:$D$4,4,FALSE)</f>
        <v>-</v>
      </c>
    </row>
    <row r="25" spans="1:20" ht="25.5" x14ac:dyDescent="0.2">
      <c r="A25" s="6" t="s">
        <v>351</v>
      </c>
      <c r="B25" s="61" t="str">
        <f>VLOOKUP(Tabelle1823[[#This Row],[Kühlschränke]],Dropdown!$A$2:$D$4,4,FALSE)</f>
        <v>X</v>
      </c>
      <c r="C25" s="61" t="str">
        <f>VLOOKUP(Tabelle1823[[#This Row],[Geschirrspüler]],Dropdown!$A$2:$D$4,4,FALSE)</f>
        <v>X</v>
      </c>
      <c r="D25" s="61" t="str">
        <f>VLOOKUP(Tabelle1823[[#This Row],[Wäschetrockner]],Dropdown!$A$2:$D$4,4,FALSE)</f>
        <v>X</v>
      </c>
      <c r="E25" s="61" t="str">
        <f>VLOOKUP(Tabelle1823[[#This Row],[Waschmaschinen]],Dropdown!$A$2:$D$4,4,FALSE)</f>
        <v>X</v>
      </c>
      <c r="F25" s="61" t="str">
        <f>VLOOKUP(Tabelle1823[[#This Row],[Raumklimatisierung (Klimaanlagen)]],Dropdown!$A$2:$D$4,4,FALSE)</f>
        <v>X</v>
      </c>
      <c r="G25" s="61" t="str">
        <f>VLOOKUP(Tabelle1823[[#This Row],[Wärmepumpen]],Dropdown!$A$2:$D$4,4,FALSE)</f>
        <v>X</v>
      </c>
      <c r="H25" s="61" t="str">
        <f>VLOOKUP(Tabelle1823[[#This Row],[Hybrid-Wärmepumpen]],Dropdown!$A$2:$D$4,4,FALSE)</f>
        <v>-</v>
      </c>
      <c r="I25" s="61" t="str">
        <f>VLOOKUP(Tabelle1823[[#This Row],[Nachtspeicherheizungen]],Dropdown!$A$2:$D$4,4,FALSE)</f>
        <v>X</v>
      </c>
      <c r="J25" s="61" t="str">
        <f>VLOOKUP(Tabelle1823[[#This Row],[Kühl- und Gefrierkombinationen]],Dropdown!$A$2:$D$4,4,FALSE)</f>
        <v>X</v>
      </c>
      <c r="K25" s="61" t="str">
        <f>VLOOKUP(Tabelle1823[[#This Row],[elektrische Warmwassererzeugung]],Dropdown!$A$2:$D$4,4,FALSE)</f>
        <v>X</v>
      </c>
      <c r="L25" s="61" t="str">
        <f>VLOOKUP(Tabelle1823[[#This Row],[Gefrierschränke und -truhen]],Dropdown!$A$2:$D$4,4,FALSE)</f>
        <v>X</v>
      </c>
      <c r="M25" s="61" t="str">
        <f>VLOOKUP(Tabelle1823[[#This Row],[Elektrische Öfen]],Dropdown!$A$2:$D$4,4,FALSE)</f>
        <v>-</v>
      </c>
      <c r="N25" s="61" t="str">
        <f>VLOOKUP(Tabelle1823[[#This Row],[elektrische Direktheizungen]],Dropdown!$A$2:$D$4,4,FALSE)</f>
        <v>-</v>
      </c>
      <c r="O25" s="61" t="str">
        <f>VLOOKUP(Tabelle1823[[#This Row],[Heizungsumwälzpumpen]],Dropdown!$A$2:$D$4,4,FALSE)</f>
        <v>X</v>
      </c>
      <c r="P25" s="61" t="str">
        <f>VLOOKUP(Tabelle1823[[#This Row],[Elektromobilität]],Dropdown!$A$2:$D$4,4,FALSE)</f>
        <v>-</v>
      </c>
      <c r="Q25" s="61" t="str">
        <f>VLOOKUP(Tabelle1823[[#This Row],[Smart Meter / intelligente Geräte]],Dropdown!$A$2:$D$4,4,FALSE)</f>
        <v>-</v>
      </c>
      <c r="R25" s="61" t="str">
        <f>VLOOKUP(Tabelle1823[[#This Row],[Photovoltaik]],Dropdown!$A$2:$D$4,4,FALSE)</f>
        <v>-</v>
      </c>
      <c r="S25" s="61" t="str">
        <f>VLOOKUP(Tabelle1823[[#This Row],[Mini-/Mikro-BHKWs]],Dropdown!$A$2:$D$4,4,FALSE)</f>
        <v>-</v>
      </c>
      <c r="T25" s="61" t="str">
        <f>VLOOKUP(Tabelle1823[[#This Row],[Lastflexibilisierung mittels 
Batteriespeichern]],Dropdown!$A$2:$D$4,4,FALSE)</f>
        <v>-</v>
      </c>
    </row>
    <row r="26" spans="1:20" ht="38.25" x14ac:dyDescent="0.2">
      <c r="A26" s="6" t="s">
        <v>24</v>
      </c>
      <c r="B26" s="61" t="str">
        <f>VLOOKUP(Tabelle1823[[#This Row],[Kühlschränke]],Dropdown!$A$2:$D$4,4,FALSE)</f>
        <v>X</v>
      </c>
      <c r="C26" s="61" t="str">
        <f>VLOOKUP(Tabelle1823[[#This Row],[Geschirrspüler]],Dropdown!$A$2:$D$4,4,FALSE)</f>
        <v>-</v>
      </c>
      <c r="D26" s="61" t="str">
        <f>VLOOKUP(Tabelle1823[[#This Row],[Wäschetrockner]],Dropdown!$A$2:$D$4,4,FALSE)</f>
        <v>X</v>
      </c>
      <c r="E26" s="61" t="str">
        <f>VLOOKUP(Tabelle1823[[#This Row],[Waschmaschinen]],Dropdown!$A$2:$D$4,4,FALSE)</f>
        <v>-</v>
      </c>
      <c r="F26" s="61" t="str">
        <f>VLOOKUP(Tabelle1823[[#This Row],[Raumklimatisierung (Klimaanlagen)]],Dropdown!$A$2:$D$4,4,FALSE)</f>
        <v>X</v>
      </c>
      <c r="G26" s="61" t="str">
        <f>VLOOKUP(Tabelle1823[[#This Row],[Wärmepumpen]],Dropdown!$A$2:$D$4,4,FALSE)</f>
        <v>-</v>
      </c>
      <c r="H26" s="61" t="str">
        <f>VLOOKUP(Tabelle1823[[#This Row],[Hybrid-Wärmepumpen]],Dropdown!$A$2:$D$4,4,FALSE)</f>
        <v>-</v>
      </c>
      <c r="I26" s="61" t="str">
        <f>VLOOKUP(Tabelle1823[[#This Row],[Nachtspeicherheizungen]],Dropdown!$A$2:$D$4,4,FALSE)</f>
        <v>-</v>
      </c>
      <c r="J26" s="61" t="str">
        <f>VLOOKUP(Tabelle1823[[#This Row],[Kühl- und Gefrierkombinationen]],Dropdown!$A$2:$D$4,4,FALSE)</f>
        <v>X</v>
      </c>
      <c r="K26" s="61" t="str">
        <f>VLOOKUP(Tabelle1823[[#This Row],[elektrische Warmwassererzeugung]],Dropdown!$A$2:$D$4,4,FALSE)</f>
        <v>-</v>
      </c>
      <c r="L26" s="61" t="str">
        <f>VLOOKUP(Tabelle1823[[#This Row],[Gefrierschränke und -truhen]],Dropdown!$A$2:$D$4,4,FALSE)</f>
        <v>X</v>
      </c>
      <c r="M26" s="61" t="str">
        <f>VLOOKUP(Tabelle1823[[#This Row],[Elektrische Öfen]],Dropdown!$A$2:$D$4,4,FALSE)</f>
        <v>-</v>
      </c>
      <c r="N26" s="61" t="str">
        <f>VLOOKUP(Tabelle1823[[#This Row],[elektrische Direktheizungen]],Dropdown!$A$2:$D$4,4,FALSE)</f>
        <v>-</v>
      </c>
      <c r="O26" s="61" t="str">
        <f>VLOOKUP(Tabelle1823[[#This Row],[Heizungsumwälzpumpen]],Dropdown!$A$2:$D$4,4,FALSE)</f>
        <v>X</v>
      </c>
      <c r="P26" s="61" t="str">
        <f>VLOOKUP(Tabelle1823[[#This Row],[Elektromobilität]],Dropdown!$A$2:$D$4,4,FALSE)</f>
        <v>X</v>
      </c>
      <c r="Q26" s="61" t="str">
        <f>VLOOKUP(Tabelle1823[[#This Row],[Smart Meter / intelligente Geräte]],Dropdown!$A$2:$D$4,4,FALSE)</f>
        <v>-</v>
      </c>
      <c r="R26" s="61" t="str">
        <f>VLOOKUP(Tabelle1823[[#This Row],[Photovoltaik]],Dropdown!$A$2:$D$4,4,FALSE)</f>
        <v>X</v>
      </c>
      <c r="S26" s="61" t="str">
        <f>VLOOKUP(Tabelle1823[[#This Row],[Mini-/Mikro-BHKWs]],Dropdown!$A$2:$D$4,4,FALSE)</f>
        <v>-</v>
      </c>
      <c r="T26" s="61" t="str">
        <f>VLOOKUP(Tabelle1823[[#This Row],[Lastflexibilisierung mittels 
Batteriespeichern]],Dropdown!$A$2:$D$4,4,FALSE)</f>
        <v>X</v>
      </c>
    </row>
    <row r="27" spans="1:20" x14ac:dyDescent="0.2">
      <c r="A27" s="59" t="s">
        <v>854</v>
      </c>
      <c r="B27" s="59">
        <f>Tabelle1823[[#This Row],[Kühlschränke]]</f>
        <v>12</v>
      </c>
      <c r="C27" s="59">
        <f>Tabelle1823[[#This Row],[Geschirrspüler]]</f>
        <v>10</v>
      </c>
      <c r="D27" s="59">
        <f>Tabelle1823[[#This Row],[Wäschetrockner]]</f>
        <v>11</v>
      </c>
      <c r="E27" s="59">
        <f>Tabelle1823[[#This Row],[Waschmaschinen]]</f>
        <v>10</v>
      </c>
      <c r="F27" s="59">
        <f>Tabelle1823[[#This Row],[Raumklimatisierung (Klimaanlagen)]]</f>
        <v>8</v>
      </c>
      <c r="G27" s="59">
        <f>Tabelle1823[[#This Row],[Wärmepumpen]]</f>
        <v>13</v>
      </c>
      <c r="H27" s="59">
        <f>Tabelle1823[[#This Row],[Hybrid-Wärmepumpen]]</f>
        <v>2</v>
      </c>
      <c r="I27" s="59">
        <f>Tabelle1823[[#This Row],[Nachtspeicherheizungen]]</f>
        <v>14</v>
      </c>
      <c r="J27" s="59">
        <f>Tabelle1823[[#This Row],[Kühl- und Gefrierkombinationen]]</f>
        <v>10</v>
      </c>
      <c r="K27" s="59">
        <f>Tabelle1823[[#This Row],[elektrische Warmwassererzeugung]]</f>
        <v>13</v>
      </c>
      <c r="L27" s="59">
        <f>Tabelle1823[[#This Row],[Gefrierschränke und -truhen]]</f>
        <v>13</v>
      </c>
      <c r="M27" s="59">
        <f>Tabelle1823[[#This Row],[Elektrische Öfen]]</f>
        <v>1</v>
      </c>
      <c r="N27" s="59">
        <f>Tabelle1823[[#This Row],[elektrische Direktheizungen]]</f>
        <v>1</v>
      </c>
      <c r="O27" s="59">
        <f>Tabelle1823[[#This Row],[Heizungsumwälzpumpen]]</f>
        <v>8</v>
      </c>
      <c r="P27" s="59">
        <f>Tabelle1823[[#This Row],[Elektromobilität]]</f>
        <v>3</v>
      </c>
      <c r="Q27" s="59">
        <f>Tabelle1823[[#This Row],[Smart Meter / intelligente Geräte]]</f>
        <v>0.5</v>
      </c>
      <c r="R27" s="59">
        <f>Tabelle1823[[#This Row],[Photovoltaik]]</f>
        <v>1.5</v>
      </c>
      <c r="S27" s="59">
        <f>Tabelle1823[[#This Row],[Mini-/Mikro-BHKWs]]</f>
        <v>0.5</v>
      </c>
      <c r="T27" s="59">
        <f>Tabelle1823[[#This Row],[Lastflexibilisierung mittels 
Batteriespeichern]]</f>
        <v>2</v>
      </c>
    </row>
  </sheetData>
  <pageMargins left="0.7" right="0.7" top="0.78740157499999996" bottom="0.78740157499999996"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C71E9-EE0F-4DEB-A25F-6C552621C40C}">
  <sheetPr codeName="Tabelle43">
    <tabColor theme="5" tint="0.79998168889431442"/>
  </sheetPr>
  <dimension ref="A1:T27"/>
  <sheetViews>
    <sheetView workbookViewId="0">
      <selection activeCell="T1" sqref="T1"/>
    </sheetView>
  </sheetViews>
  <sheetFormatPr baseColWidth="10" defaultColWidth="11" defaultRowHeight="12.75" x14ac:dyDescent="0.2"/>
  <cols>
    <col min="1" max="1" width="17.625" style="55" customWidth="1"/>
    <col min="2" max="20" width="5.875" style="55" customWidth="1"/>
    <col min="21" max="16384" width="11" style="55"/>
  </cols>
  <sheetData>
    <row r="1" spans="1:20" ht="165.75" customHeight="1" x14ac:dyDescent="0.2">
      <c r="A1" s="50" t="s">
        <v>1168</v>
      </c>
      <c r="B1" s="53" t="s">
        <v>1131</v>
      </c>
      <c r="C1" s="53" t="s">
        <v>1116</v>
      </c>
      <c r="D1" s="53" t="s">
        <v>1118</v>
      </c>
      <c r="E1" s="53" t="s">
        <v>1129</v>
      </c>
      <c r="F1" s="53" t="s">
        <v>1139</v>
      </c>
      <c r="G1" s="53" t="s">
        <v>1078</v>
      </c>
      <c r="H1" s="53" t="s">
        <v>1112</v>
      </c>
      <c r="I1" s="53" t="s">
        <v>1071</v>
      </c>
      <c r="J1" s="53" t="s">
        <v>1132</v>
      </c>
      <c r="K1" s="53" t="s">
        <v>1144</v>
      </c>
      <c r="L1" s="53" t="s">
        <v>1145</v>
      </c>
      <c r="M1" s="53" t="s">
        <v>1146</v>
      </c>
      <c r="N1" s="53" t="s">
        <v>1147</v>
      </c>
      <c r="O1" s="53" t="s">
        <v>1114</v>
      </c>
      <c r="P1" s="53" t="s">
        <v>1133</v>
      </c>
      <c r="Q1" s="53" t="s">
        <v>1135</v>
      </c>
      <c r="R1" s="53" t="s">
        <v>1136</v>
      </c>
      <c r="S1" s="53" t="s">
        <v>1149</v>
      </c>
      <c r="T1" s="53" t="s">
        <v>1448</v>
      </c>
    </row>
    <row r="2" spans="1:20" x14ac:dyDescent="0.2">
      <c r="A2" s="6">
        <v>1</v>
      </c>
      <c r="B2" s="61" t="str">
        <f>VLOOKUP(Tabelle1823[[#This Row],[Kühlschränke]],Dropdown!$A$2:$D$4,4,FALSE)</f>
        <v>X</v>
      </c>
      <c r="C2" s="61" t="str">
        <f>VLOOKUP(Tabelle1823[[#This Row],[Geschirrspüler]],Dropdown!$A$2:$D$4,4,FALSE)</f>
        <v>X</v>
      </c>
      <c r="D2" s="61" t="str">
        <f>VLOOKUP(Tabelle1823[[#This Row],[Wäschetrockner]],Dropdown!$A$2:$D$4,4,FALSE)</f>
        <v>X</v>
      </c>
      <c r="E2" s="61" t="str">
        <f>VLOOKUP(Tabelle1823[[#This Row],[Waschmaschinen]],Dropdown!$A$2:$D$4,4,FALSE)</f>
        <v>X</v>
      </c>
      <c r="F2" s="61" t="str">
        <f>VLOOKUP(Tabelle1823[[#This Row],[Raumklimatisierung (Klimaanlagen)]],Dropdown!$A$2:$D$4,4,FALSE)</f>
        <v>X</v>
      </c>
      <c r="G2" s="61" t="str">
        <f>VLOOKUP(Tabelle1823[[#This Row],[Wärmepumpen]],Dropdown!$A$2:$D$4,4,FALSE)</f>
        <v>X</v>
      </c>
      <c r="H2" s="61" t="str">
        <f>VLOOKUP(Tabelle1823[[#This Row],[Hybrid-Wärmepumpen]],Dropdown!$A$2:$D$4,4,FALSE)</f>
        <v>-</v>
      </c>
      <c r="I2" s="61" t="str">
        <f>VLOOKUP(Tabelle1823[[#This Row],[Nachtspeicherheizungen]],Dropdown!$A$2:$D$4,4,FALSE)</f>
        <v>X</v>
      </c>
      <c r="J2" s="61" t="str">
        <f>VLOOKUP(Tabelle1823[[#This Row],[Kühl- und Gefrierkombinationen]],Dropdown!$A$2:$D$4,4,FALSE)</f>
        <v>X</v>
      </c>
      <c r="K2" s="61" t="str">
        <f>VLOOKUP(Tabelle1823[[#This Row],[elektrische Warmwassererzeugung]],Dropdown!$A$2:$D$4,4,FALSE)</f>
        <v>X</v>
      </c>
      <c r="L2" s="61" t="str">
        <f>VLOOKUP(Tabelle1823[[#This Row],[Gefrierschränke und -truhen]],Dropdown!$A$2:$D$4,4,FALSE)</f>
        <v>X</v>
      </c>
      <c r="M2" s="61" t="str">
        <f>VLOOKUP(Tabelle1823[[#This Row],[Elektrische Öfen]],Dropdown!$A$2:$D$4,4,FALSE)</f>
        <v>-</v>
      </c>
      <c r="N2" s="61" t="str">
        <f>VLOOKUP(Tabelle1823[[#This Row],[elektrische Direktheizungen]],Dropdown!$A$2:$D$4,4,FALSE)</f>
        <v>-</v>
      </c>
      <c r="O2" s="61" t="str">
        <f>VLOOKUP(Tabelle1823[[#This Row],[Heizungsumwälzpumpen]],Dropdown!$A$2:$D$4,4,FALSE)</f>
        <v>-</v>
      </c>
      <c r="P2" s="61" t="str">
        <f>VLOOKUP(Tabelle1823[[#This Row],[Elektromobilität]],Dropdown!$A$2:$D$4,4,FALSE)</f>
        <v>-</v>
      </c>
      <c r="Q2" s="61" t="str">
        <f>VLOOKUP(Tabelle1823[[#This Row],[Smart Meter / intelligente Geräte]],Dropdown!$A$2:$D$4,4,FALSE)</f>
        <v>-</v>
      </c>
      <c r="R2" s="61" t="str">
        <f>VLOOKUP(Tabelle1823[[#This Row],[Photovoltaik]],Dropdown!$A$2:$D$4,4,FALSE)</f>
        <v>-</v>
      </c>
      <c r="S2" s="61" t="str">
        <f>VLOOKUP(Tabelle1823[[#This Row],[Mini-/Mikro-BHKWs]],Dropdown!$A$2:$D$4,4,FALSE)</f>
        <v>-</v>
      </c>
      <c r="T2" s="61" t="str">
        <f>VLOOKUP(Tabelle1823[[#This Row],[Lastflexibilisierung mittels 
Batteriespeichern]],Dropdown!$A$2:$D$4,4,FALSE)</f>
        <v>-</v>
      </c>
    </row>
    <row r="3" spans="1:20" x14ac:dyDescent="0.2">
      <c r="A3" s="6">
        <v>2</v>
      </c>
      <c r="B3" s="61" t="str">
        <f>VLOOKUP(Tabelle1823[[#This Row],[Kühlschränke]],Dropdown!$A$2:$D$4,4,FALSE)</f>
        <v>-</v>
      </c>
      <c r="C3" s="61" t="str">
        <f>VLOOKUP(Tabelle1823[[#This Row],[Geschirrspüler]],Dropdown!$A$2:$D$4,4,FALSE)</f>
        <v>X</v>
      </c>
      <c r="D3" s="61" t="str">
        <f>VLOOKUP(Tabelle1823[[#This Row],[Wäschetrockner]],Dropdown!$A$2:$D$4,4,FALSE)</f>
        <v>X</v>
      </c>
      <c r="E3" s="61" t="str">
        <f>VLOOKUP(Tabelle1823[[#This Row],[Waschmaschinen]],Dropdown!$A$2:$D$4,4,FALSE)</f>
        <v>X</v>
      </c>
      <c r="F3" s="61" t="str">
        <f>VLOOKUP(Tabelle1823[[#This Row],[Raumklimatisierung (Klimaanlagen)]],Dropdown!$A$2:$D$4,4,FALSE)</f>
        <v>-</v>
      </c>
      <c r="G3" s="61" t="str">
        <f>VLOOKUP(Tabelle1823[[#This Row],[Wärmepumpen]],Dropdown!$A$2:$D$4,4,FALSE)</f>
        <v>-</v>
      </c>
      <c r="H3" s="61" t="str">
        <f>VLOOKUP(Tabelle1823[[#This Row],[Hybrid-Wärmepumpen]],Dropdown!$A$2:$D$4,4,FALSE)</f>
        <v>-</v>
      </c>
      <c r="I3" s="61" t="str">
        <f>VLOOKUP(Tabelle1823[[#This Row],[Nachtspeicherheizungen]],Dropdown!$A$2:$D$4,4,FALSE)</f>
        <v>X</v>
      </c>
      <c r="J3" s="61" t="str">
        <f>VLOOKUP(Tabelle1823[[#This Row],[Kühl- und Gefrierkombinationen]],Dropdown!$A$2:$D$4,4,FALSE)</f>
        <v>-</v>
      </c>
      <c r="K3" s="61" t="str">
        <f>VLOOKUP(Tabelle1823[[#This Row],[elektrische Warmwassererzeugung]],Dropdown!$A$2:$D$4,4,FALSE)</f>
        <v>X</v>
      </c>
      <c r="L3" s="61" t="str">
        <f>VLOOKUP(Tabelle1823[[#This Row],[Gefrierschränke und -truhen]],Dropdown!$A$2:$D$4,4,FALSE)</f>
        <v>X</v>
      </c>
      <c r="M3" s="61" t="str">
        <f>VLOOKUP(Tabelle1823[[#This Row],[Elektrische Öfen]],Dropdown!$A$2:$D$4,4,FALSE)</f>
        <v>X</v>
      </c>
      <c r="N3" s="61" t="str">
        <f>VLOOKUP(Tabelle1823[[#This Row],[elektrische Direktheizungen]],Dropdown!$A$2:$D$4,4,FALSE)</f>
        <v>X</v>
      </c>
      <c r="O3" s="61" t="str">
        <f>VLOOKUP(Tabelle1823[[#This Row],[Heizungsumwälzpumpen]],Dropdown!$A$2:$D$4,4,FALSE)</f>
        <v>X</v>
      </c>
      <c r="P3" s="61" t="str">
        <f>VLOOKUP(Tabelle1823[[#This Row],[Elektromobilität]],Dropdown!$A$2:$D$4,4,FALSE)</f>
        <v>-</v>
      </c>
      <c r="Q3" s="61" t="str">
        <f>VLOOKUP(Tabelle1823[[#This Row],[Smart Meter / intelligente Geräte]],Dropdown!$A$2:$D$4,4,FALSE)</f>
        <v>-</v>
      </c>
      <c r="R3" s="61" t="str">
        <f>VLOOKUP(Tabelle1823[[#This Row],[Photovoltaik]],Dropdown!$A$2:$D$4,4,FALSE)</f>
        <v>-</v>
      </c>
      <c r="S3" s="61" t="str">
        <f>VLOOKUP(Tabelle1823[[#This Row],[Mini-/Mikro-BHKWs]],Dropdown!$A$2:$D$4,4,FALSE)</f>
        <v>-</v>
      </c>
      <c r="T3" s="61" t="str">
        <f>VLOOKUP(Tabelle1823[[#This Row],[Lastflexibilisierung mittels 
Batteriespeichern]],Dropdown!$A$2:$D$4,4,FALSE)</f>
        <v>-</v>
      </c>
    </row>
    <row r="4" spans="1:20" x14ac:dyDescent="0.2">
      <c r="A4" s="6">
        <v>3</v>
      </c>
      <c r="B4" s="61" t="str">
        <f>VLOOKUP(Tabelle1823[[#This Row],[Kühlschränke]],Dropdown!$A$2:$D$4,4,FALSE)</f>
        <v>-</v>
      </c>
      <c r="C4" s="61" t="str">
        <f>VLOOKUP(Tabelle1823[[#This Row],[Geschirrspüler]],Dropdown!$A$2:$D$4,4,FALSE)</f>
        <v>-</v>
      </c>
      <c r="D4" s="61" t="str">
        <f>VLOOKUP(Tabelle1823[[#This Row],[Wäschetrockner]],Dropdown!$A$2:$D$4,4,FALSE)</f>
        <v>-</v>
      </c>
      <c r="E4" s="61" t="str">
        <f>VLOOKUP(Tabelle1823[[#This Row],[Waschmaschinen]],Dropdown!$A$2:$D$4,4,FALSE)</f>
        <v>-</v>
      </c>
      <c r="F4" s="61" t="str">
        <f>VLOOKUP(Tabelle1823[[#This Row],[Raumklimatisierung (Klimaanlagen)]],Dropdown!$A$2:$D$4,4,FALSE)</f>
        <v>-</v>
      </c>
      <c r="G4" s="61" t="str">
        <f>VLOOKUP(Tabelle1823[[#This Row],[Wärmepumpen]],Dropdown!$A$2:$D$4,4,FALSE)</f>
        <v>-</v>
      </c>
      <c r="H4" s="61" t="str">
        <f>VLOOKUP(Tabelle1823[[#This Row],[Hybrid-Wärmepumpen]],Dropdown!$A$2:$D$4,4,FALSE)</f>
        <v>-</v>
      </c>
      <c r="I4" s="61" t="str">
        <f>VLOOKUP(Tabelle1823[[#This Row],[Nachtspeicherheizungen]],Dropdown!$A$2:$D$4,4,FALSE)</f>
        <v>-</v>
      </c>
      <c r="J4" s="61" t="str">
        <f>VLOOKUP(Tabelle1823[[#This Row],[Kühl- und Gefrierkombinationen]],Dropdown!$A$2:$D$4,4,FALSE)</f>
        <v>-</v>
      </c>
      <c r="K4" s="61" t="str">
        <f>VLOOKUP(Tabelle1823[[#This Row],[elektrische Warmwassererzeugung]],Dropdown!$A$2:$D$4,4,FALSE)</f>
        <v>-</v>
      </c>
      <c r="L4" s="61" t="str">
        <f>VLOOKUP(Tabelle1823[[#This Row],[Gefrierschränke und -truhen]],Dropdown!$A$2:$D$4,4,FALSE)</f>
        <v>-</v>
      </c>
      <c r="M4" s="61" t="str">
        <f>VLOOKUP(Tabelle1823[[#This Row],[Elektrische Öfen]],Dropdown!$A$2:$D$4,4,FALSE)</f>
        <v>-</v>
      </c>
      <c r="N4" s="61" t="str">
        <f>VLOOKUP(Tabelle1823[[#This Row],[elektrische Direktheizungen]],Dropdown!$A$2:$D$4,4,FALSE)</f>
        <v>-</v>
      </c>
      <c r="O4" s="61" t="str">
        <f>VLOOKUP(Tabelle1823[[#This Row],[Heizungsumwälzpumpen]],Dropdown!$A$2:$D$4,4,FALSE)</f>
        <v>-</v>
      </c>
      <c r="P4" s="61" t="str">
        <f>VLOOKUP(Tabelle1823[[#This Row],[Elektromobilität]],Dropdown!$A$2:$D$4,4,FALSE)</f>
        <v>-</v>
      </c>
      <c r="Q4" s="61" t="str">
        <f>VLOOKUP(Tabelle1823[[#This Row],[Smart Meter / intelligente Geräte]],Dropdown!$A$2:$D$4,4,FALSE)</f>
        <v>-</v>
      </c>
      <c r="R4" s="61" t="str">
        <f>VLOOKUP(Tabelle1823[[#This Row],[Photovoltaik]],Dropdown!$A$2:$D$4,4,FALSE)</f>
        <v>-</v>
      </c>
      <c r="S4" s="61" t="str">
        <f>VLOOKUP(Tabelle1823[[#This Row],[Mini-/Mikro-BHKWs]],Dropdown!$A$2:$D$4,4,FALSE)</f>
        <v>-</v>
      </c>
      <c r="T4" s="61" t="str">
        <f>VLOOKUP(Tabelle1823[[#This Row],[Lastflexibilisierung mittels 
Batteriespeichern]],Dropdown!$A$2:$D$4,4,FALSE)</f>
        <v>-</v>
      </c>
    </row>
    <row r="5" spans="1:20" x14ac:dyDescent="0.2">
      <c r="A5" s="6">
        <v>4</v>
      </c>
      <c r="B5" s="61" t="str">
        <f>VLOOKUP(Tabelle1823[[#This Row],[Kühlschränke]],Dropdown!$A$2:$D$4,4,FALSE)</f>
        <v>-</v>
      </c>
      <c r="C5" s="61" t="str">
        <f>VLOOKUP(Tabelle1823[[#This Row],[Geschirrspüler]],Dropdown!$A$2:$D$4,4,FALSE)</f>
        <v>-</v>
      </c>
      <c r="D5" s="61" t="str">
        <f>VLOOKUP(Tabelle1823[[#This Row],[Wäschetrockner]],Dropdown!$A$2:$D$4,4,FALSE)</f>
        <v>-</v>
      </c>
      <c r="E5" s="61" t="str">
        <f>VLOOKUP(Tabelle1823[[#This Row],[Waschmaschinen]],Dropdown!$A$2:$D$4,4,FALSE)</f>
        <v>-</v>
      </c>
      <c r="F5" s="61" t="str">
        <f>VLOOKUP(Tabelle1823[[#This Row],[Raumklimatisierung (Klimaanlagen)]],Dropdown!$A$2:$D$4,4,FALSE)</f>
        <v>-</v>
      </c>
      <c r="G5" s="61" t="str">
        <f>VLOOKUP(Tabelle1823[[#This Row],[Wärmepumpen]],Dropdown!$A$2:$D$4,4,FALSE)</f>
        <v>-</v>
      </c>
      <c r="H5" s="61" t="str">
        <f>VLOOKUP(Tabelle1823[[#This Row],[Hybrid-Wärmepumpen]],Dropdown!$A$2:$D$4,4,FALSE)</f>
        <v>-</v>
      </c>
      <c r="I5" s="61" t="str">
        <f>VLOOKUP(Tabelle1823[[#This Row],[Nachtspeicherheizungen]],Dropdown!$A$2:$D$4,4,FALSE)</f>
        <v>-</v>
      </c>
      <c r="J5" s="61" t="str">
        <f>VLOOKUP(Tabelle1823[[#This Row],[Kühl- und Gefrierkombinationen]],Dropdown!$A$2:$D$4,4,FALSE)</f>
        <v>-</v>
      </c>
      <c r="K5" s="61" t="str">
        <f>VLOOKUP(Tabelle1823[[#This Row],[elektrische Warmwassererzeugung]],Dropdown!$A$2:$D$4,4,FALSE)</f>
        <v>-</v>
      </c>
      <c r="L5" s="61" t="str">
        <f>VLOOKUP(Tabelle1823[[#This Row],[Gefrierschränke und -truhen]],Dropdown!$A$2:$D$4,4,FALSE)</f>
        <v>-</v>
      </c>
      <c r="M5" s="61" t="str">
        <f>VLOOKUP(Tabelle1823[[#This Row],[Elektrische Öfen]],Dropdown!$A$2:$D$4,4,FALSE)</f>
        <v>-</v>
      </c>
      <c r="N5" s="61" t="str">
        <f>VLOOKUP(Tabelle1823[[#This Row],[elektrische Direktheizungen]],Dropdown!$A$2:$D$4,4,FALSE)</f>
        <v>-</v>
      </c>
      <c r="O5" s="61" t="str">
        <f>VLOOKUP(Tabelle1823[[#This Row],[Heizungsumwälzpumpen]],Dropdown!$A$2:$D$4,4,FALSE)</f>
        <v>-</v>
      </c>
      <c r="P5" s="61" t="str">
        <f>VLOOKUP(Tabelle1823[[#This Row],[Elektromobilität]],Dropdown!$A$2:$D$4,4,FALSE)</f>
        <v>-</v>
      </c>
      <c r="Q5" s="61" t="str">
        <f>VLOOKUP(Tabelle1823[[#This Row],[Smart Meter / intelligente Geräte]],Dropdown!$A$2:$D$4,4,FALSE)</f>
        <v>-</v>
      </c>
      <c r="R5" s="61" t="str">
        <f>VLOOKUP(Tabelle1823[[#This Row],[Photovoltaik]],Dropdown!$A$2:$D$4,4,FALSE)</f>
        <v>-</v>
      </c>
      <c r="S5" s="61" t="str">
        <f>VLOOKUP(Tabelle1823[[#This Row],[Mini-/Mikro-BHKWs]],Dropdown!$A$2:$D$4,4,FALSE)</f>
        <v>-</v>
      </c>
      <c r="T5" s="61" t="str">
        <f>VLOOKUP(Tabelle1823[[#This Row],[Lastflexibilisierung mittels 
Batteriespeichern]],Dropdown!$A$2:$D$4,4,FALSE)</f>
        <v>-</v>
      </c>
    </row>
    <row r="6" spans="1:20" x14ac:dyDescent="0.2">
      <c r="A6" s="6">
        <v>5</v>
      </c>
      <c r="B6" s="61" t="str">
        <f>VLOOKUP(Tabelle1823[[#This Row],[Kühlschränke]],Dropdown!$A$2:$D$4,4,FALSE)</f>
        <v>X</v>
      </c>
      <c r="C6" s="61" t="str">
        <f>VLOOKUP(Tabelle1823[[#This Row],[Geschirrspüler]],Dropdown!$A$2:$D$4,4,FALSE)</f>
        <v>X</v>
      </c>
      <c r="D6" s="61" t="str">
        <f>VLOOKUP(Tabelle1823[[#This Row],[Wäschetrockner]],Dropdown!$A$2:$D$4,4,FALSE)</f>
        <v>X</v>
      </c>
      <c r="E6" s="61" t="str">
        <f>VLOOKUP(Tabelle1823[[#This Row],[Waschmaschinen]],Dropdown!$A$2:$D$4,4,FALSE)</f>
        <v>X</v>
      </c>
      <c r="F6" s="61" t="str">
        <f>VLOOKUP(Tabelle1823[[#This Row],[Raumklimatisierung (Klimaanlagen)]],Dropdown!$A$2:$D$4,4,FALSE)</f>
        <v>X</v>
      </c>
      <c r="G6" s="61" t="str">
        <f>VLOOKUP(Tabelle1823[[#This Row],[Wärmepumpen]],Dropdown!$A$2:$D$4,4,FALSE)</f>
        <v>X</v>
      </c>
      <c r="H6" s="61" t="str">
        <f>VLOOKUP(Tabelle1823[[#This Row],[Hybrid-Wärmepumpen]],Dropdown!$A$2:$D$4,4,FALSE)</f>
        <v>-</v>
      </c>
      <c r="I6" s="61" t="str">
        <f>VLOOKUP(Tabelle1823[[#This Row],[Nachtspeicherheizungen]],Dropdown!$A$2:$D$4,4,FALSE)</f>
        <v>X</v>
      </c>
      <c r="J6" s="61" t="str">
        <f>VLOOKUP(Tabelle1823[[#This Row],[Kühl- und Gefrierkombinationen]],Dropdown!$A$2:$D$4,4,FALSE)</f>
        <v>X</v>
      </c>
      <c r="K6" s="61" t="str">
        <f>VLOOKUP(Tabelle1823[[#This Row],[elektrische Warmwassererzeugung]],Dropdown!$A$2:$D$4,4,FALSE)</f>
        <v>X</v>
      </c>
      <c r="L6" s="61" t="str">
        <f>VLOOKUP(Tabelle1823[[#This Row],[Gefrierschränke und -truhen]],Dropdown!$A$2:$D$4,4,FALSE)</f>
        <v>X</v>
      </c>
      <c r="M6" s="61" t="str">
        <f>VLOOKUP(Tabelle1823[[#This Row],[Elektrische Öfen]],Dropdown!$A$2:$D$4,4,FALSE)</f>
        <v>-</v>
      </c>
      <c r="N6" s="61" t="str">
        <f>VLOOKUP(Tabelle1823[[#This Row],[elektrische Direktheizungen]],Dropdown!$A$2:$D$4,4,FALSE)</f>
        <v>-</v>
      </c>
      <c r="O6" s="61" t="str">
        <f>VLOOKUP(Tabelle1823[[#This Row],[Heizungsumwälzpumpen]],Dropdown!$A$2:$D$4,4,FALSE)</f>
        <v>X</v>
      </c>
      <c r="P6" s="61" t="str">
        <f>VLOOKUP(Tabelle1823[[#This Row],[Elektromobilität]],Dropdown!$A$2:$D$4,4,FALSE)</f>
        <v>-</v>
      </c>
      <c r="Q6" s="61" t="str">
        <f>VLOOKUP(Tabelle1823[[#This Row],[Smart Meter / intelligente Geräte]],Dropdown!$A$2:$D$4,4,FALSE)</f>
        <v>-</v>
      </c>
      <c r="R6" s="61" t="str">
        <f>VLOOKUP(Tabelle1823[[#This Row],[Photovoltaik]],Dropdown!$A$2:$D$4,4,FALSE)</f>
        <v>-</v>
      </c>
      <c r="S6" s="61" t="str">
        <f>VLOOKUP(Tabelle1823[[#This Row],[Mini-/Mikro-BHKWs]],Dropdown!$A$2:$D$4,4,FALSE)</f>
        <v>-</v>
      </c>
      <c r="T6" s="61" t="str">
        <f>VLOOKUP(Tabelle1823[[#This Row],[Lastflexibilisierung mittels 
Batteriespeichern]],Dropdown!$A$2:$D$4,4,FALSE)</f>
        <v>-</v>
      </c>
    </row>
    <row r="7" spans="1:20" x14ac:dyDescent="0.2">
      <c r="A7" s="6">
        <v>6</v>
      </c>
      <c r="B7" s="61" t="str">
        <f>VLOOKUP(Tabelle1823[[#This Row],[Kühlschränke]],Dropdown!$A$2:$D$4,4,FALSE)</f>
        <v>X</v>
      </c>
      <c r="C7" s="61" t="str">
        <f>VLOOKUP(Tabelle1823[[#This Row],[Geschirrspüler]],Dropdown!$A$2:$D$4,4,FALSE)</f>
        <v>X</v>
      </c>
      <c r="D7" s="61" t="str">
        <f>VLOOKUP(Tabelle1823[[#This Row],[Wäschetrockner]],Dropdown!$A$2:$D$4,4,FALSE)</f>
        <v>X</v>
      </c>
      <c r="E7" s="61" t="str">
        <f>VLOOKUP(Tabelle1823[[#This Row],[Waschmaschinen]],Dropdown!$A$2:$D$4,4,FALSE)</f>
        <v>X</v>
      </c>
      <c r="F7" s="61" t="str">
        <f>VLOOKUP(Tabelle1823[[#This Row],[Raumklimatisierung (Klimaanlagen)]],Dropdown!$A$2:$D$4,4,FALSE)</f>
        <v>X</v>
      </c>
      <c r="G7" s="61" t="str">
        <f>VLOOKUP(Tabelle1823[[#This Row],[Wärmepumpen]],Dropdown!$A$2:$D$4,4,FALSE)</f>
        <v>X</v>
      </c>
      <c r="H7" s="61" t="str">
        <f>VLOOKUP(Tabelle1823[[#This Row],[Hybrid-Wärmepumpen]],Dropdown!$A$2:$D$4,4,FALSE)</f>
        <v>-</v>
      </c>
      <c r="I7" s="61" t="str">
        <f>VLOOKUP(Tabelle1823[[#This Row],[Nachtspeicherheizungen]],Dropdown!$A$2:$D$4,4,FALSE)</f>
        <v>X</v>
      </c>
      <c r="J7" s="61" t="str">
        <f>VLOOKUP(Tabelle1823[[#This Row],[Kühl- und Gefrierkombinationen]],Dropdown!$A$2:$D$4,4,FALSE)</f>
        <v>X</v>
      </c>
      <c r="K7" s="61" t="str">
        <f>VLOOKUP(Tabelle1823[[#This Row],[elektrische Warmwassererzeugung]],Dropdown!$A$2:$D$4,4,FALSE)</f>
        <v>X</v>
      </c>
      <c r="L7" s="61" t="str">
        <f>VLOOKUP(Tabelle1823[[#This Row],[Gefrierschränke und -truhen]],Dropdown!$A$2:$D$4,4,FALSE)</f>
        <v>X</v>
      </c>
      <c r="M7" s="61" t="str">
        <f>VLOOKUP(Tabelle1823[[#This Row],[Elektrische Öfen]],Dropdown!$A$2:$D$4,4,FALSE)</f>
        <v>-</v>
      </c>
      <c r="N7" s="61" t="str">
        <f>VLOOKUP(Tabelle1823[[#This Row],[elektrische Direktheizungen]],Dropdown!$A$2:$D$4,4,FALSE)</f>
        <v>-</v>
      </c>
      <c r="O7" s="61" t="str">
        <f>VLOOKUP(Tabelle1823[[#This Row],[Heizungsumwälzpumpen]],Dropdown!$A$2:$D$4,4,FALSE)</f>
        <v>-</v>
      </c>
      <c r="P7" s="61" t="str">
        <f>VLOOKUP(Tabelle1823[[#This Row],[Elektromobilität]],Dropdown!$A$2:$D$4,4,FALSE)</f>
        <v>-</v>
      </c>
      <c r="Q7" s="61" t="str">
        <f>VLOOKUP(Tabelle1823[[#This Row],[Smart Meter / intelligente Geräte]],Dropdown!$A$2:$D$4,4,FALSE)</f>
        <v>-</v>
      </c>
      <c r="R7" s="61" t="str">
        <f>VLOOKUP(Tabelle1823[[#This Row],[Photovoltaik]],Dropdown!$A$2:$D$4,4,FALSE)</f>
        <v>-</v>
      </c>
      <c r="S7" s="61" t="str">
        <f>VLOOKUP(Tabelle1823[[#This Row],[Mini-/Mikro-BHKWs]],Dropdown!$A$2:$D$4,4,FALSE)</f>
        <v>-</v>
      </c>
      <c r="T7" s="61" t="str">
        <f>VLOOKUP(Tabelle1823[[#This Row],[Lastflexibilisierung mittels 
Batteriespeichern]],Dropdown!$A$2:$D$4,4,FALSE)</f>
        <v>-</v>
      </c>
    </row>
    <row r="8" spans="1:20" x14ac:dyDescent="0.2">
      <c r="A8" s="6">
        <v>7</v>
      </c>
      <c r="B8" s="61" t="str">
        <f>VLOOKUP(Tabelle1823[[#This Row],[Kühlschränke]],Dropdown!$A$2:$D$4,4,FALSE)</f>
        <v>X</v>
      </c>
      <c r="C8" s="61" t="str">
        <f>VLOOKUP(Tabelle1823[[#This Row],[Geschirrspüler]],Dropdown!$A$2:$D$4,4,FALSE)</f>
        <v>X</v>
      </c>
      <c r="D8" s="61" t="str">
        <f>VLOOKUP(Tabelle1823[[#This Row],[Wäschetrockner]],Dropdown!$A$2:$D$4,4,FALSE)</f>
        <v>X</v>
      </c>
      <c r="E8" s="61" t="str">
        <f>VLOOKUP(Tabelle1823[[#This Row],[Waschmaschinen]],Dropdown!$A$2:$D$4,4,FALSE)</f>
        <v>X</v>
      </c>
      <c r="F8" s="61" t="str">
        <f>VLOOKUP(Tabelle1823[[#This Row],[Raumklimatisierung (Klimaanlagen)]],Dropdown!$A$2:$D$4,4,FALSE)</f>
        <v>X</v>
      </c>
      <c r="G8" s="61" t="str">
        <f>VLOOKUP(Tabelle1823[[#This Row],[Wärmepumpen]],Dropdown!$A$2:$D$4,4,FALSE)</f>
        <v>X</v>
      </c>
      <c r="H8" s="61" t="str">
        <f>VLOOKUP(Tabelle1823[[#This Row],[Hybrid-Wärmepumpen]],Dropdown!$A$2:$D$4,4,FALSE)</f>
        <v>-</v>
      </c>
      <c r="I8" s="61" t="str">
        <f>VLOOKUP(Tabelle1823[[#This Row],[Nachtspeicherheizungen]],Dropdown!$A$2:$D$4,4,FALSE)</f>
        <v>X</v>
      </c>
      <c r="J8" s="61" t="str">
        <f>VLOOKUP(Tabelle1823[[#This Row],[Kühl- und Gefrierkombinationen]],Dropdown!$A$2:$D$4,4,FALSE)</f>
        <v>-</v>
      </c>
      <c r="K8" s="61" t="str">
        <f>VLOOKUP(Tabelle1823[[#This Row],[elektrische Warmwassererzeugung]],Dropdown!$A$2:$D$4,4,FALSE)</f>
        <v>-</v>
      </c>
      <c r="L8" s="61" t="str">
        <f>VLOOKUP(Tabelle1823[[#This Row],[Gefrierschränke und -truhen]],Dropdown!$A$2:$D$4,4,FALSE)</f>
        <v>X</v>
      </c>
      <c r="M8" s="61" t="str">
        <f>VLOOKUP(Tabelle1823[[#This Row],[Elektrische Öfen]],Dropdown!$A$2:$D$4,4,FALSE)</f>
        <v>-</v>
      </c>
      <c r="N8" s="61" t="str">
        <f>VLOOKUP(Tabelle1823[[#This Row],[elektrische Direktheizungen]],Dropdown!$A$2:$D$4,4,FALSE)</f>
        <v>-</v>
      </c>
      <c r="O8" s="61" t="str">
        <f>VLOOKUP(Tabelle1823[[#This Row],[Heizungsumwälzpumpen]],Dropdown!$A$2:$D$4,4,FALSE)</f>
        <v>-</v>
      </c>
      <c r="P8" s="61" t="str">
        <f>VLOOKUP(Tabelle1823[[#This Row],[Elektromobilität]],Dropdown!$A$2:$D$4,4,FALSE)</f>
        <v>-</v>
      </c>
      <c r="Q8" s="61" t="str">
        <f>VLOOKUP(Tabelle1823[[#This Row],[Smart Meter / intelligente Geräte]],Dropdown!$A$2:$D$4,4,FALSE)</f>
        <v>-</v>
      </c>
      <c r="R8" s="61" t="str">
        <f>VLOOKUP(Tabelle1823[[#This Row],[Photovoltaik]],Dropdown!$A$2:$D$4,4,FALSE)</f>
        <v>-</v>
      </c>
      <c r="S8" s="61" t="str">
        <f>VLOOKUP(Tabelle1823[[#This Row],[Mini-/Mikro-BHKWs]],Dropdown!$A$2:$D$4,4,FALSE)</f>
        <v>-</v>
      </c>
      <c r="T8" s="61" t="str">
        <f>VLOOKUP(Tabelle1823[[#This Row],[Lastflexibilisierung mittels 
Batteriespeichern]],Dropdown!$A$2:$D$4,4,FALSE)</f>
        <v>-</v>
      </c>
    </row>
    <row r="9" spans="1:20" x14ac:dyDescent="0.2">
      <c r="A9" s="6">
        <v>8</v>
      </c>
      <c r="B9" s="61" t="str">
        <f>VLOOKUP(Tabelle1823[[#This Row],[Kühlschränke]],Dropdown!$A$2:$D$4,4,FALSE)</f>
        <v>-</v>
      </c>
      <c r="C9" s="61" t="str">
        <f>VLOOKUP(Tabelle1823[[#This Row],[Geschirrspüler]],Dropdown!$A$2:$D$4,4,FALSE)</f>
        <v>-</v>
      </c>
      <c r="D9" s="61" t="str">
        <f>VLOOKUP(Tabelle1823[[#This Row],[Wäschetrockner]],Dropdown!$A$2:$D$4,4,FALSE)</f>
        <v>-</v>
      </c>
      <c r="E9" s="61" t="str">
        <f>VLOOKUP(Tabelle1823[[#This Row],[Waschmaschinen]],Dropdown!$A$2:$D$4,4,FALSE)</f>
        <v>-</v>
      </c>
      <c r="F9" s="61" t="str">
        <f>VLOOKUP(Tabelle1823[[#This Row],[Raumklimatisierung (Klimaanlagen)]],Dropdown!$A$2:$D$4,4,FALSE)</f>
        <v>-</v>
      </c>
      <c r="G9" s="61" t="str">
        <f>VLOOKUP(Tabelle1823[[#This Row],[Wärmepumpen]],Dropdown!$A$2:$D$4,4,FALSE)</f>
        <v>-</v>
      </c>
      <c r="H9" s="61" t="str">
        <f>VLOOKUP(Tabelle1823[[#This Row],[Hybrid-Wärmepumpen]],Dropdown!$A$2:$D$4,4,FALSE)</f>
        <v>-</v>
      </c>
      <c r="I9" s="61" t="str">
        <f>VLOOKUP(Tabelle1823[[#This Row],[Nachtspeicherheizungen]],Dropdown!$A$2:$D$4,4,FALSE)</f>
        <v>-</v>
      </c>
      <c r="J9" s="61" t="str">
        <f>VLOOKUP(Tabelle1823[[#This Row],[Kühl- und Gefrierkombinationen]],Dropdown!$A$2:$D$4,4,FALSE)</f>
        <v>-</v>
      </c>
      <c r="K9" s="61" t="str">
        <f>VLOOKUP(Tabelle1823[[#This Row],[elektrische Warmwassererzeugung]],Dropdown!$A$2:$D$4,4,FALSE)</f>
        <v>-</v>
      </c>
      <c r="L9" s="61" t="str">
        <f>VLOOKUP(Tabelle1823[[#This Row],[Gefrierschränke und -truhen]],Dropdown!$A$2:$D$4,4,FALSE)</f>
        <v>-</v>
      </c>
      <c r="M9" s="61" t="str">
        <f>VLOOKUP(Tabelle1823[[#This Row],[Elektrische Öfen]],Dropdown!$A$2:$D$4,4,FALSE)</f>
        <v>-</v>
      </c>
      <c r="N9" s="61" t="str">
        <f>VLOOKUP(Tabelle1823[[#This Row],[elektrische Direktheizungen]],Dropdown!$A$2:$D$4,4,FALSE)</f>
        <v>-</v>
      </c>
      <c r="O9" s="61" t="str">
        <f>VLOOKUP(Tabelle1823[[#This Row],[Heizungsumwälzpumpen]],Dropdown!$A$2:$D$4,4,FALSE)</f>
        <v>-</v>
      </c>
      <c r="P9" s="61" t="str">
        <f>VLOOKUP(Tabelle1823[[#This Row],[Elektromobilität]],Dropdown!$A$2:$D$4,4,FALSE)</f>
        <v>-</v>
      </c>
      <c r="Q9" s="61" t="str">
        <f>VLOOKUP(Tabelle1823[[#This Row],[Smart Meter / intelligente Geräte]],Dropdown!$A$2:$D$4,4,FALSE)</f>
        <v>-</v>
      </c>
      <c r="R9" s="61" t="str">
        <f>VLOOKUP(Tabelle1823[[#This Row],[Photovoltaik]],Dropdown!$A$2:$D$4,4,FALSE)</f>
        <v>-</v>
      </c>
      <c r="S9" s="61" t="str">
        <f>VLOOKUP(Tabelle1823[[#This Row],[Mini-/Mikro-BHKWs]],Dropdown!$A$2:$D$4,4,FALSE)</f>
        <v>-</v>
      </c>
      <c r="T9" s="61" t="str">
        <f>VLOOKUP(Tabelle1823[[#This Row],[Lastflexibilisierung mittels 
Batteriespeichern]],Dropdown!$A$2:$D$4,4,FALSE)</f>
        <v>-</v>
      </c>
    </row>
    <row r="10" spans="1:20" x14ac:dyDescent="0.2">
      <c r="A10" s="6">
        <v>9</v>
      </c>
      <c r="B10" s="61" t="str">
        <f>VLOOKUP(Tabelle1823[[#This Row],[Kühlschränke]],Dropdown!$A$2:$D$4,4,FALSE)</f>
        <v>X</v>
      </c>
      <c r="C10" s="61" t="str">
        <f>VLOOKUP(Tabelle1823[[#This Row],[Geschirrspüler]],Dropdown!$A$2:$D$4,4,FALSE)</f>
        <v>-</v>
      </c>
      <c r="D10" s="61" t="str">
        <f>VLOOKUP(Tabelle1823[[#This Row],[Wäschetrockner]],Dropdown!$A$2:$D$4,4,FALSE)</f>
        <v>-</v>
      </c>
      <c r="E10" s="61" t="str">
        <f>VLOOKUP(Tabelle1823[[#This Row],[Waschmaschinen]],Dropdown!$A$2:$D$4,4,FALSE)</f>
        <v>-</v>
      </c>
      <c r="F10" s="61" t="str">
        <f>VLOOKUP(Tabelle1823[[#This Row],[Raumklimatisierung (Klimaanlagen)]],Dropdown!$A$2:$D$4,4,FALSE)</f>
        <v>-</v>
      </c>
      <c r="G10" s="61" t="str">
        <f>VLOOKUP(Tabelle1823[[#This Row],[Wärmepumpen]],Dropdown!$A$2:$D$4,4,FALSE)</f>
        <v>-</v>
      </c>
      <c r="H10" s="61" t="str">
        <f>VLOOKUP(Tabelle1823[[#This Row],[Hybrid-Wärmepumpen]],Dropdown!$A$2:$D$4,4,FALSE)</f>
        <v>-</v>
      </c>
      <c r="I10" s="61" t="str">
        <f>VLOOKUP(Tabelle1823[[#This Row],[Nachtspeicherheizungen]],Dropdown!$A$2:$D$4,4,FALSE)</f>
        <v>-</v>
      </c>
      <c r="J10" s="61" t="str">
        <f>VLOOKUP(Tabelle1823[[#This Row],[Kühl- und Gefrierkombinationen]],Dropdown!$A$2:$D$4,4,FALSE)</f>
        <v>X</v>
      </c>
      <c r="K10" s="61" t="str">
        <f>VLOOKUP(Tabelle1823[[#This Row],[elektrische Warmwassererzeugung]],Dropdown!$A$2:$D$4,4,FALSE)</f>
        <v>X</v>
      </c>
      <c r="L10" s="61" t="str">
        <f>VLOOKUP(Tabelle1823[[#This Row],[Gefrierschränke und -truhen]],Dropdown!$A$2:$D$4,4,FALSE)</f>
        <v>X</v>
      </c>
      <c r="M10" s="61" t="str">
        <f>VLOOKUP(Tabelle1823[[#This Row],[Elektrische Öfen]],Dropdown!$A$2:$D$4,4,FALSE)</f>
        <v>-</v>
      </c>
      <c r="N10" s="61" t="str">
        <f>VLOOKUP(Tabelle1823[[#This Row],[elektrische Direktheizungen]],Dropdown!$A$2:$D$4,4,FALSE)</f>
        <v>-</v>
      </c>
      <c r="O10" s="61" t="str">
        <f>VLOOKUP(Tabelle1823[[#This Row],[Heizungsumwälzpumpen]],Dropdown!$A$2:$D$4,4,FALSE)</f>
        <v>-</v>
      </c>
      <c r="P10" s="61" t="str">
        <f>VLOOKUP(Tabelle1823[[#This Row],[Elektromobilität]],Dropdown!$A$2:$D$4,4,FALSE)</f>
        <v>-</v>
      </c>
      <c r="Q10" s="61" t="str">
        <f>VLOOKUP(Tabelle1823[[#This Row],[Smart Meter / intelligente Geräte]],Dropdown!$A$2:$D$4,4,FALSE)</f>
        <v>-</v>
      </c>
      <c r="R10" s="61" t="str">
        <f>VLOOKUP(Tabelle1823[[#This Row],[Photovoltaik]],Dropdown!$A$2:$D$4,4,FALSE)</f>
        <v>-</v>
      </c>
      <c r="S10" s="61" t="str">
        <f>VLOOKUP(Tabelle1823[[#This Row],[Mini-/Mikro-BHKWs]],Dropdown!$A$2:$D$4,4,FALSE)</f>
        <v>-</v>
      </c>
      <c r="T10" s="61" t="str">
        <f>VLOOKUP(Tabelle1823[[#This Row],[Lastflexibilisierung mittels 
Batteriespeichern]],Dropdown!$A$2:$D$4,4,FALSE)</f>
        <v>-</v>
      </c>
    </row>
    <row r="11" spans="1:20" x14ac:dyDescent="0.2">
      <c r="A11" s="6">
        <v>10</v>
      </c>
      <c r="B11" s="61" t="str">
        <f>VLOOKUP(Tabelle1823[[#This Row],[Kühlschränke]],Dropdown!$A$2:$D$4,4,FALSE)</f>
        <v>-</v>
      </c>
      <c r="C11" s="61" t="str">
        <f>VLOOKUP(Tabelle1823[[#This Row],[Geschirrspüler]],Dropdown!$A$2:$D$4,4,FALSE)</f>
        <v>-</v>
      </c>
      <c r="D11" s="61" t="str">
        <f>VLOOKUP(Tabelle1823[[#This Row],[Wäschetrockner]],Dropdown!$A$2:$D$4,4,FALSE)</f>
        <v>-</v>
      </c>
      <c r="E11" s="61" t="str">
        <f>VLOOKUP(Tabelle1823[[#This Row],[Waschmaschinen]],Dropdown!$A$2:$D$4,4,FALSE)</f>
        <v>-</v>
      </c>
      <c r="F11" s="61" t="str">
        <f>VLOOKUP(Tabelle1823[[#This Row],[Raumklimatisierung (Klimaanlagen)]],Dropdown!$A$2:$D$4,4,FALSE)</f>
        <v>-</v>
      </c>
      <c r="G11" s="61" t="str">
        <f>VLOOKUP(Tabelle1823[[#This Row],[Wärmepumpen]],Dropdown!$A$2:$D$4,4,FALSE)</f>
        <v>-</v>
      </c>
      <c r="H11" s="61" t="str">
        <f>VLOOKUP(Tabelle1823[[#This Row],[Hybrid-Wärmepumpen]],Dropdown!$A$2:$D$4,4,FALSE)</f>
        <v>X</v>
      </c>
      <c r="I11" s="61" t="str">
        <f>VLOOKUP(Tabelle1823[[#This Row],[Nachtspeicherheizungen]],Dropdown!$A$2:$D$4,4,FALSE)</f>
        <v>-</v>
      </c>
      <c r="J11" s="61" t="str">
        <f>VLOOKUP(Tabelle1823[[#This Row],[Kühl- und Gefrierkombinationen]],Dropdown!$A$2:$D$4,4,FALSE)</f>
        <v>-</v>
      </c>
      <c r="K11" s="61" t="str">
        <f>VLOOKUP(Tabelle1823[[#This Row],[elektrische Warmwassererzeugung]],Dropdown!$A$2:$D$4,4,FALSE)</f>
        <v>X</v>
      </c>
      <c r="L11" s="61" t="str">
        <f>VLOOKUP(Tabelle1823[[#This Row],[Gefrierschränke und -truhen]],Dropdown!$A$2:$D$4,4,FALSE)</f>
        <v>-</v>
      </c>
      <c r="M11" s="61" t="str">
        <f>VLOOKUP(Tabelle1823[[#This Row],[Elektrische Öfen]],Dropdown!$A$2:$D$4,4,FALSE)</f>
        <v>-</v>
      </c>
      <c r="N11" s="61" t="str">
        <f>VLOOKUP(Tabelle1823[[#This Row],[elektrische Direktheizungen]],Dropdown!$A$2:$D$4,4,FALSE)</f>
        <v>-</v>
      </c>
      <c r="O11" s="61" t="str">
        <f>VLOOKUP(Tabelle1823[[#This Row],[Heizungsumwälzpumpen]],Dropdown!$A$2:$D$4,4,FALSE)</f>
        <v>-</v>
      </c>
      <c r="P11" s="61" t="str">
        <f>VLOOKUP(Tabelle1823[[#This Row],[Elektromobilität]],Dropdown!$A$2:$D$4,4,FALSE)</f>
        <v>-</v>
      </c>
      <c r="Q11" s="61" t="str">
        <f>VLOOKUP(Tabelle1823[[#This Row],[Smart Meter / intelligente Geräte]],Dropdown!$A$2:$D$4,4,FALSE)</f>
        <v>-</v>
      </c>
      <c r="R11" s="61" t="str">
        <f>VLOOKUP(Tabelle1823[[#This Row],[Photovoltaik]],Dropdown!$A$2:$D$4,4,FALSE)</f>
        <v>-</v>
      </c>
      <c r="S11" s="61" t="str">
        <f>VLOOKUP(Tabelle1823[[#This Row],[Mini-/Mikro-BHKWs]],Dropdown!$A$2:$D$4,4,FALSE)</f>
        <v>-</v>
      </c>
      <c r="T11" s="61" t="str">
        <f>VLOOKUP(Tabelle1823[[#This Row],[Lastflexibilisierung mittels 
Batteriespeichern]],Dropdown!$A$2:$D$4,4,FALSE)</f>
        <v>-</v>
      </c>
    </row>
    <row r="12" spans="1:20" x14ac:dyDescent="0.2">
      <c r="A12" s="6">
        <v>11</v>
      </c>
      <c r="B12" s="61" t="str">
        <f>VLOOKUP(Tabelle1823[[#This Row],[Kühlschränke]],Dropdown!$A$2:$D$4,4,FALSE)</f>
        <v>X</v>
      </c>
      <c r="C12" s="61" t="str">
        <f>VLOOKUP(Tabelle1823[[#This Row],[Geschirrspüler]],Dropdown!$A$2:$D$4,4,FALSE)</f>
        <v>X</v>
      </c>
      <c r="D12" s="61" t="str">
        <f>VLOOKUP(Tabelle1823[[#This Row],[Wäschetrockner]],Dropdown!$A$2:$D$4,4,FALSE)</f>
        <v>X</v>
      </c>
      <c r="E12" s="61" t="str">
        <f>VLOOKUP(Tabelle1823[[#This Row],[Waschmaschinen]],Dropdown!$A$2:$D$4,4,FALSE)</f>
        <v>X</v>
      </c>
      <c r="F12" s="61" t="str">
        <f>VLOOKUP(Tabelle1823[[#This Row],[Raumklimatisierung (Klimaanlagen)]],Dropdown!$A$2:$D$4,4,FALSE)</f>
        <v>-</v>
      </c>
      <c r="G12" s="61" t="str">
        <f>VLOOKUP(Tabelle1823[[#This Row],[Wärmepumpen]],Dropdown!$A$2:$D$4,4,FALSE)</f>
        <v>X</v>
      </c>
      <c r="H12" s="61" t="str">
        <f>VLOOKUP(Tabelle1823[[#This Row],[Hybrid-Wärmepumpen]],Dropdown!$A$2:$D$4,4,FALSE)</f>
        <v>-</v>
      </c>
      <c r="I12" s="61" t="str">
        <f>VLOOKUP(Tabelle1823[[#This Row],[Nachtspeicherheizungen]],Dropdown!$A$2:$D$4,4,FALSE)</f>
        <v>X</v>
      </c>
      <c r="J12" s="61" t="str">
        <f>VLOOKUP(Tabelle1823[[#This Row],[Kühl- und Gefrierkombinationen]],Dropdown!$A$2:$D$4,4,FALSE)</f>
        <v>X</v>
      </c>
      <c r="K12" s="61" t="str">
        <f>VLOOKUP(Tabelle1823[[#This Row],[elektrische Warmwassererzeugung]],Dropdown!$A$2:$D$4,4,FALSE)</f>
        <v>X</v>
      </c>
      <c r="L12" s="61" t="str">
        <f>VLOOKUP(Tabelle1823[[#This Row],[Gefrierschränke und -truhen]],Dropdown!$A$2:$D$4,4,FALSE)</f>
        <v>X</v>
      </c>
      <c r="M12" s="61" t="str">
        <f>VLOOKUP(Tabelle1823[[#This Row],[Elektrische Öfen]],Dropdown!$A$2:$D$4,4,FALSE)</f>
        <v>-</v>
      </c>
      <c r="N12" s="61" t="str">
        <f>VLOOKUP(Tabelle1823[[#This Row],[elektrische Direktheizungen]],Dropdown!$A$2:$D$4,4,FALSE)</f>
        <v>-</v>
      </c>
      <c r="O12" s="61" t="str">
        <f>VLOOKUP(Tabelle1823[[#This Row],[Heizungsumwälzpumpen]],Dropdown!$A$2:$D$4,4,FALSE)</f>
        <v>X</v>
      </c>
      <c r="P12" s="61" t="str">
        <f>VLOOKUP(Tabelle1823[[#This Row],[Elektromobilität]],Dropdown!$A$2:$D$4,4,FALSE)</f>
        <v>-</v>
      </c>
      <c r="Q12" s="61" t="str">
        <f>VLOOKUP(Tabelle1823[[#This Row],[Smart Meter / intelligente Geräte]],Dropdown!$A$2:$D$4,4,FALSE)</f>
        <v>-</v>
      </c>
      <c r="R12" s="61" t="str">
        <f>VLOOKUP(Tabelle1823[[#This Row],[Photovoltaik]],Dropdown!$A$2:$D$4,4,FALSE)</f>
        <v>-</v>
      </c>
      <c r="S12" s="61" t="str">
        <f>VLOOKUP(Tabelle1823[[#This Row],[Mini-/Mikro-BHKWs]],Dropdown!$A$2:$D$4,4,FALSE)</f>
        <v>-</v>
      </c>
      <c r="T12" s="61" t="str">
        <f>VLOOKUP(Tabelle1823[[#This Row],[Lastflexibilisierung mittels 
Batteriespeichern]],Dropdown!$A$2:$D$4,4,FALSE)</f>
        <v>-</v>
      </c>
    </row>
    <row r="13" spans="1:20" x14ac:dyDescent="0.2">
      <c r="A13" s="6">
        <v>12</v>
      </c>
      <c r="B13" s="61" t="str">
        <f>VLOOKUP(Tabelle1823[[#This Row],[Kühlschränke]],Dropdown!$A$2:$D$4,4,FALSE)</f>
        <v>-</v>
      </c>
      <c r="C13" s="61" t="str">
        <f>VLOOKUP(Tabelle1823[[#This Row],[Geschirrspüler]],Dropdown!$A$2:$D$4,4,FALSE)</f>
        <v>-</v>
      </c>
      <c r="D13" s="61" t="str">
        <f>VLOOKUP(Tabelle1823[[#This Row],[Wäschetrockner]],Dropdown!$A$2:$D$4,4,FALSE)</f>
        <v>-</v>
      </c>
      <c r="E13" s="61" t="str">
        <f>VLOOKUP(Tabelle1823[[#This Row],[Waschmaschinen]],Dropdown!$A$2:$D$4,4,FALSE)</f>
        <v>-</v>
      </c>
      <c r="F13" s="61" t="str">
        <f>VLOOKUP(Tabelle1823[[#This Row],[Raumklimatisierung (Klimaanlagen)]],Dropdown!$A$2:$D$4,4,FALSE)</f>
        <v>-</v>
      </c>
      <c r="G13" s="61" t="str">
        <f>VLOOKUP(Tabelle1823[[#This Row],[Wärmepumpen]],Dropdown!$A$2:$D$4,4,FALSE)</f>
        <v>-</v>
      </c>
      <c r="H13" s="61" t="str">
        <f>VLOOKUP(Tabelle1823[[#This Row],[Hybrid-Wärmepumpen]],Dropdown!$A$2:$D$4,4,FALSE)</f>
        <v>-</v>
      </c>
      <c r="I13" s="61" t="str">
        <f>VLOOKUP(Tabelle1823[[#This Row],[Nachtspeicherheizungen]],Dropdown!$A$2:$D$4,4,FALSE)</f>
        <v>-</v>
      </c>
      <c r="J13" s="61" t="str">
        <f>VLOOKUP(Tabelle1823[[#This Row],[Kühl- und Gefrierkombinationen]],Dropdown!$A$2:$D$4,4,FALSE)</f>
        <v>-</v>
      </c>
      <c r="K13" s="61" t="str">
        <f>VLOOKUP(Tabelle1823[[#This Row],[elektrische Warmwassererzeugung]],Dropdown!$A$2:$D$4,4,FALSE)</f>
        <v>-</v>
      </c>
      <c r="L13" s="61" t="str">
        <f>VLOOKUP(Tabelle1823[[#This Row],[Gefrierschränke und -truhen]],Dropdown!$A$2:$D$4,4,FALSE)</f>
        <v>-</v>
      </c>
      <c r="M13" s="61" t="str">
        <f>VLOOKUP(Tabelle1823[[#This Row],[Elektrische Öfen]],Dropdown!$A$2:$D$4,4,FALSE)</f>
        <v>-</v>
      </c>
      <c r="N13" s="61" t="str">
        <f>VLOOKUP(Tabelle1823[[#This Row],[elektrische Direktheizungen]],Dropdown!$A$2:$D$4,4,FALSE)</f>
        <v>-</v>
      </c>
      <c r="O13" s="61" t="str">
        <f>VLOOKUP(Tabelle1823[[#This Row],[Heizungsumwälzpumpen]],Dropdown!$A$2:$D$4,4,FALSE)</f>
        <v>-</v>
      </c>
      <c r="P13" s="61" t="str">
        <f>VLOOKUP(Tabelle1823[[#This Row],[Elektromobilität]],Dropdown!$A$2:$D$4,4,FALSE)</f>
        <v>-</v>
      </c>
      <c r="Q13" s="61" t="str">
        <f>VLOOKUP(Tabelle1823[[#This Row],[Smart Meter / intelligente Geräte]],Dropdown!$A$2:$D$4,4,FALSE)</f>
        <v>-</v>
      </c>
      <c r="R13" s="61" t="str">
        <f>VLOOKUP(Tabelle1823[[#This Row],[Photovoltaik]],Dropdown!$A$2:$D$4,4,FALSE)</f>
        <v>-</v>
      </c>
      <c r="S13" s="61" t="str">
        <f>VLOOKUP(Tabelle1823[[#This Row],[Mini-/Mikro-BHKWs]],Dropdown!$A$2:$D$4,4,FALSE)</f>
        <v>-</v>
      </c>
      <c r="T13" s="61" t="str">
        <f>VLOOKUP(Tabelle1823[[#This Row],[Lastflexibilisierung mittels 
Batteriespeichern]],Dropdown!$A$2:$D$4,4,FALSE)</f>
        <v>-</v>
      </c>
    </row>
    <row r="14" spans="1:20" x14ac:dyDescent="0.2">
      <c r="A14" s="6">
        <v>13</v>
      </c>
      <c r="B14" s="61" t="str">
        <f>VLOOKUP(Tabelle1823[[#This Row],[Kühlschränke]],Dropdown!$A$2:$D$4,4,FALSE)</f>
        <v>-</v>
      </c>
      <c r="C14" s="61" t="str">
        <f>VLOOKUP(Tabelle1823[[#This Row],[Geschirrspüler]],Dropdown!$A$2:$D$4,4,FALSE)</f>
        <v>-</v>
      </c>
      <c r="D14" s="61" t="str">
        <f>VLOOKUP(Tabelle1823[[#This Row],[Wäschetrockner]],Dropdown!$A$2:$D$4,4,FALSE)</f>
        <v>-</v>
      </c>
      <c r="E14" s="61" t="str">
        <f>VLOOKUP(Tabelle1823[[#This Row],[Waschmaschinen]],Dropdown!$A$2:$D$4,4,FALSE)</f>
        <v>-</v>
      </c>
      <c r="F14" s="61" t="str">
        <f>VLOOKUP(Tabelle1823[[#This Row],[Raumklimatisierung (Klimaanlagen)]],Dropdown!$A$2:$D$4,4,FALSE)</f>
        <v>-</v>
      </c>
      <c r="G14" s="61" t="str">
        <f>VLOOKUP(Tabelle1823[[#This Row],[Wärmepumpen]],Dropdown!$A$2:$D$4,4,FALSE)</f>
        <v>X</v>
      </c>
      <c r="H14" s="61" t="str">
        <f>VLOOKUP(Tabelle1823[[#This Row],[Hybrid-Wärmepumpen]],Dropdown!$A$2:$D$4,4,FALSE)</f>
        <v>-</v>
      </c>
      <c r="I14" s="61" t="str">
        <f>VLOOKUP(Tabelle1823[[#This Row],[Nachtspeicherheizungen]],Dropdown!$A$2:$D$4,4,FALSE)</f>
        <v>X</v>
      </c>
      <c r="J14" s="61" t="str">
        <f>VLOOKUP(Tabelle1823[[#This Row],[Kühl- und Gefrierkombinationen]],Dropdown!$A$2:$D$4,4,FALSE)</f>
        <v>-</v>
      </c>
      <c r="K14" s="61" t="str">
        <f>VLOOKUP(Tabelle1823[[#This Row],[elektrische Warmwassererzeugung]],Dropdown!$A$2:$D$4,4,FALSE)</f>
        <v>-</v>
      </c>
      <c r="L14" s="61" t="str">
        <f>VLOOKUP(Tabelle1823[[#This Row],[Gefrierschränke und -truhen]],Dropdown!$A$2:$D$4,4,FALSE)</f>
        <v>-</v>
      </c>
      <c r="M14" s="61" t="str">
        <f>VLOOKUP(Tabelle1823[[#This Row],[Elektrische Öfen]],Dropdown!$A$2:$D$4,4,FALSE)</f>
        <v>-</v>
      </c>
      <c r="N14" s="61" t="str">
        <f>VLOOKUP(Tabelle1823[[#This Row],[elektrische Direktheizungen]],Dropdown!$A$2:$D$4,4,FALSE)</f>
        <v>-</v>
      </c>
      <c r="O14" s="61" t="str">
        <f>VLOOKUP(Tabelle1823[[#This Row],[Heizungsumwälzpumpen]],Dropdown!$A$2:$D$4,4,FALSE)</f>
        <v>-</v>
      </c>
      <c r="P14" s="61" t="str">
        <f>VLOOKUP(Tabelle1823[[#This Row],[Elektromobilität]],Dropdown!$A$2:$D$4,4,FALSE)</f>
        <v>-</v>
      </c>
      <c r="Q14" s="61" t="str">
        <f>VLOOKUP(Tabelle1823[[#This Row],[Smart Meter / intelligente Geräte]],Dropdown!$A$2:$D$4,4,FALSE)</f>
        <v>-</v>
      </c>
      <c r="R14" s="61" t="str">
        <f>VLOOKUP(Tabelle1823[[#This Row],[Photovoltaik]],Dropdown!$A$2:$D$4,4,FALSE)</f>
        <v>-</v>
      </c>
      <c r="S14" s="61" t="str">
        <f>VLOOKUP(Tabelle1823[[#This Row],[Mini-/Mikro-BHKWs]],Dropdown!$A$2:$D$4,4,FALSE)</f>
        <v>-</v>
      </c>
      <c r="T14" s="61" t="str">
        <f>VLOOKUP(Tabelle1823[[#This Row],[Lastflexibilisierung mittels 
Batteriespeichern]],Dropdown!$A$2:$D$4,4,FALSE)</f>
        <v>-</v>
      </c>
    </row>
    <row r="15" spans="1:20" x14ac:dyDescent="0.2">
      <c r="A15" s="6">
        <v>14</v>
      </c>
      <c r="B15" s="61" t="str">
        <f>VLOOKUP(Tabelle1823[[#This Row],[Kühlschränke]],Dropdown!$A$2:$D$4,4,FALSE)</f>
        <v>-</v>
      </c>
      <c r="C15" s="61" t="str">
        <f>VLOOKUP(Tabelle1823[[#This Row],[Geschirrspüler]],Dropdown!$A$2:$D$4,4,FALSE)</f>
        <v>-</v>
      </c>
      <c r="D15" s="61" t="str">
        <f>VLOOKUP(Tabelle1823[[#This Row],[Wäschetrockner]],Dropdown!$A$2:$D$4,4,FALSE)</f>
        <v>-</v>
      </c>
      <c r="E15" s="61" t="str">
        <f>VLOOKUP(Tabelle1823[[#This Row],[Waschmaschinen]],Dropdown!$A$2:$D$4,4,FALSE)</f>
        <v>-</v>
      </c>
      <c r="F15" s="61" t="str">
        <f>VLOOKUP(Tabelle1823[[#This Row],[Raumklimatisierung (Klimaanlagen)]],Dropdown!$A$2:$D$4,4,FALSE)</f>
        <v>-</v>
      </c>
      <c r="G15" s="61" t="str">
        <f>VLOOKUP(Tabelle1823[[#This Row],[Wärmepumpen]],Dropdown!$A$2:$D$4,4,FALSE)</f>
        <v>X</v>
      </c>
      <c r="H15" s="61" t="str">
        <f>VLOOKUP(Tabelle1823[[#This Row],[Hybrid-Wärmepumpen]],Dropdown!$A$2:$D$4,4,FALSE)</f>
        <v>-</v>
      </c>
      <c r="I15" s="61" t="str">
        <f>VLOOKUP(Tabelle1823[[#This Row],[Nachtspeicherheizungen]],Dropdown!$A$2:$D$4,4,FALSE)</f>
        <v>X</v>
      </c>
      <c r="J15" s="61" t="str">
        <f>VLOOKUP(Tabelle1823[[#This Row],[Kühl- und Gefrierkombinationen]],Dropdown!$A$2:$D$4,4,FALSE)</f>
        <v>-</v>
      </c>
      <c r="K15" s="61" t="str">
        <f>VLOOKUP(Tabelle1823[[#This Row],[elektrische Warmwassererzeugung]],Dropdown!$A$2:$D$4,4,FALSE)</f>
        <v>X</v>
      </c>
      <c r="L15" s="61" t="str">
        <f>VLOOKUP(Tabelle1823[[#This Row],[Gefrierschränke und -truhen]],Dropdown!$A$2:$D$4,4,FALSE)</f>
        <v>-</v>
      </c>
      <c r="M15" s="61" t="str">
        <f>VLOOKUP(Tabelle1823[[#This Row],[Elektrische Öfen]],Dropdown!$A$2:$D$4,4,FALSE)</f>
        <v>-</v>
      </c>
      <c r="N15" s="61" t="str">
        <f>VLOOKUP(Tabelle1823[[#This Row],[elektrische Direktheizungen]],Dropdown!$A$2:$D$4,4,FALSE)</f>
        <v>-</v>
      </c>
      <c r="O15" s="61" t="str">
        <f>VLOOKUP(Tabelle1823[[#This Row],[Heizungsumwälzpumpen]],Dropdown!$A$2:$D$4,4,FALSE)</f>
        <v>-</v>
      </c>
      <c r="P15" s="61" t="str">
        <f>VLOOKUP(Tabelle1823[[#This Row],[Elektromobilität]],Dropdown!$A$2:$D$4,4,FALSE)</f>
        <v>X</v>
      </c>
      <c r="Q15" s="61" t="str">
        <f>VLOOKUP(Tabelle1823[[#This Row],[Smart Meter / intelligente Geräte]],Dropdown!$A$2:$D$4,4,FALSE)</f>
        <v>-</v>
      </c>
      <c r="R15" s="61" t="str">
        <f>VLOOKUP(Tabelle1823[[#This Row],[Photovoltaik]],Dropdown!$A$2:$D$4,4,FALSE)</f>
        <v>-</v>
      </c>
      <c r="S15" s="61" t="str">
        <f>VLOOKUP(Tabelle1823[[#This Row],[Mini-/Mikro-BHKWs]],Dropdown!$A$2:$D$4,4,FALSE)</f>
        <v>-</v>
      </c>
      <c r="T15" s="61" t="str">
        <f>VLOOKUP(Tabelle1823[[#This Row],[Lastflexibilisierung mittels 
Batteriespeichern]],Dropdown!$A$2:$D$4,4,FALSE)</f>
        <v>-</v>
      </c>
    </row>
    <row r="16" spans="1:20" x14ac:dyDescent="0.2">
      <c r="A16" s="6">
        <v>15</v>
      </c>
      <c r="B16" s="61" t="str">
        <f>VLOOKUP(Tabelle1823[[#This Row],[Kühlschränke]],Dropdown!$A$2:$D$4,4,FALSE)</f>
        <v>-</v>
      </c>
      <c r="C16" s="61" t="str">
        <f>VLOOKUP(Tabelle1823[[#This Row],[Geschirrspüler]],Dropdown!$A$2:$D$4,4,FALSE)</f>
        <v>-</v>
      </c>
      <c r="D16" s="61" t="str">
        <f>VLOOKUP(Tabelle1823[[#This Row],[Wäschetrockner]],Dropdown!$A$2:$D$4,4,FALSE)</f>
        <v>-</v>
      </c>
      <c r="E16" s="61" t="str">
        <f>VLOOKUP(Tabelle1823[[#This Row],[Waschmaschinen]],Dropdown!$A$2:$D$4,4,FALSE)</f>
        <v>-</v>
      </c>
      <c r="F16" s="61" t="str">
        <f>VLOOKUP(Tabelle1823[[#This Row],[Raumklimatisierung (Klimaanlagen)]],Dropdown!$A$2:$D$4,4,FALSE)</f>
        <v>-</v>
      </c>
      <c r="G16" s="61" t="str">
        <f>VLOOKUP(Tabelle1823[[#This Row],[Wärmepumpen]],Dropdown!$A$2:$D$4,4,FALSE)</f>
        <v>-</v>
      </c>
      <c r="H16" s="61" t="str">
        <f>VLOOKUP(Tabelle1823[[#This Row],[Hybrid-Wärmepumpen]],Dropdown!$A$2:$D$4,4,FALSE)</f>
        <v>-</v>
      </c>
      <c r="I16" s="61" t="str">
        <f>VLOOKUP(Tabelle1823[[#This Row],[Nachtspeicherheizungen]],Dropdown!$A$2:$D$4,4,FALSE)</f>
        <v>-</v>
      </c>
      <c r="J16" s="61" t="str">
        <f>VLOOKUP(Tabelle1823[[#This Row],[Kühl- und Gefrierkombinationen]],Dropdown!$A$2:$D$4,4,FALSE)</f>
        <v>-</v>
      </c>
      <c r="K16" s="61" t="str">
        <f>VLOOKUP(Tabelle1823[[#This Row],[elektrische Warmwassererzeugung]],Dropdown!$A$2:$D$4,4,FALSE)</f>
        <v>-</v>
      </c>
      <c r="L16" s="61" t="str">
        <f>VLOOKUP(Tabelle1823[[#This Row],[Gefrierschränke und -truhen]],Dropdown!$A$2:$D$4,4,FALSE)</f>
        <v>-</v>
      </c>
      <c r="M16" s="61" t="str">
        <f>VLOOKUP(Tabelle1823[[#This Row],[Elektrische Öfen]],Dropdown!$A$2:$D$4,4,FALSE)</f>
        <v>-</v>
      </c>
      <c r="N16" s="61" t="str">
        <f>VLOOKUP(Tabelle1823[[#This Row],[elektrische Direktheizungen]],Dropdown!$A$2:$D$4,4,FALSE)</f>
        <v>-</v>
      </c>
      <c r="O16" s="61" t="str">
        <f>VLOOKUP(Tabelle1823[[#This Row],[Heizungsumwälzpumpen]],Dropdown!$A$2:$D$4,4,FALSE)</f>
        <v>-</v>
      </c>
      <c r="P16" s="61" t="str">
        <f>VLOOKUP(Tabelle1823[[#This Row],[Elektromobilität]],Dropdown!$A$2:$D$4,4,FALSE)</f>
        <v>-</v>
      </c>
      <c r="Q16" s="61" t="str">
        <f>VLOOKUP(Tabelle1823[[#This Row],[Smart Meter / intelligente Geräte]],Dropdown!$A$2:$D$4,4,FALSE)</f>
        <v>-</v>
      </c>
      <c r="R16" s="61" t="str">
        <f>VLOOKUP(Tabelle1823[[#This Row],[Photovoltaik]],Dropdown!$A$2:$D$4,4,FALSE)</f>
        <v>-</v>
      </c>
      <c r="S16" s="61" t="str">
        <f>VLOOKUP(Tabelle1823[[#This Row],[Mini-/Mikro-BHKWs]],Dropdown!$A$2:$D$4,4,FALSE)</f>
        <v>-</v>
      </c>
      <c r="T16" s="61" t="str">
        <f>VLOOKUP(Tabelle1823[[#This Row],[Lastflexibilisierung mittels 
Batteriespeichern]],Dropdown!$A$2:$D$4,4,FALSE)</f>
        <v>-</v>
      </c>
    </row>
    <row r="17" spans="1:20" x14ac:dyDescent="0.2">
      <c r="A17" s="6">
        <v>16</v>
      </c>
      <c r="B17" s="61" t="str">
        <f>VLOOKUP(Tabelle1823[[#This Row],[Kühlschränke]],Dropdown!$A$2:$D$4,4,FALSE)</f>
        <v>-</v>
      </c>
      <c r="C17" s="61" t="str">
        <f>VLOOKUP(Tabelle1823[[#This Row],[Geschirrspüler]],Dropdown!$A$2:$D$4,4,FALSE)</f>
        <v>-</v>
      </c>
      <c r="D17" s="61" t="str">
        <f>VLOOKUP(Tabelle1823[[#This Row],[Wäschetrockner]],Dropdown!$A$2:$D$4,4,FALSE)</f>
        <v>-</v>
      </c>
      <c r="E17" s="61" t="str">
        <f>VLOOKUP(Tabelle1823[[#This Row],[Waschmaschinen]],Dropdown!$A$2:$D$4,4,FALSE)</f>
        <v>-</v>
      </c>
      <c r="F17" s="61" t="str">
        <f>VLOOKUP(Tabelle1823[[#This Row],[Raumklimatisierung (Klimaanlagen)]],Dropdown!$A$2:$D$4,4,FALSE)</f>
        <v>X</v>
      </c>
      <c r="G17" s="61" t="str">
        <f>VLOOKUP(Tabelle1823[[#This Row],[Wärmepumpen]],Dropdown!$A$2:$D$4,4,FALSE)</f>
        <v>X</v>
      </c>
      <c r="H17" s="61" t="str">
        <f>VLOOKUP(Tabelle1823[[#This Row],[Hybrid-Wärmepumpen]],Dropdown!$A$2:$D$4,4,FALSE)</f>
        <v>-</v>
      </c>
      <c r="I17" s="61" t="str">
        <f>VLOOKUP(Tabelle1823[[#This Row],[Nachtspeicherheizungen]],Dropdown!$A$2:$D$4,4,FALSE)</f>
        <v>X</v>
      </c>
      <c r="J17" s="61" t="str">
        <f>VLOOKUP(Tabelle1823[[#This Row],[Kühl- und Gefrierkombinationen]],Dropdown!$A$2:$D$4,4,FALSE)</f>
        <v>-</v>
      </c>
      <c r="K17" s="61" t="str">
        <f>VLOOKUP(Tabelle1823[[#This Row],[elektrische Warmwassererzeugung]],Dropdown!$A$2:$D$4,4,FALSE)</f>
        <v>-</v>
      </c>
      <c r="L17" s="61" t="str">
        <f>VLOOKUP(Tabelle1823[[#This Row],[Gefrierschränke und -truhen]],Dropdown!$A$2:$D$4,4,FALSE)</f>
        <v>-</v>
      </c>
      <c r="M17" s="61" t="str">
        <f>VLOOKUP(Tabelle1823[[#This Row],[Elektrische Öfen]],Dropdown!$A$2:$D$4,4,FALSE)</f>
        <v>-</v>
      </c>
      <c r="N17" s="61" t="str">
        <f>VLOOKUP(Tabelle1823[[#This Row],[elektrische Direktheizungen]],Dropdown!$A$2:$D$4,4,FALSE)</f>
        <v>-</v>
      </c>
      <c r="O17" s="61" t="str">
        <f>VLOOKUP(Tabelle1823[[#This Row],[Heizungsumwälzpumpen]],Dropdown!$A$2:$D$4,4,FALSE)</f>
        <v>X</v>
      </c>
      <c r="P17" s="61" t="str">
        <f>VLOOKUP(Tabelle1823[[#This Row],[Elektromobilität]],Dropdown!$A$2:$D$4,4,FALSE)</f>
        <v>X</v>
      </c>
      <c r="Q17" s="61" t="str">
        <f>VLOOKUP(Tabelle1823[[#This Row],[Smart Meter / intelligente Geräte]],Dropdown!$A$2:$D$4,4,FALSE)</f>
        <v>(X)</v>
      </c>
      <c r="R17" s="61" t="str">
        <f>VLOOKUP(Tabelle1823[[#This Row],[Photovoltaik]],Dropdown!$A$2:$D$4,4,FALSE)</f>
        <v>(X)</v>
      </c>
      <c r="S17" s="61" t="str">
        <f>VLOOKUP(Tabelle1823[[#This Row],[Mini-/Mikro-BHKWs]],Dropdown!$A$2:$D$4,4,FALSE)</f>
        <v>(X)</v>
      </c>
      <c r="T17" s="61" t="str">
        <f>VLOOKUP(Tabelle1823[[#This Row],[Lastflexibilisierung mittels 
Batteriespeichern]],Dropdown!$A$2:$D$4,4,FALSE)</f>
        <v>-</v>
      </c>
    </row>
    <row r="18" spans="1:20" x14ac:dyDescent="0.2">
      <c r="A18" s="6">
        <v>17</v>
      </c>
      <c r="B18" s="61" t="str">
        <f>VLOOKUP(Tabelle1823[[#This Row],[Kühlschränke]],Dropdown!$A$2:$D$4,4,FALSE)</f>
        <v>X</v>
      </c>
      <c r="C18" s="61" t="str">
        <f>VLOOKUP(Tabelle1823[[#This Row],[Geschirrspüler]],Dropdown!$A$2:$D$4,4,FALSE)</f>
        <v>X</v>
      </c>
      <c r="D18" s="61" t="str">
        <f>VLOOKUP(Tabelle1823[[#This Row],[Wäschetrockner]],Dropdown!$A$2:$D$4,4,FALSE)</f>
        <v>X</v>
      </c>
      <c r="E18" s="61" t="str">
        <f>VLOOKUP(Tabelle1823[[#This Row],[Waschmaschinen]],Dropdown!$A$2:$D$4,4,FALSE)</f>
        <v>X</v>
      </c>
      <c r="F18" s="61" t="str">
        <f>VLOOKUP(Tabelle1823[[#This Row],[Raumklimatisierung (Klimaanlagen)]],Dropdown!$A$2:$D$4,4,FALSE)</f>
        <v>-</v>
      </c>
      <c r="G18" s="61" t="str">
        <f>VLOOKUP(Tabelle1823[[#This Row],[Wärmepumpen]],Dropdown!$A$2:$D$4,4,FALSE)</f>
        <v>X</v>
      </c>
      <c r="H18" s="61" t="str">
        <f>VLOOKUP(Tabelle1823[[#This Row],[Hybrid-Wärmepumpen]],Dropdown!$A$2:$D$4,4,FALSE)</f>
        <v>-</v>
      </c>
      <c r="I18" s="61" t="str">
        <f>VLOOKUP(Tabelle1823[[#This Row],[Nachtspeicherheizungen]],Dropdown!$A$2:$D$4,4,FALSE)</f>
        <v>X</v>
      </c>
      <c r="J18" s="61" t="str">
        <f>VLOOKUP(Tabelle1823[[#This Row],[Kühl- und Gefrierkombinationen]],Dropdown!$A$2:$D$4,4,FALSE)</f>
        <v>-</v>
      </c>
      <c r="K18" s="61" t="str">
        <f>VLOOKUP(Tabelle1823[[#This Row],[elektrische Warmwassererzeugung]],Dropdown!$A$2:$D$4,4,FALSE)</f>
        <v>X</v>
      </c>
      <c r="L18" s="61" t="str">
        <f>VLOOKUP(Tabelle1823[[#This Row],[Gefrierschränke und -truhen]],Dropdown!$A$2:$D$4,4,FALSE)</f>
        <v>X</v>
      </c>
      <c r="M18" s="61" t="str">
        <f>VLOOKUP(Tabelle1823[[#This Row],[Elektrische Öfen]],Dropdown!$A$2:$D$4,4,FALSE)</f>
        <v>-</v>
      </c>
      <c r="N18" s="61" t="str">
        <f>VLOOKUP(Tabelle1823[[#This Row],[elektrische Direktheizungen]],Dropdown!$A$2:$D$4,4,FALSE)</f>
        <v>-</v>
      </c>
      <c r="O18" s="61" t="str">
        <f>VLOOKUP(Tabelle1823[[#This Row],[Heizungsumwälzpumpen]],Dropdown!$A$2:$D$4,4,FALSE)</f>
        <v>X</v>
      </c>
      <c r="P18" s="61" t="str">
        <f>VLOOKUP(Tabelle1823[[#This Row],[Elektromobilität]],Dropdown!$A$2:$D$4,4,FALSE)</f>
        <v>-</v>
      </c>
      <c r="Q18" s="61" t="str">
        <f>VLOOKUP(Tabelle1823[[#This Row],[Smart Meter / intelligente Geräte]],Dropdown!$A$2:$D$4,4,FALSE)</f>
        <v>-</v>
      </c>
      <c r="R18" s="61" t="str">
        <f>VLOOKUP(Tabelle1823[[#This Row],[Photovoltaik]],Dropdown!$A$2:$D$4,4,FALSE)</f>
        <v>-</v>
      </c>
      <c r="S18" s="61" t="str">
        <f>VLOOKUP(Tabelle1823[[#This Row],[Mini-/Mikro-BHKWs]],Dropdown!$A$2:$D$4,4,FALSE)</f>
        <v>-</v>
      </c>
      <c r="T18" s="61" t="str">
        <f>VLOOKUP(Tabelle1823[[#This Row],[Lastflexibilisierung mittels 
Batteriespeichern]],Dropdown!$A$2:$D$4,4,FALSE)</f>
        <v>-</v>
      </c>
    </row>
    <row r="19" spans="1:20" x14ac:dyDescent="0.2">
      <c r="A19" s="6">
        <v>18</v>
      </c>
      <c r="B19" s="61" t="str">
        <f>VLOOKUP(Tabelle1823[[#This Row],[Kühlschränke]],Dropdown!$A$2:$D$4,4,FALSE)</f>
        <v>-</v>
      </c>
      <c r="C19" s="61" t="str">
        <f>VLOOKUP(Tabelle1823[[#This Row],[Geschirrspüler]],Dropdown!$A$2:$D$4,4,FALSE)</f>
        <v>-</v>
      </c>
      <c r="D19" s="61" t="str">
        <f>VLOOKUP(Tabelle1823[[#This Row],[Wäschetrockner]],Dropdown!$A$2:$D$4,4,FALSE)</f>
        <v>-</v>
      </c>
      <c r="E19" s="61" t="str">
        <f>VLOOKUP(Tabelle1823[[#This Row],[Waschmaschinen]],Dropdown!$A$2:$D$4,4,FALSE)</f>
        <v>-</v>
      </c>
      <c r="F19" s="61" t="str">
        <f>VLOOKUP(Tabelle1823[[#This Row],[Raumklimatisierung (Klimaanlagen)]],Dropdown!$A$2:$D$4,4,FALSE)</f>
        <v>-</v>
      </c>
      <c r="G19" s="61" t="str">
        <f>VLOOKUP(Tabelle1823[[#This Row],[Wärmepumpen]],Dropdown!$A$2:$D$4,4,FALSE)</f>
        <v>-</v>
      </c>
      <c r="H19" s="61" t="str">
        <f>VLOOKUP(Tabelle1823[[#This Row],[Hybrid-Wärmepumpen]],Dropdown!$A$2:$D$4,4,FALSE)</f>
        <v>-</v>
      </c>
      <c r="I19" s="61" t="str">
        <f>VLOOKUP(Tabelle1823[[#This Row],[Nachtspeicherheizungen]],Dropdown!$A$2:$D$4,4,FALSE)</f>
        <v>-</v>
      </c>
      <c r="J19" s="61" t="str">
        <f>VLOOKUP(Tabelle1823[[#This Row],[Kühl- und Gefrierkombinationen]],Dropdown!$A$2:$D$4,4,FALSE)</f>
        <v>-</v>
      </c>
      <c r="K19" s="61" t="str">
        <f>VLOOKUP(Tabelle1823[[#This Row],[elektrische Warmwassererzeugung]],Dropdown!$A$2:$D$4,4,FALSE)</f>
        <v>-</v>
      </c>
      <c r="L19" s="61" t="str">
        <f>VLOOKUP(Tabelle1823[[#This Row],[Gefrierschränke und -truhen]],Dropdown!$A$2:$D$4,4,FALSE)</f>
        <v>-</v>
      </c>
      <c r="M19" s="61" t="str">
        <f>VLOOKUP(Tabelle1823[[#This Row],[Elektrische Öfen]],Dropdown!$A$2:$D$4,4,FALSE)</f>
        <v>-</v>
      </c>
      <c r="N19" s="61" t="str">
        <f>VLOOKUP(Tabelle1823[[#This Row],[elektrische Direktheizungen]],Dropdown!$A$2:$D$4,4,FALSE)</f>
        <v>-</v>
      </c>
      <c r="O19" s="61" t="str">
        <f>VLOOKUP(Tabelle1823[[#This Row],[Heizungsumwälzpumpen]],Dropdown!$A$2:$D$4,4,FALSE)</f>
        <v>-</v>
      </c>
      <c r="P19" s="61" t="str">
        <f>VLOOKUP(Tabelle1823[[#This Row],[Elektromobilität]],Dropdown!$A$2:$D$4,4,FALSE)</f>
        <v>-</v>
      </c>
      <c r="Q19" s="61" t="str">
        <f>VLOOKUP(Tabelle1823[[#This Row],[Smart Meter / intelligente Geräte]],Dropdown!$A$2:$D$4,4,FALSE)</f>
        <v>-</v>
      </c>
      <c r="R19" s="61" t="str">
        <f>VLOOKUP(Tabelle1823[[#This Row],[Photovoltaik]],Dropdown!$A$2:$D$4,4,FALSE)</f>
        <v>-</v>
      </c>
      <c r="S19" s="61" t="str">
        <f>VLOOKUP(Tabelle1823[[#This Row],[Mini-/Mikro-BHKWs]],Dropdown!$A$2:$D$4,4,FALSE)</f>
        <v>-</v>
      </c>
      <c r="T19" s="61" t="str">
        <f>VLOOKUP(Tabelle1823[[#This Row],[Lastflexibilisierung mittels 
Batteriespeichern]],Dropdown!$A$2:$D$4,4,FALSE)</f>
        <v>-</v>
      </c>
    </row>
    <row r="20" spans="1:20" x14ac:dyDescent="0.2">
      <c r="A20" s="6">
        <v>19</v>
      </c>
      <c r="B20" s="61" t="str">
        <f>VLOOKUP(Tabelle1823[[#This Row],[Kühlschränke]],Dropdown!$A$2:$D$4,4,FALSE)</f>
        <v>X</v>
      </c>
      <c r="C20" s="61" t="str">
        <f>VLOOKUP(Tabelle1823[[#This Row],[Geschirrspüler]],Dropdown!$A$2:$D$4,4,FALSE)</f>
        <v>X</v>
      </c>
      <c r="D20" s="61" t="str">
        <f>VLOOKUP(Tabelle1823[[#This Row],[Wäschetrockner]],Dropdown!$A$2:$D$4,4,FALSE)</f>
        <v>X</v>
      </c>
      <c r="E20" s="61" t="str">
        <f>VLOOKUP(Tabelle1823[[#This Row],[Waschmaschinen]],Dropdown!$A$2:$D$4,4,FALSE)</f>
        <v>X</v>
      </c>
      <c r="F20" s="61" t="str">
        <f>VLOOKUP(Tabelle1823[[#This Row],[Raumklimatisierung (Klimaanlagen)]],Dropdown!$A$2:$D$4,4,FALSE)</f>
        <v>-</v>
      </c>
      <c r="G20" s="61" t="str">
        <f>VLOOKUP(Tabelle1823[[#This Row],[Wärmepumpen]],Dropdown!$A$2:$D$4,4,FALSE)</f>
        <v>X</v>
      </c>
      <c r="H20" s="61" t="str">
        <f>VLOOKUP(Tabelle1823[[#This Row],[Hybrid-Wärmepumpen]],Dropdown!$A$2:$D$4,4,FALSE)</f>
        <v>X</v>
      </c>
      <c r="I20" s="61" t="str">
        <f>VLOOKUP(Tabelle1823[[#This Row],[Nachtspeicherheizungen]],Dropdown!$A$2:$D$4,4,FALSE)</f>
        <v>X</v>
      </c>
      <c r="J20" s="61" t="str">
        <f>VLOOKUP(Tabelle1823[[#This Row],[Kühl- und Gefrierkombinationen]],Dropdown!$A$2:$D$4,4,FALSE)</f>
        <v>X</v>
      </c>
      <c r="K20" s="61" t="str">
        <f>VLOOKUP(Tabelle1823[[#This Row],[elektrische Warmwassererzeugung]],Dropdown!$A$2:$D$4,4,FALSE)</f>
        <v>X</v>
      </c>
      <c r="L20" s="61" t="str">
        <f>VLOOKUP(Tabelle1823[[#This Row],[Gefrierschränke und -truhen]],Dropdown!$A$2:$D$4,4,FALSE)</f>
        <v>X</v>
      </c>
      <c r="M20" s="61" t="str">
        <f>VLOOKUP(Tabelle1823[[#This Row],[Elektrische Öfen]],Dropdown!$A$2:$D$4,4,FALSE)</f>
        <v>-</v>
      </c>
      <c r="N20" s="61" t="str">
        <f>VLOOKUP(Tabelle1823[[#This Row],[elektrische Direktheizungen]],Dropdown!$A$2:$D$4,4,FALSE)</f>
        <v>-</v>
      </c>
      <c r="O20" s="61" t="str">
        <f>VLOOKUP(Tabelle1823[[#This Row],[Heizungsumwälzpumpen]],Dropdown!$A$2:$D$4,4,FALSE)</f>
        <v>-</v>
      </c>
      <c r="P20" s="61" t="str">
        <f>VLOOKUP(Tabelle1823[[#This Row],[Elektromobilität]],Dropdown!$A$2:$D$4,4,FALSE)</f>
        <v>-</v>
      </c>
      <c r="Q20" s="61" t="str">
        <f>VLOOKUP(Tabelle1823[[#This Row],[Smart Meter / intelligente Geräte]],Dropdown!$A$2:$D$4,4,FALSE)</f>
        <v>-</v>
      </c>
      <c r="R20" s="61" t="str">
        <f>VLOOKUP(Tabelle1823[[#This Row],[Photovoltaik]],Dropdown!$A$2:$D$4,4,FALSE)</f>
        <v>-</v>
      </c>
      <c r="S20" s="61" t="str">
        <f>VLOOKUP(Tabelle1823[[#This Row],[Mini-/Mikro-BHKWs]],Dropdown!$A$2:$D$4,4,FALSE)</f>
        <v>-</v>
      </c>
      <c r="T20" s="61" t="str">
        <f>VLOOKUP(Tabelle1823[[#This Row],[Lastflexibilisierung mittels 
Batteriespeichern]],Dropdown!$A$2:$D$4,4,FALSE)</f>
        <v>X</v>
      </c>
    </row>
    <row r="21" spans="1:20" x14ac:dyDescent="0.2">
      <c r="A21" s="6">
        <v>20</v>
      </c>
      <c r="B21" s="61" t="str">
        <f>VLOOKUP(Tabelle1823[[#This Row],[Kühlschränke]],Dropdown!$A$2:$D$4,4,FALSE)</f>
        <v>-</v>
      </c>
      <c r="C21" s="61" t="str">
        <f>VLOOKUP(Tabelle1823[[#This Row],[Geschirrspüler]],Dropdown!$A$2:$D$4,4,FALSE)</f>
        <v>-</v>
      </c>
      <c r="D21" s="61" t="str">
        <f>VLOOKUP(Tabelle1823[[#This Row],[Wäschetrockner]],Dropdown!$A$2:$D$4,4,FALSE)</f>
        <v>-</v>
      </c>
      <c r="E21" s="61" t="str">
        <f>VLOOKUP(Tabelle1823[[#This Row],[Waschmaschinen]],Dropdown!$A$2:$D$4,4,FALSE)</f>
        <v>-</v>
      </c>
      <c r="F21" s="61" t="str">
        <f>VLOOKUP(Tabelle1823[[#This Row],[Raumklimatisierung (Klimaanlagen)]],Dropdown!$A$2:$D$4,4,FALSE)</f>
        <v>-</v>
      </c>
      <c r="G21" s="61" t="str">
        <f>VLOOKUP(Tabelle1823[[#This Row],[Wärmepumpen]],Dropdown!$A$2:$D$4,4,FALSE)</f>
        <v>-</v>
      </c>
      <c r="H21" s="61" t="str">
        <f>VLOOKUP(Tabelle1823[[#This Row],[Hybrid-Wärmepumpen]],Dropdown!$A$2:$D$4,4,FALSE)</f>
        <v>-</v>
      </c>
      <c r="I21" s="61" t="str">
        <f>VLOOKUP(Tabelle1823[[#This Row],[Nachtspeicherheizungen]],Dropdown!$A$2:$D$4,4,FALSE)</f>
        <v>-</v>
      </c>
      <c r="J21" s="61" t="str">
        <f>VLOOKUP(Tabelle1823[[#This Row],[Kühl- und Gefrierkombinationen]],Dropdown!$A$2:$D$4,4,FALSE)</f>
        <v>-</v>
      </c>
      <c r="K21" s="61" t="str">
        <f>VLOOKUP(Tabelle1823[[#This Row],[elektrische Warmwassererzeugung]],Dropdown!$A$2:$D$4,4,FALSE)</f>
        <v>-</v>
      </c>
      <c r="L21" s="61" t="str">
        <f>VLOOKUP(Tabelle1823[[#This Row],[Gefrierschränke und -truhen]],Dropdown!$A$2:$D$4,4,FALSE)</f>
        <v>-</v>
      </c>
      <c r="M21" s="61" t="str">
        <f>VLOOKUP(Tabelle1823[[#This Row],[Elektrische Öfen]],Dropdown!$A$2:$D$4,4,FALSE)</f>
        <v>-</v>
      </c>
      <c r="N21" s="61" t="str">
        <f>VLOOKUP(Tabelle1823[[#This Row],[elektrische Direktheizungen]],Dropdown!$A$2:$D$4,4,FALSE)</f>
        <v>-</v>
      </c>
      <c r="O21" s="61" t="str">
        <f>VLOOKUP(Tabelle1823[[#This Row],[Heizungsumwälzpumpen]],Dropdown!$A$2:$D$4,4,FALSE)</f>
        <v>-</v>
      </c>
      <c r="P21" s="61" t="str">
        <f>VLOOKUP(Tabelle1823[[#This Row],[Elektromobilität]],Dropdown!$A$2:$D$4,4,FALSE)</f>
        <v>-</v>
      </c>
      <c r="Q21" s="61" t="str">
        <f>VLOOKUP(Tabelle1823[[#This Row],[Smart Meter / intelligente Geräte]],Dropdown!$A$2:$D$4,4,FALSE)</f>
        <v>-</v>
      </c>
      <c r="R21" s="61" t="str">
        <f>VLOOKUP(Tabelle1823[[#This Row],[Photovoltaik]],Dropdown!$A$2:$D$4,4,FALSE)</f>
        <v>-</v>
      </c>
      <c r="S21" s="61" t="str">
        <f>VLOOKUP(Tabelle1823[[#This Row],[Mini-/Mikro-BHKWs]],Dropdown!$A$2:$D$4,4,FALSE)</f>
        <v>-</v>
      </c>
      <c r="T21" s="61" t="str">
        <f>VLOOKUP(Tabelle1823[[#This Row],[Lastflexibilisierung mittels 
Batteriespeichern]],Dropdown!$A$2:$D$4,4,FALSE)</f>
        <v>-</v>
      </c>
    </row>
    <row r="22" spans="1:20" x14ac:dyDescent="0.2">
      <c r="A22" s="6">
        <v>21</v>
      </c>
      <c r="B22" s="61" t="str">
        <f>VLOOKUP(Tabelle1823[[#This Row],[Kühlschränke]],Dropdown!$A$2:$D$4,4,FALSE)</f>
        <v>-</v>
      </c>
      <c r="C22" s="61" t="str">
        <f>VLOOKUP(Tabelle1823[[#This Row],[Geschirrspüler]],Dropdown!$A$2:$D$4,4,FALSE)</f>
        <v>-</v>
      </c>
      <c r="D22" s="61" t="str">
        <f>VLOOKUP(Tabelle1823[[#This Row],[Wäschetrockner]],Dropdown!$A$2:$D$4,4,FALSE)</f>
        <v>-</v>
      </c>
      <c r="E22" s="61" t="str">
        <f>VLOOKUP(Tabelle1823[[#This Row],[Waschmaschinen]],Dropdown!$A$2:$D$4,4,FALSE)</f>
        <v>-</v>
      </c>
      <c r="F22" s="61" t="str">
        <f>VLOOKUP(Tabelle1823[[#This Row],[Raumklimatisierung (Klimaanlagen)]],Dropdown!$A$2:$D$4,4,FALSE)</f>
        <v>-</v>
      </c>
      <c r="G22" s="61" t="str">
        <f>VLOOKUP(Tabelle1823[[#This Row],[Wärmepumpen]],Dropdown!$A$2:$D$4,4,FALSE)</f>
        <v>-</v>
      </c>
      <c r="H22" s="61" t="str">
        <f>VLOOKUP(Tabelle1823[[#This Row],[Hybrid-Wärmepumpen]],Dropdown!$A$2:$D$4,4,FALSE)</f>
        <v>-</v>
      </c>
      <c r="I22" s="61" t="str">
        <f>VLOOKUP(Tabelle1823[[#This Row],[Nachtspeicherheizungen]],Dropdown!$A$2:$D$4,4,FALSE)</f>
        <v>-</v>
      </c>
      <c r="J22" s="61" t="str">
        <f>VLOOKUP(Tabelle1823[[#This Row],[Kühl- und Gefrierkombinationen]],Dropdown!$A$2:$D$4,4,FALSE)</f>
        <v>-</v>
      </c>
      <c r="K22" s="61" t="str">
        <f>VLOOKUP(Tabelle1823[[#This Row],[elektrische Warmwassererzeugung]],Dropdown!$A$2:$D$4,4,FALSE)</f>
        <v>-</v>
      </c>
      <c r="L22" s="61" t="str">
        <f>VLOOKUP(Tabelle1823[[#This Row],[Gefrierschränke und -truhen]],Dropdown!$A$2:$D$4,4,FALSE)</f>
        <v>-</v>
      </c>
      <c r="M22" s="61" t="str">
        <f>VLOOKUP(Tabelle1823[[#This Row],[Elektrische Öfen]],Dropdown!$A$2:$D$4,4,FALSE)</f>
        <v>-</v>
      </c>
      <c r="N22" s="61" t="str">
        <f>VLOOKUP(Tabelle1823[[#This Row],[elektrische Direktheizungen]],Dropdown!$A$2:$D$4,4,FALSE)</f>
        <v>-</v>
      </c>
      <c r="O22" s="61" t="str">
        <f>VLOOKUP(Tabelle1823[[#This Row],[Heizungsumwälzpumpen]],Dropdown!$A$2:$D$4,4,FALSE)</f>
        <v>-</v>
      </c>
      <c r="P22" s="61" t="str">
        <f>VLOOKUP(Tabelle1823[[#This Row],[Elektromobilität]],Dropdown!$A$2:$D$4,4,FALSE)</f>
        <v>-</v>
      </c>
      <c r="Q22" s="61" t="str">
        <f>VLOOKUP(Tabelle1823[[#This Row],[Smart Meter / intelligente Geräte]],Dropdown!$A$2:$D$4,4,FALSE)</f>
        <v>-</v>
      </c>
      <c r="R22" s="61" t="str">
        <f>VLOOKUP(Tabelle1823[[#This Row],[Photovoltaik]],Dropdown!$A$2:$D$4,4,FALSE)</f>
        <v>-</v>
      </c>
      <c r="S22" s="61" t="str">
        <f>VLOOKUP(Tabelle1823[[#This Row],[Mini-/Mikro-BHKWs]],Dropdown!$A$2:$D$4,4,FALSE)</f>
        <v>-</v>
      </c>
      <c r="T22" s="61" t="str">
        <f>VLOOKUP(Tabelle1823[[#This Row],[Lastflexibilisierung mittels 
Batteriespeichern]],Dropdown!$A$2:$D$4,4,FALSE)</f>
        <v>-</v>
      </c>
    </row>
    <row r="23" spans="1:20" x14ac:dyDescent="0.2">
      <c r="A23" s="6">
        <v>22</v>
      </c>
      <c r="B23" s="61" t="str">
        <f>VLOOKUP(Tabelle1823[[#This Row],[Kühlschränke]],Dropdown!$A$2:$D$4,4,FALSE)</f>
        <v>X</v>
      </c>
      <c r="C23" s="61" t="str">
        <f>VLOOKUP(Tabelle1823[[#This Row],[Geschirrspüler]],Dropdown!$A$2:$D$4,4,FALSE)</f>
        <v>X</v>
      </c>
      <c r="D23" s="61" t="str">
        <f>VLOOKUP(Tabelle1823[[#This Row],[Wäschetrockner]],Dropdown!$A$2:$D$4,4,FALSE)</f>
        <v>X</v>
      </c>
      <c r="E23" s="61" t="str">
        <f>VLOOKUP(Tabelle1823[[#This Row],[Waschmaschinen]],Dropdown!$A$2:$D$4,4,FALSE)</f>
        <v>X</v>
      </c>
      <c r="F23" s="61" t="str">
        <f>VLOOKUP(Tabelle1823[[#This Row],[Raumklimatisierung (Klimaanlagen)]],Dropdown!$A$2:$D$4,4,FALSE)</f>
        <v>X</v>
      </c>
      <c r="G23" s="61" t="str">
        <f>VLOOKUP(Tabelle1823[[#This Row],[Wärmepumpen]],Dropdown!$A$2:$D$4,4,FALSE)</f>
        <v>X</v>
      </c>
      <c r="H23" s="61" t="str">
        <f>VLOOKUP(Tabelle1823[[#This Row],[Hybrid-Wärmepumpen]],Dropdown!$A$2:$D$4,4,FALSE)</f>
        <v>-</v>
      </c>
      <c r="I23" s="61" t="str">
        <f>VLOOKUP(Tabelle1823[[#This Row],[Nachtspeicherheizungen]],Dropdown!$A$2:$D$4,4,FALSE)</f>
        <v>X</v>
      </c>
      <c r="J23" s="61" t="str">
        <f>VLOOKUP(Tabelle1823[[#This Row],[Kühl- und Gefrierkombinationen]],Dropdown!$A$2:$D$4,4,FALSE)</f>
        <v>X</v>
      </c>
      <c r="K23" s="61" t="str">
        <f>VLOOKUP(Tabelle1823[[#This Row],[elektrische Warmwassererzeugung]],Dropdown!$A$2:$D$4,4,FALSE)</f>
        <v>X</v>
      </c>
      <c r="L23" s="61" t="str">
        <f>VLOOKUP(Tabelle1823[[#This Row],[Gefrierschränke und -truhen]],Dropdown!$A$2:$D$4,4,FALSE)</f>
        <v>X</v>
      </c>
      <c r="M23" s="61" t="str">
        <f>VLOOKUP(Tabelle1823[[#This Row],[Elektrische Öfen]],Dropdown!$A$2:$D$4,4,FALSE)</f>
        <v>-</v>
      </c>
      <c r="N23" s="61" t="str">
        <f>VLOOKUP(Tabelle1823[[#This Row],[elektrische Direktheizungen]],Dropdown!$A$2:$D$4,4,FALSE)</f>
        <v>-</v>
      </c>
      <c r="O23" s="61" t="str">
        <f>VLOOKUP(Tabelle1823[[#This Row],[Heizungsumwälzpumpen]],Dropdown!$A$2:$D$4,4,FALSE)</f>
        <v>X</v>
      </c>
      <c r="P23" s="61" t="str">
        <f>VLOOKUP(Tabelle1823[[#This Row],[Elektromobilität]],Dropdown!$A$2:$D$4,4,FALSE)</f>
        <v>-</v>
      </c>
      <c r="Q23" s="61" t="str">
        <f>VLOOKUP(Tabelle1823[[#This Row],[Smart Meter / intelligente Geräte]],Dropdown!$A$2:$D$4,4,FALSE)</f>
        <v>-</v>
      </c>
      <c r="R23" s="61" t="str">
        <f>VLOOKUP(Tabelle1823[[#This Row],[Photovoltaik]],Dropdown!$A$2:$D$4,4,FALSE)</f>
        <v>-</v>
      </c>
      <c r="S23" s="61" t="str">
        <f>VLOOKUP(Tabelle1823[[#This Row],[Mini-/Mikro-BHKWs]],Dropdown!$A$2:$D$4,4,FALSE)</f>
        <v>-</v>
      </c>
      <c r="T23" s="61" t="str">
        <f>VLOOKUP(Tabelle1823[[#This Row],[Lastflexibilisierung mittels 
Batteriespeichern]],Dropdown!$A$2:$D$4,4,FALSE)</f>
        <v>-</v>
      </c>
    </row>
    <row r="24" spans="1:20" x14ac:dyDescent="0.2">
      <c r="A24" s="6">
        <v>23</v>
      </c>
      <c r="B24" s="61" t="str">
        <f>VLOOKUP(Tabelle1823[[#This Row],[Kühlschränke]],Dropdown!$A$2:$D$4,4,FALSE)</f>
        <v>X</v>
      </c>
      <c r="C24" s="61" t="str">
        <f>VLOOKUP(Tabelle1823[[#This Row],[Geschirrspüler]],Dropdown!$A$2:$D$4,4,FALSE)</f>
        <v>-</v>
      </c>
      <c r="D24" s="61" t="str">
        <f>VLOOKUP(Tabelle1823[[#This Row],[Wäschetrockner]],Dropdown!$A$2:$D$4,4,FALSE)</f>
        <v>-</v>
      </c>
      <c r="E24" s="61" t="str">
        <f>VLOOKUP(Tabelle1823[[#This Row],[Waschmaschinen]],Dropdown!$A$2:$D$4,4,FALSE)</f>
        <v>-</v>
      </c>
      <c r="F24" s="61" t="str">
        <f>VLOOKUP(Tabelle1823[[#This Row],[Raumklimatisierung (Klimaanlagen)]],Dropdown!$A$2:$D$4,4,FALSE)</f>
        <v>-</v>
      </c>
      <c r="G24" s="61" t="str">
        <f>VLOOKUP(Tabelle1823[[#This Row],[Wärmepumpen]],Dropdown!$A$2:$D$4,4,FALSE)</f>
        <v>X</v>
      </c>
      <c r="H24" s="61" t="str">
        <f>VLOOKUP(Tabelle1823[[#This Row],[Hybrid-Wärmepumpen]],Dropdown!$A$2:$D$4,4,FALSE)</f>
        <v>-</v>
      </c>
      <c r="I24" s="61" t="str">
        <f>VLOOKUP(Tabelle1823[[#This Row],[Nachtspeicherheizungen]],Dropdown!$A$2:$D$4,4,FALSE)</f>
        <v>X</v>
      </c>
      <c r="J24" s="61" t="str">
        <f>VLOOKUP(Tabelle1823[[#This Row],[Kühl- und Gefrierkombinationen]],Dropdown!$A$2:$D$4,4,FALSE)</f>
        <v>X</v>
      </c>
      <c r="K24" s="61" t="str">
        <f>VLOOKUP(Tabelle1823[[#This Row],[elektrische Warmwassererzeugung]],Dropdown!$A$2:$D$4,4,FALSE)</f>
        <v>X</v>
      </c>
      <c r="L24" s="61" t="str">
        <f>VLOOKUP(Tabelle1823[[#This Row],[Gefrierschränke und -truhen]],Dropdown!$A$2:$D$4,4,FALSE)</f>
        <v>X</v>
      </c>
      <c r="M24" s="61" t="str">
        <f>VLOOKUP(Tabelle1823[[#This Row],[Elektrische Öfen]],Dropdown!$A$2:$D$4,4,FALSE)</f>
        <v>-</v>
      </c>
      <c r="N24" s="61" t="str">
        <f>VLOOKUP(Tabelle1823[[#This Row],[elektrische Direktheizungen]],Dropdown!$A$2:$D$4,4,FALSE)</f>
        <v>-</v>
      </c>
      <c r="O24" s="61" t="str">
        <f>VLOOKUP(Tabelle1823[[#This Row],[Heizungsumwälzpumpen]],Dropdown!$A$2:$D$4,4,FALSE)</f>
        <v>-</v>
      </c>
      <c r="P24" s="61" t="str">
        <f>VLOOKUP(Tabelle1823[[#This Row],[Elektromobilität]],Dropdown!$A$2:$D$4,4,FALSE)</f>
        <v>-</v>
      </c>
      <c r="Q24" s="61" t="str">
        <f>VLOOKUP(Tabelle1823[[#This Row],[Smart Meter / intelligente Geräte]],Dropdown!$A$2:$D$4,4,FALSE)</f>
        <v>-</v>
      </c>
      <c r="R24" s="61" t="str">
        <f>VLOOKUP(Tabelle1823[[#This Row],[Photovoltaik]],Dropdown!$A$2:$D$4,4,FALSE)</f>
        <v>-</v>
      </c>
      <c r="S24" s="61" t="str">
        <f>VLOOKUP(Tabelle1823[[#This Row],[Mini-/Mikro-BHKWs]],Dropdown!$A$2:$D$4,4,FALSE)</f>
        <v>-</v>
      </c>
      <c r="T24" s="61" t="str">
        <f>VLOOKUP(Tabelle1823[[#This Row],[Lastflexibilisierung mittels 
Batteriespeichern]],Dropdown!$A$2:$D$4,4,FALSE)</f>
        <v>-</v>
      </c>
    </row>
    <row r="25" spans="1:20" x14ac:dyDescent="0.2">
      <c r="A25" s="6">
        <v>24</v>
      </c>
      <c r="B25" s="61" t="str">
        <f>VLOOKUP(Tabelle1823[[#This Row],[Kühlschränke]],Dropdown!$A$2:$D$4,4,FALSE)</f>
        <v>X</v>
      </c>
      <c r="C25" s="61" t="str">
        <f>VLOOKUP(Tabelle1823[[#This Row],[Geschirrspüler]],Dropdown!$A$2:$D$4,4,FALSE)</f>
        <v>X</v>
      </c>
      <c r="D25" s="61" t="str">
        <f>VLOOKUP(Tabelle1823[[#This Row],[Wäschetrockner]],Dropdown!$A$2:$D$4,4,FALSE)</f>
        <v>X</v>
      </c>
      <c r="E25" s="61" t="str">
        <f>VLOOKUP(Tabelle1823[[#This Row],[Waschmaschinen]],Dropdown!$A$2:$D$4,4,FALSE)</f>
        <v>X</v>
      </c>
      <c r="F25" s="61" t="str">
        <f>VLOOKUP(Tabelle1823[[#This Row],[Raumklimatisierung (Klimaanlagen)]],Dropdown!$A$2:$D$4,4,FALSE)</f>
        <v>X</v>
      </c>
      <c r="G25" s="61" t="str">
        <f>VLOOKUP(Tabelle1823[[#This Row],[Wärmepumpen]],Dropdown!$A$2:$D$4,4,FALSE)</f>
        <v>X</v>
      </c>
      <c r="H25" s="61" t="str">
        <f>VLOOKUP(Tabelle1823[[#This Row],[Hybrid-Wärmepumpen]],Dropdown!$A$2:$D$4,4,FALSE)</f>
        <v>-</v>
      </c>
      <c r="I25" s="61" t="str">
        <f>VLOOKUP(Tabelle1823[[#This Row],[Nachtspeicherheizungen]],Dropdown!$A$2:$D$4,4,FALSE)</f>
        <v>X</v>
      </c>
      <c r="J25" s="61" t="str">
        <f>VLOOKUP(Tabelle1823[[#This Row],[Kühl- und Gefrierkombinationen]],Dropdown!$A$2:$D$4,4,FALSE)</f>
        <v>X</v>
      </c>
      <c r="K25" s="61" t="str">
        <f>VLOOKUP(Tabelle1823[[#This Row],[elektrische Warmwassererzeugung]],Dropdown!$A$2:$D$4,4,FALSE)</f>
        <v>X</v>
      </c>
      <c r="L25" s="61" t="str">
        <f>VLOOKUP(Tabelle1823[[#This Row],[Gefrierschränke und -truhen]],Dropdown!$A$2:$D$4,4,FALSE)</f>
        <v>X</v>
      </c>
      <c r="M25" s="61" t="str">
        <f>VLOOKUP(Tabelle1823[[#This Row],[Elektrische Öfen]],Dropdown!$A$2:$D$4,4,FALSE)</f>
        <v>-</v>
      </c>
      <c r="N25" s="61" t="str">
        <f>VLOOKUP(Tabelle1823[[#This Row],[elektrische Direktheizungen]],Dropdown!$A$2:$D$4,4,FALSE)</f>
        <v>-</v>
      </c>
      <c r="O25" s="61" t="str">
        <f>VLOOKUP(Tabelle1823[[#This Row],[Heizungsumwälzpumpen]],Dropdown!$A$2:$D$4,4,FALSE)</f>
        <v>X</v>
      </c>
      <c r="P25" s="61" t="str">
        <f>VLOOKUP(Tabelle1823[[#This Row],[Elektromobilität]],Dropdown!$A$2:$D$4,4,FALSE)</f>
        <v>-</v>
      </c>
      <c r="Q25" s="61" t="str">
        <f>VLOOKUP(Tabelle1823[[#This Row],[Smart Meter / intelligente Geräte]],Dropdown!$A$2:$D$4,4,FALSE)</f>
        <v>-</v>
      </c>
      <c r="R25" s="61" t="str">
        <f>VLOOKUP(Tabelle1823[[#This Row],[Photovoltaik]],Dropdown!$A$2:$D$4,4,FALSE)</f>
        <v>-</v>
      </c>
      <c r="S25" s="61" t="str">
        <f>VLOOKUP(Tabelle1823[[#This Row],[Mini-/Mikro-BHKWs]],Dropdown!$A$2:$D$4,4,FALSE)</f>
        <v>-</v>
      </c>
      <c r="T25" s="61" t="str">
        <f>VLOOKUP(Tabelle1823[[#This Row],[Lastflexibilisierung mittels 
Batteriespeichern]],Dropdown!$A$2:$D$4,4,FALSE)</f>
        <v>-</v>
      </c>
    </row>
    <row r="26" spans="1:20" x14ac:dyDescent="0.2">
      <c r="A26" s="6">
        <v>25</v>
      </c>
      <c r="B26" s="61" t="str">
        <f>VLOOKUP(Tabelle1823[[#This Row],[Kühlschränke]],Dropdown!$A$2:$D$4,4,FALSE)</f>
        <v>X</v>
      </c>
      <c r="C26" s="61" t="str">
        <f>VLOOKUP(Tabelle1823[[#This Row],[Geschirrspüler]],Dropdown!$A$2:$D$4,4,FALSE)</f>
        <v>-</v>
      </c>
      <c r="D26" s="61" t="str">
        <f>VLOOKUP(Tabelle1823[[#This Row],[Wäschetrockner]],Dropdown!$A$2:$D$4,4,FALSE)</f>
        <v>X</v>
      </c>
      <c r="E26" s="61" t="str">
        <f>VLOOKUP(Tabelle1823[[#This Row],[Waschmaschinen]],Dropdown!$A$2:$D$4,4,FALSE)</f>
        <v>-</v>
      </c>
      <c r="F26" s="61" t="str">
        <f>VLOOKUP(Tabelle1823[[#This Row],[Raumklimatisierung (Klimaanlagen)]],Dropdown!$A$2:$D$4,4,FALSE)</f>
        <v>X</v>
      </c>
      <c r="G26" s="61" t="str">
        <f>VLOOKUP(Tabelle1823[[#This Row],[Wärmepumpen]],Dropdown!$A$2:$D$4,4,FALSE)</f>
        <v>-</v>
      </c>
      <c r="H26" s="61" t="str">
        <f>VLOOKUP(Tabelle1823[[#This Row],[Hybrid-Wärmepumpen]],Dropdown!$A$2:$D$4,4,FALSE)</f>
        <v>-</v>
      </c>
      <c r="I26" s="61" t="str">
        <f>VLOOKUP(Tabelle1823[[#This Row],[Nachtspeicherheizungen]],Dropdown!$A$2:$D$4,4,FALSE)</f>
        <v>-</v>
      </c>
      <c r="J26" s="61" t="str">
        <f>VLOOKUP(Tabelle1823[[#This Row],[Kühl- und Gefrierkombinationen]],Dropdown!$A$2:$D$4,4,FALSE)</f>
        <v>X</v>
      </c>
      <c r="K26" s="61" t="str">
        <f>VLOOKUP(Tabelle1823[[#This Row],[elektrische Warmwassererzeugung]],Dropdown!$A$2:$D$4,4,FALSE)</f>
        <v>-</v>
      </c>
      <c r="L26" s="61" t="str">
        <f>VLOOKUP(Tabelle1823[[#This Row],[Gefrierschränke und -truhen]],Dropdown!$A$2:$D$4,4,FALSE)</f>
        <v>X</v>
      </c>
      <c r="M26" s="61" t="str">
        <f>VLOOKUP(Tabelle1823[[#This Row],[Elektrische Öfen]],Dropdown!$A$2:$D$4,4,FALSE)</f>
        <v>-</v>
      </c>
      <c r="N26" s="61" t="str">
        <f>VLOOKUP(Tabelle1823[[#This Row],[elektrische Direktheizungen]],Dropdown!$A$2:$D$4,4,FALSE)</f>
        <v>-</v>
      </c>
      <c r="O26" s="61" t="str">
        <f>VLOOKUP(Tabelle1823[[#This Row],[Heizungsumwälzpumpen]],Dropdown!$A$2:$D$4,4,FALSE)</f>
        <v>X</v>
      </c>
      <c r="P26" s="61" t="str">
        <f>VLOOKUP(Tabelle1823[[#This Row],[Elektromobilität]],Dropdown!$A$2:$D$4,4,FALSE)</f>
        <v>X</v>
      </c>
      <c r="Q26" s="61" t="str">
        <f>VLOOKUP(Tabelle1823[[#This Row],[Smart Meter / intelligente Geräte]],Dropdown!$A$2:$D$4,4,FALSE)</f>
        <v>-</v>
      </c>
      <c r="R26" s="61" t="str">
        <f>VLOOKUP(Tabelle1823[[#This Row],[Photovoltaik]],Dropdown!$A$2:$D$4,4,FALSE)</f>
        <v>X</v>
      </c>
      <c r="S26" s="61" t="str">
        <f>VLOOKUP(Tabelle1823[[#This Row],[Mini-/Mikro-BHKWs]],Dropdown!$A$2:$D$4,4,FALSE)</f>
        <v>-</v>
      </c>
      <c r="T26" s="61" t="str">
        <f>VLOOKUP(Tabelle1823[[#This Row],[Lastflexibilisierung mittels 
Batteriespeichern]],Dropdown!$A$2:$D$4,4,FALSE)</f>
        <v>X</v>
      </c>
    </row>
    <row r="27" spans="1:20" x14ac:dyDescent="0.2">
      <c r="A27" s="59" t="s">
        <v>854</v>
      </c>
      <c r="B27" s="59">
        <f>Tabelle1823[[#This Row],[Kühlschränke]]</f>
        <v>12</v>
      </c>
      <c r="C27" s="59">
        <f>Tabelle1823[[#This Row],[Geschirrspüler]]</f>
        <v>10</v>
      </c>
      <c r="D27" s="59">
        <f>Tabelle1823[[#This Row],[Wäschetrockner]]</f>
        <v>11</v>
      </c>
      <c r="E27" s="59">
        <f>Tabelle1823[[#This Row],[Waschmaschinen]]</f>
        <v>10</v>
      </c>
      <c r="F27" s="59">
        <f>Tabelle1823[[#This Row],[Raumklimatisierung (Klimaanlagen)]]</f>
        <v>8</v>
      </c>
      <c r="G27" s="59">
        <f>Tabelle1823[[#This Row],[Wärmepumpen]]</f>
        <v>13</v>
      </c>
      <c r="H27" s="59">
        <f>Tabelle1823[[#This Row],[Hybrid-Wärmepumpen]]</f>
        <v>2</v>
      </c>
      <c r="I27" s="59">
        <f>Tabelle1823[[#This Row],[Nachtspeicherheizungen]]</f>
        <v>14</v>
      </c>
      <c r="J27" s="59">
        <f>Tabelle1823[[#This Row],[Kühl- und Gefrierkombinationen]]</f>
        <v>10</v>
      </c>
      <c r="K27" s="59">
        <f>Tabelle1823[[#This Row],[elektrische Warmwassererzeugung]]</f>
        <v>13</v>
      </c>
      <c r="L27" s="59">
        <f>Tabelle1823[[#This Row],[Gefrierschränke und -truhen]]</f>
        <v>13</v>
      </c>
      <c r="M27" s="59">
        <f>Tabelle1823[[#This Row],[Elektrische Öfen]]</f>
        <v>1</v>
      </c>
      <c r="N27" s="59">
        <f>Tabelle1823[[#This Row],[elektrische Direktheizungen]]</f>
        <v>1</v>
      </c>
      <c r="O27" s="59">
        <f>Tabelle1823[[#This Row],[Heizungsumwälzpumpen]]</f>
        <v>8</v>
      </c>
      <c r="P27" s="59">
        <f>Tabelle1823[[#This Row],[Elektromobilität]]</f>
        <v>3</v>
      </c>
      <c r="Q27" s="59">
        <f>Tabelle1823[[#This Row],[Smart Meter / intelligente Geräte]]</f>
        <v>0.5</v>
      </c>
      <c r="R27" s="59">
        <f>Tabelle1823[[#This Row],[Photovoltaik]]</f>
        <v>1.5</v>
      </c>
      <c r="S27" s="59">
        <f>Tabelle1823[[#This Row],[Mini-/Mikro-BHKWs]]</f>
        <v>0.5</v>
      </c>
      <c r="T27" s="59">
        <f>Tabelle1823[[#This Row],[Lastflexibilisierung mittels 
Batteriespeichern]]</f>
        <v>2</v>
      </c>
    </row>
  </sheetData>
  <pageMargins left="0.7" right="0.7" top="0.78740157499999996" bottom="0.78740157499999996"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1D7E7-898D-4427-9FC3-DE2297BE07BC}">
  <sheetPr codeName="Tabelle44">
    <tabColor theme="4" tint="0.79998168889431442"/>
  </sheetPr>
  <dimension ref="A1:K29"/>
  <sheetViews>
    <sheetView topLeftCell="A20" workbookViewId="0">
      <selection activeCell="A29" sqref="A29"/>
    </sheetView>
  </sheetViews>
  <sheetFormatPr baseColWidth="10" defaultRowHeight="15.75" x14ac:dyDescent="0.25"/>
  <cols>
    <col min="2" max="10" width="5.875" customWidth="1"/>
    <col min="11" max="11" width="5.875" hidden="1" customWidth="1"/>
  </cols>
  <sheetData>
    <row r="1" spans="1:11" ht="51" hidden="1" x14ac:dyDescent="0.25">
      <c r="A1" s="3" t="s">
        <v>86</v>
      </c>
      <c r="B1" s="3" t="s">
        <v>88</v>
      </c>
      <c r="C1" s="3" t="s">
        <v>88</v>
      </c>
      <c r="D1" s="3" t="s">
        <v>88</v>
      </c>
      <c r="E1" s="3" t="s">
        <v>88</v>
      </c>
      <c r="F1" s="3" t="s">
        <v>88</v>
      </c>
      <c r="G1" s="3" t="s">
        <v>88</v>
      </c>
      <c r="H1" s="3" t="s">
        <v>88</v>
      </c>
      <c r="I1" s="3" t="s">
        <v>88</v>
      </c>
      <c r="J1" s="3" t="s">
        <v>88</v>
      </c>
      <c r="K1" s="3" t="s">
        <v>88</v>
      </c>
    </row>
    <row r="2" spans="1:11" ht="134.25" customHeight="1" x14ac:dyDescent="0.25">
      <c r="A2" s="50" t="s">
        <v>1</v>
      </c>
      <c r="B2" s="53" t="s">
        <v>1201</v>
      </c>
      <c r="C2" s="43" t="s">
        <v>1643</v>
      </c>
      <c r="D2" s="43" t="s">
        <v>1644</v>
      </c>
      <c r="E2" s="53" t="s">
        <v>1202</v>
      </c>
      <c r="F2" s="53" t="s">
        <v>1203</v>
      </c>
      <c r="G2" s="53" t="s">
        <v>1204</v>
      </c>
      <c r="H2" s="53" t="s">
        <v>1205</v>
      </c>
      <c r="I2" s="54" t="s">
        <v>1206</v>
      </c>
      <c r="J2" s="53" t="s">
        <v>1207</v>
      </c>
      <c r="K2" s="50" t="s">
        <v>114</v>
      </c>
    </row>
    <row r="3" spans="1:11" ht="25.5" x14ac:dyDescent="0.25">
      <c r="A3" s="6" t="s">
        <v>12</v>
      </c>
      <c r="B3" s="8">
        <f>Ueberblick[[#This Row],[Potenzialtrennung pos/neg vorgenommen]]</f>
        <v>0.5</v>
      </c>
      <c r="C3" s="8">
        <f>Ueberblick[[#This Row],[Potenzial pos]]</f>
        <v>1</v>
      </c>
      <c r="D3" s="8">
        <f>Ueberblick[[#This Row],[Potenzial neg]]</f>
        <v>1</v>
      </c>
      <c r="E3" s="8">
        <f>Ueberblick[[#This Row],[Schaltdauer erfasst]]</f>
        <v>0.5</v>
      </c>
      <c r="F3" s="8">
        <f>Ueberblick[[#This Row],[Verschiebedauer erfasst]]</f>
        <v>0.5</v>
      </c>
      <c r="G3" s="8">
        <f>Ueberblick[[#This Row],[Angaben zur Schalthäufigkeit vorhanden]]</f>
        <v>0.5</v>
      </c>
      <c r="H3" s="8">
        <f>Ueberblick[[#This Row],[Angeben zu Investitionsausgaben]]</f>
        <v>0</v>
      </c>
      <c r="I3" s="8">
        <f>Ueberblick[[#This Row],[Angaben zu fixen Kosten]]</f>
        <v>0</v>
      </c>
      <c r="J3" s="8">
        <f>Ueberblick[[#This Row],[Angaben zu variablen Kosten]]</f>
        <v>0</v>
      </c>
      <c r="K3" s="41" t="s">
        <v>197</v>
      </c>
    </row>
    <row r="4" spans="1:11" ht="63.75" x14ac:dyDescent="0.25">
      <c r="A4" s="6" t="s">
        <v>347</v>
      </c>
      <c r="B4" s="8">
        <f>Ueberblick[[#This Row],[Potenzialtrennung pos/neg vorgenommen]]</f>
        <v>1</v>
      </c>
      <c r="C4" s="8">
        <f>Ueberblick[[#This Row],[Potenzial pos]]</f>
        <v>1</v>
      </c>
      <c r="D4" s="8">
        <f>Ueberblick[[#This Row],[Potenzial neg]]</f>
        <v>1</v>
      </c>
      <c r="E4" s="8">
        <f>Ueberblick[[#This Row],[Schaltdauer erfasst]]</f>
        <v>0.5</v>
      </c>
      <c r="F4" s="8">
        <f>Ueberblick[[#This Row],[Verschiebedauer erfasst]]</f>
        <v>1</v>
      </c>
      <c r="G4" s="8">
        <f>Ueberblick[[#This Row],[Angaben zur Schalthäufigkeit vorhanden]]</f>
        <v>0.5</v>
      </c>
      <c r="H4" s="8">
        <f>Ueberblick[[#This Row],[Angeben zu Investitionsausgaben]]</f>
        <v>0</v>
      </c>
      <c r="I4" s="8">
        <f>Ueberblick[[#This Row],[Angaben zu fixen Kosten]]</f>
        <v>0</v>
      </c>
      <c r="J4" s="8">
        <f>Ueberblick[[#This Row],[Angaben zu variablen Kosten]]</f>
        <v>0</v>
      </c>
      <c r="K4" s="8" t="s">
        <v>1199</v>
      </c>
    </row>
    <row r="5" spans="1:11" ht="25.5" x14ac:dyDescent="0.25">
      <c r="A5" s="6" t="s">
        <v>348</v>
      </c>
      <c r="B5" s="8">
        <f>Ueberblick[[#This Row],[Potenzialtrennung pos/neg vorgenommen]]</f>
        <v>1</v>
      </c>
      <c r="C5" s="8">
        <f>Ueberblick[[#This Row],[Potenzial pos]]</f>
        <v>1</v>
      </c>
      <c r="D5" s="8">
        <f>Ueberblick[[#This Row],[Potenzial neg]]</f>
        <v>1</v>
      </c>
      <c r="E5" s="8">
        <f>Ueberblick[[#This Row],[Schaltdauer erfasst]]</f>
        <v>0</v>
      </c>
      <c r="F5" s="8">
        <f>Ueberblick[[#This Row],[Verschiebedauer erfasst]]</f>
        <v>0</v>
      </c>
      <c r="G5" s="8">
        <f>Ueberblick[[#This Row],[Angaben zur Schalthäufigkeit vorhanden]]</f>
        <v>0</v>
      </c>
      <c r="H5" s="8">
        <f>Ueberblick[[#This Row],[Angeben zu Investitionsausgaben]]</f>
        <v>0</v>
      </c>
      <c r="I5" s="8">
        <f>Ueberblick[[#This Row],[Angaben zu fixen Kosten]]</f>
        <v>0</v>
      </c>
      <c r="J5" s="8">
        <f>Ueberblick[[#This Row],[Angaben zu variablen Kosten]]</f>
        <v>0</v>
      </c>
      <c r="K5" s="8" t="s">
        <v>377</v>
      </c>
    </row>
    <row r="6" spans="1:11" ht="25.5" x14ac:dyDescent="0.25">
      <c r="A6" s="6" t="s">
        <v>183</v>
      </c>
      <c r="B6" s="8">
        <f>Ueberblick[[#This Row],[Potenzialtrennung pos/neg vorgenommen]]</f>
        <v>0.5</v>
      </c>
      <c r="C6" s="8">
        <f>Ueberblick[[#This Row],[Potenzial pos]]</f>
        <v>1</v>
      </c>
      <c r="D6" s="8">
        <f>Ueberblick[[#This Row],[Potenzial neg]]</f>
        <v>1</v>
      </c>
      <c r="E6" s="8">
        <f>Ueberblick[[#This Row],[Schaltdauer erfasst]]</f>
        <v>0</v>
      </c>
      <c r="F6" s="8">
        <f>Ueberblick[[#This Row],[Verschiebedauer erfasst]]</f>
        <v>0.5</v>
      </c>
      <c r="G6" s="8">
        <f>Ueberblick[[#This Row],[Angaben zur Schalthäufigkeit vorhanden]]</f>
        <v>0.5</v>
      </c>
      <c r="H6" s="8">
        <f>Ueberblick[[#This Row],[Angeben zu Investitionsausgaben]]</f>
        <v>1</v>
      </c>
      <c r="I6" s="8">
        <f>Ueberblick[[#This Row],[Angaben zu fixen Kosten]]</f>
        <v>0</v>
      </c>
      <c r="J6" s="8">
        <f>Ueberblick[[#This Row],[Angaben zu variablen Kosten]]</f>
        <v>0</v>
      </c>
      <c r="K6" s="8" t="s">
        <v>310</v>
      </c>
    </row>
    <row r="7" spans="1:11" ht="38.25" x14ac:dyDescent="0.25">
      <c r="A7" s="6" t="s">
        <v>258</v>
      </c>
      <c r="B7" s="8">
        <f>Ueberblick[[#This Row],[Potenzialtrennung pos/neg vorgenommen]]</f>
        <v>1</v>
      </c>
      <c r="C7" s="8">
        <f>Ueberblick[[#This Row],[Potenzial pos]]</f>
        <v>1</v>
      </c>
      <c r="D7" s="8">
        <f>Ueberblick[[#This Row],[Potenzial neg]]</f>
        <v>1</v>
      </c>
      <c r="E7" s="8">
        <f>Ueberblick[[#This Row],[Schaltdauer erfasst]]</f>
        <v>1</v>
      </c>
      <c r="F7" s="8">
        <f>Ueberblick[[#This Row],[Verschiebedauer erfasst]]</f>
        <v>1</v>
      </c>
      <c r="G7" s="8">
        <f>Ueberblick[[#This Row],[Angaben zur Schalthäufigkeit vorhanden]]</f>
        <v>1</v>
      </c>
      <c r="H7" s="8">
        <f>Ueberblick[[#This Row],[Angeben zu Investitionsausgaben]]</f>
        <v>0</v>
      </c>
      <c r="I7" s="8">
        <f>Ueberblick[[#This Row],[Angaben zu fixen Kosten]]</f>
        <v>0</v>
      </c>
      <c r="J7" s="8">
        <f>Ueberblick[[#This Row],[Angaben zu variablen Kosten]]</f>
        <v>1</v>
      </c>
      <c r="K7" s="8" t="s">
        <v>254</v>
      </c>
    </row>
    <row r="8" spans="1:11" ht="25.5" x14ac:dyDescent="0.25">
      <c r="A8" s="18" t="s">
        <v>355</v>
      </c>
      <c r="B8" s="8">
        <f>Ueberblick[[#This Row],[Potenzialtrennung pos/neg vorgenommen]]</f>
        <v>1</v>
      </c>
      <c r="C8" s="8">
        <f>Ueberblick[[#This Row],[Potenzial pos]]</f>
        <v>1</v>
      </c>
      <c r="D8" s="8">
        <f>Ueberblick[[#This Row],[Potenzial neg]]</f>
        <v>1</v>
      </c>
      <c r="E8" s="8">
        <f>Ueberblick[[#This Row],[Schaltdauer erfasst]]</f>
        <v>0</v>
      </c>
      <c r="F8" s="8">
        <f>Ueberblick[[#This Row],[Verschiebedauer erfasst]]</f>
        <v>1</v>
      </c>
      <c r="G8" s="8">
        <f>Ueberblick[[#This Row],[Angaben zur Schalthäufigkeit vorhanden]]</f>
        <v>0</v>
      </c>
      <c r="H8" s="8">
        <f>Ueberblick[[#This Row],[Angeben zu Investitionsausgaben]]</f>
        <v>0</v>
      </c>
      <c r="I8" s="8">
        <f>Ueberblick[[#This Row],[Angaben zu fixen Kosten]]</f>
        <v>0</v>
      </c>
      <c r="J8" s="8">
        <f>Ueberblick[[#This Row],[Angaben zu variablen Kosten]]</f>
        <v>0</v>
      </c>
      <c r="K8" s="8" t="s">
        <v>367</v>
      </c>
    </row>
    <row r="9" spans="1:11" ht="25.5" x14ac:dyDescent="0.25">
      <c r="A9" s="18" t="s">
        <v>431</v>
      </c>
      <c r="B9" s="8">
        <f>Ueberblick[[#This Row],[Potenzialtrennung pos/neg vorgenommen]]</f>
        <v>1</v>
      </c>
      <c r="C9" s="8">
        <f>Ueberblick[[#This Row],[Potenzial pos]]</f>
        <v>1</v>
      </c>
      <c r="D9" s="8">
        <f>Ueberblick[[#This Row],[Potenzial neg]]</f>
        <v>1</v>
      </c>
      <c r="E9" s="8">
        <f>Ueberblick[[#This Row],[Schaltdauer erfasst]]</f>
        <v>0</v>
      </c>
      <c r="F9" s="8">
        <f>Ueberblick[[#This Row],[Verschiebedauer erfasst]]</f>
        <v>1</v>
      </c>
      <c r="G9" s="8">
        <f>Ueberblick[[#This Row],[Angaben zur Schalthäufigkeit vorhanden]]</f>
        <v>0.5</v>
      </c>
      <c r="H9" s="8">
        <f>Ueberblick[[#This Row],[Angeben zu Investitionsausgaben]]</f>
        <v>0</v>
      </c>
      <c r="I9" s="8">
        <f>Ueberblick[[#This Row],[Angaben zu fixen Kosten]]</f>
        <v>0</v>
      </c>
      <c r="J9" s="8">
        <f>Ueberblick[[#This Row],[Angaben zu variablen Kosten]]</f>
        <v>0.5</v>
      </c>
      <c r="K9" s="8" t="s">
        <v>427</v>
      </c>
    </row>
    <row r="10" spans="1:11" x14ac:dyDescent="0.25">
      <c r="A10" s="6" t="s">
        <v>410</v>
      </c>
      <c r="B10" s="8">
        <f>Ueberblick[[#This Row],[Potenzialtrennung pos/neg vorgenommen]]</f>
        <v>1</v>
      </c>
      <c r="C10" s="8">
        <f>Ueberblick[[#This Row],[Potenzial pos]]</f>
        <v>1</v>
      </c>
      <c r="D10" s="8">
        <f>Ueberblick[[#This Row],[Potenzial neg]]</f>
        <v>1</v>
      </c>
      <c r="E10" s="8">
        <f>Ueberblick[[#This Row],[Schaltdauer erfasst]]</f>
        <v>1</v>
      </c>
      <c r="F10" s="8">
        <f>Ueberblick[[#This Row],[Verschiebedauer erfasst]]</f>
        <v>1</v>
      </c>
      <c r="G10" s="8">
        <f>Ueberblick[[#This Row],[Angaben zur Schalthäufigkeit vorhanden]]</f>
        <v>1</v>
      </c>
      <c r="H10" s="8">
        <f>Ueberblick[[#This Row],[Angeben zu Investitionsausgaben]]</f>
        <v>1</v>
      </c>
      <c r="I10" s="8">
        <f>Ueberblick[[#This Row],[Angaben zu fixen Kosten]]</f>
        <v>1</v>
      </c>
      <c r="J10" s="8">
        <f>Ueberblick[[#This Row],[Angaben zu variablen Kosten]]</f>
        <v>1</v>
      </c>
      <c r="K10" s="8" t="s">
        <v>286</v>
      </c>
    </row>
    <row r="11" spans="1:11" x14ac:dyDescent="0.25">
      <c r="A11" s="6" t="s">
        <v>393</v>
      </c>
      <c r="B11" s="8">
        <f>Ueberblick[[#This Row],[Potenzialtrennung pos/neg vorgenommen]]</f>
        <v>0</v>
      </c>
      <c r="C11" s="8">
        <f>Ueberblick[[#This Row],[Potenzial pos]]</f>
        <v>1</v>
      </c>
      <c r="D11" s="8">
        <f>Ueberblick[[#This Row],[Potenzial neg]]</f>
        <v>1</v>
      </c>
      <c r="E11" s="8">
        <f>Ueberblick[[#This Row],[Schaltdauer erfasst]]</f>
        <v>0</v>
      </c>
      <c r="F11" s="8">
        <f>Ueberblick[[#This Row],[Verschiebedauer erfasst]]</f>
        <v>0</v>
      </c>
      <c r="G11" s="8">
        <f>Ueberblick[[#This Row],[Angaben zur Schalthäufigkeit vorhanden]]</f>
        <v>0</v>
      </c>
      <c r="H11" s="8">
        <f>Ueberblick[[#This Row],[Angeben zu Investitionsausgaben]]</f>
        <v>1</v>
      </c>
      <c r="I11" s="8">
        <f>Ueberblick[[#This Row],[Angaben zu fixen Kosten]]</f>
        <v>1</v>
      </c>
      <c r="J11" s="8">
        <f>Ueberblick[[#This Row],[Angaben zu variablen Kosten]]</f>
        <v>1</v>
      </c>
      <c r="K11" s="8" t="s">
        <v>398</v>
      </c>
    </row>
    <row r="12" spans="1:11" ht="51" x14ac:dyDescent="0.25">
      <c r="A12" s="21" t="s">
        <v>380</v>
      </c>
      <c r="B12" s="8">
        <f>Ueberblick[[#This Row],[Potenzialtrennung pos/neg vorgenommen]]</f>
        <v>0</v>
      </c>
      <c r="C12" s="8">
        <f>Ueberblick[[#This Row],[Potenzial pos]]</f>
        <v>1</v>
      </c>
      <c r="D12" s="8">
        <f>Ueberblick[[#This Row],[Potenzial neg]]</f>
        <v>1</v>
      </c>
      <c r="E12" s="8">
        <f>Ueberblick[[#This Row],[Schaltdauer erfasst]]</f>
        <v>0</v>
      </c>
      <c r="F12" s="8">
        <f>Ueberblick[[#This Row],[Verschiebedauer erfasst]]</f>
        <v>1</v>
      </c>
      <c r="G12" s="8">
        <f>Ueberblick[[#This Row],[Angaben zur Schalthäufigkeit vorhanden]]</f>
        <v>1</v>
      </c>
      <c r="H12" s="8">
        <f>Ueberblick[[#This Row],[Angeben zu Investitionsausgaben]]</f>
        <v>1</v>
      </c>
      <c r="I12" s="8">
        <f>Ueberblick[[#This Row],[Angaben zu fixen Kosten]]</f>
        <v>1</v>
      </c>
      <c r="J12" s="8">
        <f>Ueberblick[[#This Row],[Angaben zu variablen Kosten]]</f>
        <v>1</v>
      </c>
      <c r="K12" s="8" t="s">
        <v>385</v>
      </c>
    </row>
    <row r="13" spans="1:11" ht="51" x14ac:dyDescent="0.25">
      <c r="A13" s="6" t="s">
        <v>95</v>
      </c>
      <c r="B13" s="8">
        <f>Ueberblick[[#This Row],[Potenzialtrennung pos/neg vorgenommen]]</f>
        <v>0.5</v>
      </c>
      <c r="C13" s="8">
        <f>Ueberblick[[#This Row],[Potenzial pos]]</f>
        <v>1</v>
      </c>
      <c r="D13" s="8">
        <f>Ueberblick[[#This Row],[Potenzial neg]]</f>
        <v>1</v>
      </c>
      <c r="E13" s="8">
        <f>Ueberblick[[#This Row],[Schaltdauer erfasst]]</f>
        <v>1</v>
      </c>
      <c r="F13" s="8">
        <f>Ueberblick[[#This Row],[Verschiebedauer erfasst]]</f>
        <v>0</v>
      </c>
      <c r="G13" s="8">
        <f>Ueberblick[[#This Row],[Angaben zur Schalthäufigkeit vorhanden]]</f>
        <v>1</v>
      </c>
      <c r="H13" s="8">
        <f>Ueberblick[[#This Row],[Angeben zu Investitionsausgaben]]</f>
        <v>1</v>
      </c>
      <c r="I13" s="8">
        <f>Ueberblick[[#This Row],[Angaben zu fixen Kosten]]</f>
        <v>0.5</v>
      </c>
      <c r="J13" s="8">
        <f>Ueberblick[[#This Row],[Angaben zu variablen Kosten]]</f>
        <v>0</v>
      </c>
      <c r="K13" s="8" t="s">
        <v>121</v>
      </c>
    </row>
    <row r="14" spans="1:11" ht="63.75" x14ac:dyDescent="0.25">
      <c r="A14" s="6" t="s">
        <v>1709</v>
      </c>
      <c r="B14" s="8">
        <f>Ueberblick[[#This Row],[Potenzialtrennung pos/neg vorgenommen]]</f>
        <v>0.5</v>
      </c>
      <c r="C14" s="8">
        <f>Ueberblick[[#This Row],[Potenzial pos]]</f>
        <v>1</v>
      </c>
      <c r="D14" s="8">
        <f>Ueberblick[[#This Row],[Potenzial neg]]</f>
        <v>1</v>
      </c>
      <c r="E14" s="8">
        <f>Ueberblick[[#This Row],[Schaltdauer erfasst]]</f>
        <v>1</v>
      </c>
      <c r="F14" s="8">
        <f>Ueberblick[[#This Row],[Verschiebedauer erfasst]]</f>
        <v>1</v>
      </c>
      <c r="G14" s="8">
        <f>Ueberblick[[#This Row],[Angaben zur Schalthäufigkeit vorhanden]]</f>
        <v>1</v>
      </c>
      <c r="H14" s="8">
        <f>Ueberblick[[#This Row],[Angeben zu Investitionsausgaben]]</f>
        <v>0</v>
      </c>
      <c r="I14" s="8">
        <f>Ueberblick[[#This Row],[Angaben zu fixen Kosten]]</f>
        <v>0</v>
      </c>
      <c r="J14" s="8">
        <f>Ueberblick[[#This Row],[Angaben zu variablen Kosten]]</f>
        <v>0</v>
      </c>
      <c r="K14" s="8" t="s">
        <v>216</v>
      </c>
    </row>
    <row r="15" spans="1:11" ht="25.5" x14ac:dyDescent="0.25">
      <c r="A15" s="6" t="s">
        <v>179</v>
      </c>
      <c r="B15" s="8">
        <f>Ueberblick[[#This Row],[Potenzialtrennung pos/neg vorgenommen]]</f>
        <v>1</v>
      </c>
      <c r="C15" s="8">
        <f>Ueberblick[[#This Row],[Potenzial pos]]</f>
        <v>1</v>
      </c>
      <c r="D15" s="8">
        <f>Ueberblick[[#This Row],[Potenzial neg]]</f>
        <v>1</v>
      </c>
      <c r="E15" s="8">
        <f>Ueberblick[[#This Row],[Schaltdauer erfasst]]</f>
        <v>0</v>
      </c>
      <c r="F15" s="8">
        <f>Ueberblick[[#This Row],[Verschiebedauer erfasst]]</f>
        <v>1</v>
      </c>
      <c r="G15" s="8">
        <f>Ueberblick[[#This Row],[Angaben zur Schalthäufigkeit vorhanden]]</f>
        <v>0.5</v>
      </c>
      <c r="H15" s="8">
        <f>Ueberblick[[#This Row],[Angeben zu Investitionsausgaben]]</f>
        <v>0</v>
      </c>
      <c r="I15" s="8">
        <f>Ueberblick[[#This Row],[Angaben zu fixen Kosten]]</f>
        <v>0</v>
      </c>
      <c r="J15" s="8">
        <f>Ueberblick[[#This Row],[Angaben zu variablen Kosten]]</f>
        <v>0</v>
      </c>
      <c r="K15" s="8" t="s">
        <v>322</v>
      </c>
    </row>
    <row r="16" spans="1:11" x14ac:dyDescent="0.25">
      <c r="A16" s="6" t="s">
        <v>341</v>
      </c>
      <c r="B16" s="8">
        <f>Ueberblick[[#This Row],[Potenzialtrennung pos/neg vorgenommen]]</f>
        <v>1</v>
      </c>
      <c r="C16" s="8">
        <f>Ueberblick[[#This Row],[Potenzial pos]]</f>
        <v>1</v>
      </c>
      <c r="D16" s="8">
        <f>Ueberblick[[#This Row],[Potenzial neg]]</f>
        <v>1</v>
      </c>
      <c r="E16" s="8">
        <f>Ueberblick[[#This Row],[Schaltdauer erfasst]]</f>
        <v>1</v>
      </c>
      <c r="F16" s="8">
        <f>Ueberblick[[#This Row],[Verschiebedauer erfasst]]</f>
        <v>1</v>
      </c>
      <c r="G16" s="8">
        <f>Ueberblick[[#This Row],[Angaben zur Schalthäufigkeit vorhanden]]</f>
        <v>1</v>
      </c>
      <c r="H16" s="8">
        <f>Ueberblick[[#This Row],[Angeben zu Investitionsausgaben]]</f>
        <v>1</v>
      </c>
      <c r="I16" s="8">
        <f>Ueberblick[[#This Row],[Angaben zu fixen Kosten]]</f>
        <v>1</v>
      </c>
      <c r="J16" s="8">
        <f>Ueberblick[[#This Row],[Angaben zu variablen Kosten]]</f>
        <v>1</v>
      </c>
      <c r="K16" s="8" t="s">
        <v>444</v>
      </c>
    </row>
    <row r="17" spans="1:11" ht="63.75" x14ac:dyDescent="0.25">
      <c r="A17" s="6" t="s">
        <v>22</v>
      </c>
      <c r="B17" s="8">
        <f>Ueberblick[[#This Row],[Potenzialtrennung pos/neg vorgenommen]]</f>
        <v>1</v>
      </c>
      <c r="C17" s="8">
        <f>Ueberblick[[#This Row],[Potenzial pos]]</f>
        <v>1</v>
      </c>
      <c r="D17" s="8">
        <f>Ueberblick[[#This Row],[Potenzial neg]]</f>
        <v>1</v>
      </c>
      <c r="E17" s="8">
        <f>Ueberblick[[#This Row],[Schaltdauer erfasst]]</f>
        <v>1</v>
      </c>
      <c r="F17" s="8">
        <f>Ueberblick[[#This Row],[Verschiebedauer erfasst]]</f>
        <v>1</v>
      </c>
      <c r="G17" s="8">
        <f>Ueberblick[[#This Row],[Angaben zur Schalthäufigkeit vorhanden]]</f>
        <v>1</v>
      </c>
      <c r="H17" s="8">
        <f>Ueberblick[[#This Row],[Angeben zu Investitionsausgaben]]</f>
        <v>1</v>
      </c>
      <c r="I17" s="8">
        <f>Ueberblick[[#This Row],[Angaben zu fixen Kosten]]</f>
        <v>1</v>
      </c>
      <c r="J17" s="8">
        <f>Ueberblick[[#This Row],[Angaben zu variablen Kosten]]</f>
        <v>1</v>
      </c>
      <c r="K17" s="8" t="s">
        <v>242</v>
      </c>
    </row>
    <row r="18" spans="1:11" ht="38.25" x14ac:dyDescent="0.25">
      <c r="A18" s="6" t="s">
        <v>188</v>
      </c>
      <c r="B18" s="8">
        <f>Ueberblick[[#This Row],[Potenzialtrennung pos/neg vorgenommen]]</f>
        <v>1</v>
      </c>
      <c r="C18" s="8">
        <f>Ueberblick[[#This Row],[Potenzial pos]]</f>
        <v>1</v>
      </c>
      <c r="D18" s="8">
        <f>Ueberblick[[#This Row],[Potenzial neg]]</f>
        <v>1</v>
      </c>
      <c r="E18" s="8">
        <f>Ueberblick[[#This Row],[Schaltdauer erfasst]]</f>
        <v>0.5</v>
      </c>
      <c r="F18" s="8">
        <f>Ueberblick[[#This Row],[Verschiebedauer erfasst]]</f>
        <v>0</v>
      </c>
      <c r="G18" s="8">
        <f>Ueberblick[[#This Row],[Angaben zur Schalthäufigkeit vorhanden]]</f>
        <v>0</v>
      </c>
      <c r="H18" s="8">
        <f>Ueberblick[[#This Row],[Angeben zu Investitionsausgaben]]</f>
        <v>0</v>
      </c>
      <c r="I18" s="8">
        <f>Ueberblick[[#This Row],[Angaben zu fixen Kosten]]</f>
        <v>0</v>
      </c>
      <c r="J18" s="8">
        <f>Ueberblick[[#This Row],[Angaben zu variablen Kosten]]</f>
        <v>0</v>
      </c>
      <c r="K18" s="8" t="s">
        <v>333</v>
      </c>
    </row>
    <row r="19" spans="1:11" ht="51" x14ac:dyDescent="0.25">
      <c r="A19" s="6" t="s">
        <v>133</v>
      </c>
      <c r="B19" s="8">
        <f>Ueberblick[[#This Row],[Potenzialtrennung pos/neg vorgenommen]]</f>
        <v>1</v>
      </c>
      <c r="C19" s="8">
        <f>Ueberblick[[#This Row],[Potenzial pos]]</f>
        <v>1</v>
      </c>
      <c r="D19" s="8">
        <f>Ueberblick[[#This Row],[Potenzial neg]]</f>
        <v>1</v>
      </c>
      <c r="E19" s="8">
        <f>Ueberblick[[#This Row],[Schaltdauer erfasst]]</f>
        <v>0.5</v>
      </c>
      <c r="F19" s="8">
        <f>Ueberblick[[#This Row],[Verschiebedauer erfasst]]</f>
        <v>0.5</v>
      </c>
      <c r="G19" s="8">
        <f>Ueberblick[[#This Row],[Angaben zur Schalthäufigkeit vorhanden]]</f>
        <v>0.5</v>
      </c>
      <c r="H19" s="8">
        <f>Ueberblick[[#This Row],[Angeben zu Investitionsausgaben]]</f>
        <v>1</v>
      </c>
      <c r="I19" s="8">
        <f>Ueberblick[[#This Row],[Angaben zu fixen Kosten]]</f>
        <v>1</v>
      </c>
      <c r="J19" s="8">
        <f>Ueberblick[[#This Row],[Angaben zu variablen Kosten]]</f>
        <v>1</v>
      </c>
      <c r="K19" s="8" t="s">
        <v>170</v>
      </c>
    </row>
    <row r="20" spans="1:11" ht="38.25" x14ac:dyDescent="0.25">
      <c r="A20" s="6" t="s">
        <v>10</v>
      </c>
      <c r="B20" s="8">
        <f>Ueberblick[[#This Row],[Potenzialtrennung pos/neg vorgenommen]]</f>
        <v>1</v>
      </c>
      <c r="C20" s="8">
        <f>Ueberblick[[#This Row],[Potenzial pos]]</f>
        <v>1</v>
      </c>
      <c r="D20" s="8">
        <f>Ueberblick[[#This Row],[Potenzial neg]]</f>
        <v>1</v>
      </c>
      <c r="E20" s="8">
        <f>Ueberblick[[#This Row],[Schaltdauer erfasst]]</f>
        <v>0.5</v>
      </c>
      <c r="F20" s="8">
        <f>Ueberblick[[#This Row],[Verschiebedauer erfasst]]</f>
        <v>0.5</v>
      </c>
      <c r="G20" s="8">
        <f>Ueberblick[[#This Row],[Angaben zur Schalthäufigkeit vorhanden]]</f>
        <v>0.5</v>
      </c>
      <c r="H20" s="8">
        <f>Ueberblick[[#This Row],[Angeben zu Investitionsausgaben]]</f>
        <v>1</v>
      </c>
      <c r="I20" s="8">
        <f>Ueberblick[[#This Row],[Angaben zu fixen Kosten]]</f>
        <v>1</v>
      </c>
      <c r="J20" s="8">
        <f>Ueberblick[[#This Row],[Angaben zu variablen Kosten]]</f>
        <v>1</v>
      </c>
      <c r="K20" s="8" t="s">
        <v>176</v>
      </c>
    </row>
    <row r="21" spans="1:11" ht="51" x14ac:dyDescent="0.25">
      <c r="A21" s="6" t="s">
        <v>832</v>
      </c>
      <c r="B21" s="8">
        <f>Ueberblick[[#This Row],[Potenzialtrennung pos/neg vorgenommen]]</f>
        <v>1</v>
      </c>
      <c r="C21" s="8">
        <f>Ueberblick[[#This Row],[Potenzial pos]]</f>
        <v>1</v>
      </c>
      <c r="D21" s="8">
        <f>Ueberblick[[#This Row],[Potenzial neg]]</f>
        <v>1</v>
      </c>
      <c r="E21" s="8">
        <f>Ueberblick[[#This Row],[Schaltdauer erfasst]]</f>
        <v>1</v>
      </c>
      <c r="F21" s="8">
        <f>Ueberblick[[#This Row],[Verschiebedauer erfasst]]</f>
        <v>1</v>
      </c>
      <c r="G21" s="8">
        <f>Ueberblick[[#This Row],[Angaben zur Schalthäufigkeit vorhanden]]</f>
        <v>1</v>
      </c>
      <c r="H21" s="8">
        <f>Ueberblick[[#This Row],[Angeben zu Investitionsausgaben]]</f>
        <v>1</v>
      </c>
      <c r="I21" s="8">
        <f>Ueberblick[[#This Row],[Angaben zu fixen Kosten]]</f>
        <v>1</v>
      </c>
      <c r="J21" s="8">
        <f>Ueberblick[[#This Row],[Angaben zu variablen Kosten]]</f>
        <v>0</v>
      </c>
      <c r="K21" s="8" t="s">
        <v>273</v>
      </c>
    </row>
    <row r="22" spans="1:11" x14ac:dyDescent="0.25">
      <c r="A22" s="6" t="s">
        <v>16</v>
      </c>
      <c r="B22" s="8">
        <f>Ueberblick[[#This Row],[Potenzialtrennung pos/neg vorgenommen]]</f>
        <v>1</v>
      </c>
      <c r="C22" s="8">
        <f>Ueberblick[[#This Row],[Potenzial pos]]</f>
        <v>1</v>
      </c>
      <c r="D22" s="8">
        <f>Ueberblick[[#This Row],[Potenzial neg]]</f>
        <v>0</v>
      </c>
      <c r="E22" s="8">
        <f>Ueberblick[[#This Row],[Schaltdauer erfasst]]</f>
        <v>0</v>
      </c>
      <c r="F22" s="8">
        <f>Ueberblick[[#This Row],[Verschiebedauer erfasst]]</f>
        <v>0</v>
      </c>
      <c r="G22" s="8">
        <f>Ueberblick[[#This Row],[Angaben zur Schalthäufigkeit vorhanden]]</f>
        <v>0</v>
      </c>
      <c r="H22" s="8">
        <f>Ueberblick[[#This Row],[Angeben zu Investitionsausgaben]]</f>
        <v>0</v>
      </c>
      <c r="I22" s="8">
        <f>Ueberblick[[#This Row],[Angaben zu fixen Kosten]]</f>
        <v>0</v>
      </c>
      <c r="J22" s="8">
        <f>Ueberblick[[#This Row],[Angaben zu variablen Kosten]]</f>
        <v>1</v>
      </c>
      <c r="K22" s="8" t="s">
        <v>210</v>
      </c>
    </row>
    <row r="23" spans="1:11" ht="38.25" x14ac:dyDescent="0.25">
      <c r="A23" s="6" t="s">
        <v>7</v>
      </c>
      <c r="B23" s="8">
        <f>Ueberblick[[#This Row],[Potenzialtrennung pos/neg vorgenommen]]</f>
        <v>0.5</v>
      </c>
      <c r="C23" s="8">
        <f>Ueberblick[[#This Row],[Potenzial pos]]</f>
        <v>1</v>
      </c>
      <c r="D23" s="8">
        <f>Ueberblick[[#This Row],[Potenzial neg]]</f>
        <v>0</v>
      </c>
      <c r="E23" s="8">
        <f>Ueberblick[[#This Row],[Schaltdauer erfasst]]</f>
        <v>0.5</v>
      </c>
      <c r="F23" s="8">
        <f>Ueberblick[[#This Row],[Verschiebedauer erfasst]]</f>
        <v>0</v>
      </c>
      <c r="G23" s="8">
        <f>Ueberblick[[#This Row],[Angaben zur Schalthäufigkeit vorhanden]]</f>
        <v>0</v>
      </c>
      <c r="H23" s="8">
        <f>Ueberblick[[#This Row],[Angeben zu Investitionsausgaben]]</f>
        <v>0</v>
      </c>
      <c r="I23" s="8">
        <f>Ueberblick[[#This Row],[Angaben zu fixen Kosten]]</f>
        <v>0</v>
      </c>
      <c r="J23" s="8">
        <f>Ueberblick[[#This Row],[Angaben zu variablen Kosten]]</f>
        <v>0</v>
      </c>
      <c r="K23" s="8">
        <v>15</v>
      </c>
    </row>
    <row r="24" spans="1:11" ht="38.25" x14ac:dyDescent="0.25">
      <c r="A24" s="6" t="s">
        <v>18</v>
      </c>
      <c r="B24" s="8">
        <f>Ueberblick[[#This Row],[Potenzialtrennung pos/neg vorgenommen]]</f>
        <v>1</v>
      </c>
      <c r="C24" s="8">
        <f>Ueberblick[[#This Row],[Potenzial pos]]</f>
        <v>1</v>
      </c>
      <c r="D24" s="8">
        <f>Ueberblick[[#This Row],[Potenzial neg]]</f>
        <v>1</v>
      </c>
      <c r="E24" s="8">
        <f>Ueberblick[[#This Row],[Schaltdauer erfasst]]</f>
        <v>1</v>
      </c>
      <c r="F24" s="8">
        <f>Ueberblick[[#This Row],[Verschiebedauer erfasst]]</f>
        <v>1</v>
      </c>
      <c r="G24" s="8">
        <f>Ueberblick[[#This Row],[Angaben zur Schalthäufigkeit vorhanden]]</f>
        <v>1</v>
      </c>
      <c r="H24" s="8">
        <f>Ueberblick[[#This Row],[Angeben zu Investitionsausgaben]]</f>
        <v>0</v>
      </c>
      <c r="I24" s="8">
        <f>Ueberblick[[#This Row],[Angaben zu fixen Kosten]]</f>
        <v>0</v>
      </c>
      <c r="J24" s="8">
        <f>Ueberblick[[#This Row],[Angaben zu variablen Kosten]]</f>
        <v>1</v>
      </c>
      <c r="K24" s="8" t="s">
        <v>228</v>
      </c>
    </row>
    <row r="25" spans="1:11" x14ac:dyDescent="0.25">
      <c r="A25" s="6" t="s">
        <v>338</v>
      </c>
      <c r="B25" s="8">
        <f>Ueberblick[[#This Row],[Potenzialtrennung pos/neg vorgenommen]]</f>
        <v>1</v>
      </c>
      <c r="C25" s="8">
        <f>Ueberblick[[#This Row],[Potenzial pos]]</f>
        <v>1</v>
      </c>
      <c r="D25" s="8">
        <f>Ueberblick[[#This Row],[Potenzial neg]]</f>
        <v>1</v>
      </c>
      <c r="E25" s="8">
        <f>Ueberblick[[#This Row],[Schaltdauer erfasst]]</f>
        <v>1</v>
      </c>
      <c r="F25" s="8">
        <f>Ueberblick[[#This Row],[Verschiebedauer erfasst]]</f>
        <v>0</v>
      </c>
      <c r="G25" s="8">
        <f>Ueberblick[[#This Row],[Angaben zur Schalthäufigkeit vorhanden]]</f>
        <v>0</v>
      </c>
      <c r="H25" s="8">
        <f>Ueberblick[[#This Row],[Angeben zu Investitionsausgaben]]</f>
        <v>0</v>
      </c>
      <c r="I25" s="8">
        <f>Ueberblick[[#This Row],[Angaben zu fixen Kosten]]</f>
        <v>0</v>
      </c>
      <c r="J25" s="8">
        <f>Ueberblick[[#This Row],[Angaben zu variablen Kosten]]</f>
        <v>0</v>
      </c>
      <c r="K25" s="8" t="s">
        <v>802</v>
      </c>
    </row>
    <row r="26" spans="1:11" ht="38.25" x14ac:dyDescent="0.25">
      <c r="A26" s="6" t="s">
        <v>351</v>
      </c>
      <c r="B26" s="8">
        <f>Ueberblick[[#This Row],[Potenzialtrennung pos/neg vorgenommen]]</f>
        <v>1</v>
      </c>
      <c r="C26" s="8">
        <f>Ueberblick[[#This Row],[Potenzial pos]]</f>
        <v>1</v>
      </c>
      <c r="D26" s="8">
        <f>Ueberblick[[#This Row],[Potenzial neg]]</f>
        <v>1</v>
      </c>
      <c r="E26" s="8">
        <f>Ueberblick[[#This Row],[Schaltdauer erfasst]]</f>
        <v>1</v>
      </c>
      <c r="F26" s="8">
        <f>Ueberblick[[#This Row],[Verschiebedauer erfasst]]</f>
        <v>1</v>
      </c>
      <c r="G26" s="8">
        <f>Ueberblick[[#This Row],[Angaben zur Schalthäufigkeit vorhanden]]</f>
        <v>1</v>
      </c>
      <c r="H26" s="8">
        <f>Ueberblick[[#This Row],[Angeben zu Investitionsausgaben]]</f>
        <v>1</v>
      </c>
      <c r="I26" s="8">
        <f>Ueberblick[[#This Row],[Angaben zu fixen Kosten]]</f>
        <v>1</v>
      </c>
      <c r="J26" s="8">
        <f>Ueberblick[[#This Row],[Angaben zu variablen Kosten]]</f>
        <v>1</v>
      </c>
      <c r="K26" s="8" t="s">
        <v>294</v>
      </c>
    </row>
    <row r="27" spans="1:11" ht="63.75" x14ac:dyDescent="0.25">
      <c r="A27" s="6" t="s">
        <v>24</v>
      </c>
      <c r="B27" s="8">
        <f>Ueberblick[[#This Row],[Potenzialtrennung pos/neg vorgenommen]]</f>
        <v>1</v>
      </c>
      <c r="C27" s="8">
        <f>Ueberblick[[#This Row],[Potenzial pos]]</f>
        <v>1</v>
      </c>
      <c r="D27" s="8">
        <f>Ueberblick[[#This Row],[Potenzial neg]]</f>
        <v>1</v>
      </c>
      <c r="E27" s="8">
        <f>Ueberblick[[#This Row],[Schaltdauer erfasst]]</f>
        <v>0</v>
      </c>
      <c r="F27" s="8">
        <f>Ueberblick[[#This Row],[Verschiebedauer erfasst]]</f>
        <v>1</v>
      </c>
      <c r="G27" s="8">
        <f>Ueberblick[[#This Row],[Angaben zur Schalthäufigkeit vorhanden]]</f>
        <v>1</v>
      </c>
      <c r="H27" s="8">
        <f>Ueberblick[[#This Row],[Angeben zu Investitionsausgaben]]</f>
        <v>1</v>
      </c>
      <c r="I27" s="8">
        <f>Ueberblick[[#This Row],[Angaben zu fixen Kosten]]</f>
        <v>1</v>
      </c>
      <c r="J27" s="8">
        <f>Ueberblick[[#This Row],[Angaben zu variablen Kosten]]</f>
        <v>1</v>
      </c>
      <c r="K27" s="8" t="s">
        <v>250</v>
      </c>
    </row>
    <row r="28" spans="1:11" x14ac:dyDescent="0.25">
      <c r="A28" s="56" t="s">
        <v>854</v>
      </c>
      <c r="B28" s="51">
        <f>SUM(B3:B27)</f>
        <v>20.5</v>
      </c>
      <c r="C28" s="51">
        <f t="shared" ref="C28:D28" si="0">SUM(C3:C27)</f>
        <v>25</v>
      </c>
      <c r="D28" s="51">
        <f t="shared" si="0"/>
        <v>23</v>
      </c>
      <c r="E28" s="51">
        <f t="shared" ref="E28:J28" si="1">SUM(E3:E27)</f>
        <v>13</v>
      </c>
      <c r="F28" s="51">
        <f t="shared" si="1"/>
        <v>16</v>
      </c>
      <c r="G28" s="51">
        <f t="shared" si="1"/>
        <v>14.5</v>
      </c>
      <c r="H28" s="51">
        <f t="shared" si="1"/>
        <v>12</v>
      </c>
      <c r="I28" s="51">
        <f t="shared" si="1"/>
        <v>10.5</v>
      </c>
      <c r="J28" s="51">
        <f t="shared" si="1"/>
        <v>12.5</v>
      </c>
      <c r="K28" s="17"/>
    </row>
    <row r="29" spans="1:11" x14ac:dyDescent="0.25">
      <c r="K29">
        <f>COUNTIF(K3:K27,0.5)+COUNTIF(K3:K27,1)</f>
        <v>0</v>
      </c>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2EA470DD-7D33-469C-99FB-924F3D690A17}">
          <x14:formula1>
            <xm:f>Dropdown!$A$2:$A$4</xm:f>
          </x14:formula1>
          <xm:sqref>B3:J27</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10685-E813-4874-B1DA-6EAA1D46DA38}">
  <sheetPr codeName="Tabelle45">
    <tabColor theme="4" tint="0.79998168889431442"/>
  </sheetPr>
  <dimension ref="A1:K28"/>
  <sheetViews>
    <sheetView topLeftCell="A2" workbookViewId="0">
      <selection activeCell="B2" sqref="B2:J2"/>
    </sheetView>
  </sheetViews>
  <sheetFormatPr baseColWidth="10" defaultRowHeight="15.75" x14ac:dyDescent="0.25"/>
  <cols>
    <col min="2" max="10" width="5.875" customWidth="1"/>
    <col min="11" max="11" width="0" hidden="1" customWidth="1"/>
  </cols>
  <sheetData>
    <row r="1" spans="1:11" ht="51" hidden="1" x14ac:dyDescent="0.25">
      <c r="A1" s="3" t="s">
        <v>86</v>
      </c>
      <c r="B1" s="3" t="s">
        <v>88</v>
      </c>
      <c r="C1" s="3" t="s">
        <v>88</v>
      </c>
      <c r="D1" s="3" t="s">
        <v>88</v>
      </c>
      <c r="E1" s="3" t="s">
        <v>88</v>
      </c>
      <c r="F1" s="3" t="s">
        <v>88</v>
      </c>
      <c r="G1" s="3" t="s">
        <v>88</v>
      </c>
      <c r="H1" s="3" t="s">
        <v>88</v>
      </c>
      <c r="I1" s="3" t="s">
        <v>88</v>
      </c>
      <c r="J1" s="3" t="s">
        <v>88</v>
      </c>
    </row>
    <row r="2" spans="1:11" ht="134.25" customHeight="1" x14ac:dyDescent="0.25">
      <c r="A2" s="50" t="s">
        <v>1</v>
      </c>
      <c r="B2" s="53" t="s">
        <v>1201</v>
      </c>
      <c r="C2" s="43" t="s">
        <v>1208</v>
      </c>
      <c r="D2" s="43" t="s">
        <v>1209</v>
      </c>
      <c r="E2" s="53" t="s">
        <v>1202</v>
      </c>
      <c r="F2" s="53" t="s">
        <v>1203</v>
      </c>
      <c r="G2" s="53" t="s">
        <v>1204</v>
      </c>
      <c r="H2" s="53" t="s">
        <v>1205</v>
      </c>
      <c r="I2" s="54" t="s">
        <v>1206</v>
      </c>
      <c r="J2" s="53" t="s">
        <v>1207</v>
      </c>
      <c r="K2" s="63" t="s">
        <v>114</v>
      </c>
    </row>
    <row r="3" spans="1:11" ht="25.5" x14ac:dyDescent="0.25">
      <c r="A3" s="6" t="s">
        <v>12</v>
      </c>
      <c r="B3" s="42" t="str">
        <f>VLOOKUP(Tabelle39[[#This Row],[Potenzialtrennung]],Dropdown!$A$2:$D$4,4,FALSE)</f>
        <v>(X)</v>
      </c>
      <c r="C3" s="42" t="str">
        <f>VLOOKUP(Tabelle39[[#This Row],[Potenzial positiv]],Dropdown!$A$2:$D$4,4,FALSE)</f>
        <v>X</v>
      </c>
      <c r="D3" s="42" t="str">
        <f>VLOOKUP(Tabelle39[[#This Row],[Potenzial negativ]],Dropdown!$A$2:$D$4,4,FALSE)</f>
        <v>X</v>
      </c>
      <c r="E3" s="42" t="str">
        <f>VLOOKUP(Tabelle39[[#This Row],[Schaltdauer]],Dropdown!$A$2:$D$4,4,FALSE)</f>
        <v>(X)</v>
      </c>
      <c r="F3" s="42" t="str">
        <f>VLOOKUP(Tabelle39[[#This Row],[Verschiebedauer]],Dropdown!$A$2:$D$4,4,FALSE)</f>
        <v>(X)</v>
      </c>
      <c r="G3" s="42" t="str">
        <f>VLOOKUP(Tabelle39[[#This Row],[Schalthäufigkeit]],Dropdown!$A$2:$D$4,4,FALSE)</f>
        <v>(X)</v>
      </c>
      <c r="H3" s="42" t="str">
        <f>VLOOKUP(Tabelle39[[#This Row],[Investitionsausgaben]],Dropdown!$A$2:$D$4,4,FALSE)</f>
        <v>-</v>
      </c>
      <c r="I3" s="42" t="str">
        <f>VLOOKUP(Tabelle39[[#This Row],[fixe Kosten]],Dropdown!$A$2:$D$4,4,FALSE)</f>
        <v>-</v>
      </c>
      <c r="J3" s="42" t="str">
        <f>VLOOKUP(Tabelle39[[#This Row],[variable Kosten]],Dropdown!$A$2:$D$4,4,FALSE)</f>
        <v>-</v>
      </c>
      <c r="K3" s="42" t="e">
        <f>VLOOKUP(Tabelle39[[#This Row],[Quellen Flexibilitätsparameter]],Dropdown!$A$2:$D$4,4,FALSE)</f>
        <v>#N/A</v>
      </c>
    </row>
    <row r="4" spans="1:11" ht="38.25" x14ac:dyDescent="0.25">
      <c r="A4" s="6" t="s">
        <v>347</v>
      </c>
      <c r="B4" s="42" t="str">
        <f>VLOOKUP(Tabelle39[[#This Row],[Potenzialtrennung]],Dropdown!$A$2:$D$4,4,FALSE)</f>
        <v>X</v>
      </c>
      <c r="C4" s="42" t="str">
        <f>VLOOKUP(Tabelle39[[#This Row],[Potenzial positiv]],Dropdown!$A$2:$D$4,4,FALSE)</f>
        <v>X</v>
      </c>
      <c r="D4" s="42" t="str">
        <f>VLOOKUP(Tabelle39[[#This Row],[Potenzial negativ]],Dropdown!$A$2:$D$4,4,FALSE)</f>
        <v>X</v>
      </c>
      <c r="E4" s="42" t="str">
        <f>VLOOKUP(Tabelle39[[#This Row],[Schaltdauer]],Dropdown!$A$2:$D$4,4,FALSE)</f>
        <v>(X)</v>
      </c>
      <c r="F4" s="42" t="str">
        <f>VLOOKUP(Tabelle39[[#This Row],[Verschiebedauer]],Dropdown!$A$2:$D$4,4,FALSE)</f>
        <v>X</v>
      </c>
      <c r="G4" s="42" t="str">
        <f>VLOOKUP(Tabelle39[[#This Row],[Schalthäufigkeit]],Dropdown!$A$2:$D$4,4,FALSE)</f>
        <v>(X)</v>
      </c>
      <c r="H4" s="42" t="str">
        <f>VLOOKUP(Tabelle39[[#This Row],[Investitionsausgaben]],Dropdown!$A$2:$D$4,4,FALSE)</f>
        <v>-</v>
      </c>
      <c r="I4" s="42" t="str">
        <f>VLOOKUP(Tabelle39[[#This Row],[fixe Kosten]],Dropdown!$A$2:$D$4,4,FALSE)</f>
        <v>-</v>
      </c>
      <c r="J4" s="42" t="str">
        <f>VLOOKUP(Tabelle39[[#This Row],[variable Kosten]],Dropdown!$A$2:$D$4,4,FALSE)</f>
        <v>-</v>
      </c>
      <c r="K4" s="8" t="s">
        <v>1199</v>
      </c>
    </row>
    <row r="5" spans="1:11" ht="25.5" x14ac:dyDescent="0.25">
      <c r="A5" s="6" t="s">
        <v>348</v>
      </c>
      <c r="B5" s="42" t="str">
        <f>VLOOKUP(Tabelle39[[#This Row],[Potenzialtrennung]],Dropdown!$A$2:$D$4,4,FALSE)</f>
        <v>X</v>
      </c>
      <c r="C5" s="42" t="str">
        <f>VLOOKUP(Tabelle39[[#This Row],[Potenzial positiv]],Dropdown!$A$2:$D$4,4,FALSE)</f>
        <v>X</v>
      </c>
      <c r="D5" s="42" t="str">
        <f>VLOOKUP(Tabelle39[[#This Row],[Potenzial negativ]],Dropdown!$A$2:$D$4,4,FALSE)</f>
        <v>X</v>
      </c>
      <c r="E5" s="42" t="str">
        <f>VLOOKUP(Tabelle39[[#This Row],[Schaltdauer]],Dropdown!$A$2:$D$4,4,FALSE)</f>
        <v>-</v>
      </c>
      <c r="F5" s="42" t="str">
        <f>VLOOKUP(Tabelle39[[#This Row],[Verschiebedauer]],Dropdown!$A$2:$D$4,4,FALSE)</f>
        <v>-</v>
      </c>
      <c r="G5" s="42" t="str">
        <f>VLOOKUP(Tabelle39[[#This Row],[Schalthäufigkeit]],Dropdown!$A$2:$D$4,4,FALSE)</f>
        <v>-</v>
      </c>
      <c r="H5" s="42" t="str">
        <f>VLOOKUP(Tabelle39[[#This Row],[Investitionsausgaben]],Dropdown!$A$2:$D$4,4,FALSE)</f>
        <v>-</v>
      </c>
      <c r="I5" s="42" t="str">
        <f>VLOOKUP(Tabelle39[[#This Row],[fixe Kosten]],Dropdown!$A$2:$D$4,4,FALSE)</f>
        <v>-</v>
      </c>
      <c r="J5" s="42" t="str">
        <f>VLOOKUP(Tabelle39[[#This Row],[variable Kosten]],Dropdown!$A$2:$D$4,4,FALSE)</f>
        <v>-</v>
      </c>
      <c r="K5" s="8" t="s">
        <v>377</v>
      </c>
    </row>
    <row r="6" spans="1:11" ht="25.5" x14ac:dyDescent="0.25">
      <c r="A6" s="6" t="s">
        <v>183</v>
      </c>
      <c r="B6" s="42" t="str">
        <f>VLOOKUP(Tabelle39[[#This Row],[Potenzialtrennung]],Dropdown!$A$2:$D$4,4,FALSE)</f>
        <v>(X)</v>
      </c>
      <c r="C6" s="42" t="str">
        <f>VLOOKUP(Tabelle39[[#This Row],[Potenzial positiv]],Dropdown!$A$2:$D$4,4,FALSE)</f>
        <v>X</v>
      </c>
      <c r="D6" s="42" t="str">
        <f>VLOOKUP(Tabelle39[[#This Row],[Potenzial negativ]],Dropdown!$A$2:$D$4,4,FALSE)</f>
        <v>X</v>
      </c>
      <c r="E6" s="42" t="str">
        <f>VLOOKUP(Tabelle39[[#This Row],[Schaltdauer]],Dropdown!$A$2:$D$4,4,FALSE)</f>
        <v>-</v>
      </c>
      <c r="F6" s="42" t="str">
        <f>VLOOKUP(Tabelle39[[#This Row],[Verschiebedauer]],Dropdown!$A$2:$D$4,4,FALSE)</f>
        <v>(X)</v>
      </c>
      <c r="G6" s="42" t="str">
        <f>VLOOKUP(Tabelle39[[#This Row],[Schalthäufigkeit]],Dropdown!$A$2:$D$4,4,FALSE)</f>
        <v>(X)</v>
      </c>
      <c r="H6" s="42" t="str">
        <f>VLOOKUP(Tabelle39[[#This Row],[Investitionsausgaben]],Dropdown!$A$2:$D$4,4,FALSE)</f>
        <v>X</v>
      </c>
      <c r="I6" s="42" t="str">
        <f>VLOOKUP(Tabelle39[[#This Row],[fixe Kosten]],Dropdown!$A$2:$D$4,4,FALSE)</f>
        <v>-</v>
      </c>
      <c r="J6" s="42" t="str">
        <f>VLOOKUP(Tabelle39[[#This Row],[variable Kosten]],Dropdown!$A$2:$D$4,4,FALSE)</f>
        <v>-</v>
      </c>
      <c r="K6" s="8" t="s">
        <v>310</v>
      </c>
    </row>
    <row r="7" spans="1:11" ht="38.25" x14ac:dyDescent="0.25">
      <c r="A7" s="6" t="s">
        <v>258</v>
      </c>
      <c r="B7" s="42" t="str">
        <f>VLOOKUP(Tabelle39[[#This Row],[Potenzialtrennung]],Dropdown!$A$2:$D$4,4,FALSE)</f>
        <v>X</v>
      </c>
      <c r="C7" s="42" t="str">
        <f>VLOOKUP(Tabelle39[[#This Row],[Potenzial positiv]],Dropdown!$A$2:$D$4,4,FALSE)</f>
        <v>X</v>
      </c>
      <c r="D7" s="42" t="str">
        <f>VLOOKUP(Tabelle39[[#This Row],[Potenzial negativ]],Dropdown!$A$2:$D$4,4,FALSE)</f>
        <v>X</v>
      </c>
      <c r="E7" s="42" t="str">
        <f>VLOOKUP(Tabelle39[[#This Row],[Schaltdauer]],Dropdown!$A$2:$D$4,4,FALSE)</f>
        <v>X</v>
      </c>
      <c r="F7" s="42" t="str">
        <f>VLOOKUP(Tabelle39[[#This Row],[Verschiebedauer]],Dropdown!$A$2:$D$4,4,FALSE)</f>
        <v>X</v>
      </c>
      <c r="G7" s="42" t="str">
        <f>VLOOKUP(Tabelle39[[#This Row],[Schalthäufigkeit]],Dropdown!$A$2:$D$4,4,FALSE)</f>
        <v>X</v>
      </c>
      <c r="H7" s="42" t="str">
        <f>VLOOKUP(Tabelle39[[#This Row],[Investitionsausgaben]],Dropdown!$A$2:$D$4,4,FALSE)</f>
        <v>-</v>
      </c>
      <c r="I7" s="42" t="str">
        <f>VLOOKUP(Tabelle39[[#This Row],[fixe Kosten]],Dropdown!$A$2:$D$4,4,FALSE)</f>
        <v>-</v>
      </c>
      <c r="J7" s="42" t="str">
        <f>VLOOKUP(Tabelle39[[#This Row],[variable Kosten]],Dropdown!$A$2:$D$4,4,FALSE)</f>
        <v>X</v>
      </c>
      <c r="K7" s="8" t="s">
        <v>254</v>
      </c>
    </row>
    <row r="8" spans="1:11" ht="25.5" x14ac:dyDescent="0.25">
      <c r="A8" s="18" t="s">
        <v>355</v>
      </c>
      <c r="B8" s="42" t="str">
        <f>VLOOKUP(Tabelle39[[#This Row],[Potenzialtrennung]],Dropdown!$A$2:$D$4,4,FALSE)</f>
        <v>X</v>
      </c>
      <c r="C8" s="42" t="str">
        <f>VLOOKUP(Tabelle39[[#This Row],[Potenzial positiv]],Dropdown!$A$2:$D$4,4,FALSE)</f>
        <v>X</v>
      </c>
      <c r="D8" s="42" t="str">
        <f>VLOOKUP(Tabelle39[[#This Row],[Potenzial negativ]],Dropdown!$A$2:$D$4,4,FALSE)</f>
        <v>X</v>
      </c>
      <c r="E8" s="42" t="str">
        <f>VLOOKUP(Tabelle39[[#This Row],[Schaltdauer]],Dropdown!$A$2:$D$4,4,FALSE)</f>
        <v>-</v>
      </c>
      <c r="F8" s="42" t="str">
        <f>VLOOKUP(Tabelle39[[#This Row],[Verschiebedauer]],Dropdown!$A$2:$D$4,4,FALSE)</f>
        <v>X</v>
      </c>
      <c r="G8" s="42" t="str">
        <f>VLOOKUP(Tabelle39[[#This Row],[Schalthäufigkeit]],Dropdown!$A$2:$D$4,4,FALSE)</f>
        <v>-</v>
      </c>
      <c r="H8" s="42" t="str">
        <f>VLOOKUP(Tabelle39[[#This Row],[Investitionsausgaben]],Dropdown!$A$2:$D$4,4,FALSE)</f>
        <v>-</v>
      </c>
      <c r="I8" s="42" t="str">
        <f>VLOOKUP(Tabelle39[[#This Row],[fixe Kosten]],Dropdown!$A$2:$D$4,4,FALSE)</f>
        <v>-</v>
      </c>
      <c r="J8" s="42" t="str">
        <f>VLOOKUP(Tabelle39[[#This Row],[variable Kosten]],Dropdown!$A$2:$D$4,4,FALSE)</f>
        <v>-</v>
      </c>
      <c r="K8" s="8" t="s">
        <v>367</v>
      </c>
    </row>
    <row r="9" spans="1:11" ht="25.5" x14ac:dyDescent="0.25">
      <c r="A9" s="18" t="s">
        <v>431</v>
      </c>
      <c r="B9" s="42" t="str">
        <f>VLOOKUP(Tabelle39[[#This Row],[Potenzialtrennung]],Dropdown!$A$2:$D$4,4,FALSE)</f>
        <v>X</v>
      </c>
      <c r="C9" s="42" t="str">
        <f>VLOOKUP(Tabelle39[[#This Row],[Potenzial positiv]],Dropdown!$A$2:$D$4,4,FALSE)</f>
        <v>X</v>
      </c>
      <c r="D9" s="42" t="str">
        <f>VLOOKUP(Tabelle39[[#This Row],[Potenzial negativ]],Dropdown!$A$2:$D$4,4,FALSE)</f>
        <v>X</v>
      </c>
      <c r="E9" s="42" t="str">
        <f>VLOOKUP(Tabelle39[[#This Row],[Schaltdauer]],Dropdown!$A$2:$D$4,4,FALSE)</f>
        <v>-</v>
      </c>
      <c r="F9" s="42" t="str">
        <f>VLOOKUP(Tabelle39[[#This Row],[Verschiebedauer]],Dropdown!$A$2:$D$4,4,FALSE)</f>
        <v>X</v>
      </c>
      <c r="G9" s="42" t="str">
        <f>VLOOKUP(Tabelle39[[#This Row],[Schalthäufigkeit]],Dropdown!$A$2:$D$4,4,FALSE)</f>
        <v>(X)</v>
      </c>
      <c r="H9" s="42" t="str">
        <f>VLOOKUP(Tabelle39[[#This Row],[Investitionsausgaben]],Dropdown!$A$2:$D$4,4,FALSE)</f>
        <v>-</v>
      </c>
      <c r="I9" s="42" t="str">
        <f>VLOOKUP(Tabelle39[[#This Row],[fixe Kosten]],Dropdown!$A$2:$D$4,4,FALSE)</f>
        <v>-</v>
      </c>
      <c r="J9" s="42" t="str">
        <f>VLOOKUP(Tabelle39[[#This Row],[variable Kosten]],Dropdown!$A$2:$D$4,4,FALSE)</f>
        <v>(X)</v>
      </c>
      <c r="K9" s="8" t="s">
        <v>427</v>
      </c>
    </row>
    <row r="10" spans="1:11" x14ac:dyDescent="0.25">
      <c r="A10" s="6" t="s">
        <v>410</v>
      </c>
      <c r="B10" s="42" t="str">
        <f>VLOOKUP(Tabelle39[[#This Row],[Potenzialtrennung]],Dropdown!$A$2:$D$4,4,FALSE)</f>
        <v>X</v>
      </c>
      <c r="C10" s="42" t="str">
        <f>VLOOKUP(Tabelle39[[#This Row],[Potenzial positiv]],Dropdown!$A$2:$D$4,4,FALSE)</f>
        <v>X</v>
      </c>
      <c r="D10" s="42" t="str">
        <f>VLOOKUP(Tabelle39[[#This Row],[Potenzial negativ]],Dropdown!$A$2:$D$4,4,FALSE)</f>
        <v>X</v>
      </c>
      <c r="E10" s="42" t="str">
        <f>VLOOKUP(Tabelle39[[#This Row],[Schaltdauer]],Dropdown!$A$2:$D$4,4,FALSE)</f>
        <v>X</v>
      </c>
      <c r="F10" s="42" t="str">
        <f>VLOOKUP(Tabelle39[[#This Row],[Verschiebedauer]],Dropdown!$A$2:$D$4,4,FALSE)</f>
        <v>X</v>
      </c>
      <c r="G10" s="42" t="str">
        <f>VLOOKUP(Tabelle39[[#This Row],[Schalthäufigkeit]],Dropdown!$A$2:$D$4,4,FALSE)</f>
        <v>X</v>
      </c>
      <c r="H10" s="42" t="str">
        <f>VLOOKUP(Tabelle39[[#This Row],[Investitionsausgaben]],Dropdown!$A$2:$D$4,4,FALSE)</f>
        <v>X</v>
      </c>
      <c r="I10" s="42" t="str">
        <f>VLOOKUP(Tabelle39[[#This Row],[fixe Kosten]],Dropdown!$A$2:$D$4,4,FALSE)</f>
        <v>X</v>
      </c>
      <c r="J10" s="42" t="str">
        <f>VLOOKUP(Tabelle39[[#This Row],[variable Kosten]],Dropdown!$A$2:$D$4,4,FALSE)</f>
        <v>X</v>
      </c>
      <c r="K10" s="8" t="s">
        <v>286</v>
      </c>
    </row>
    <row r="11" spans="1:11" x14ac:dyDescent="0.25">
      <c r="A11" s="6" t="s">
        <v>393</v>
      </c>
      <c r="B11" s="42" t="str">
        <f>VLOOKUP(Tabelle39[[#This Row],[Potenzialtrennung]],Dropdown!$A$2:$D$4,4,FALSE)</f>
        <v>-</v>
      </c>
      <c r="C11" s="42" t="str">
        <f>VLOOKUP(Tabelle39[[#This Row],[Potenzial positiv]],Dropdown!$A$2:$D$4,4,FALSE)</f>
        <v>X</v>
      </c>
      <c r="D11" s="42" t="str">
        <f>VLOOKUP(Tabelle39[[#This Row],[Potenzial negativ]],Dropdown!$A$2:$D$4,4,FALSE)</f>
        <v>X</v>
      </c>
      <c r="E11" s="42" t="str">
        <f>VLOOKUP(Tabelle39[[#This Row],[Schaltdauer]],Dropdown!$A$2:$D$4,4,FALSE)</f>
        <v>-</v>
      </c>
      <c r="F11" s="42" t="str">
        <f>VLOOKUP(Tabelle39[[#This Row],[Verschiebedauer]],Dropdown!$A$2:$D$4,4,FALSE)</f>
        <v>-</v>
      </c>
      <c r="G11" s="42" t="str">
        <f>VLOOKUP(Tabelle39[[#This Row],[Schalthäufigkeit]],Dropdown!$A$2:$D$4,4,FALSE)</f>
        <v>-</v>
      </c>
      <c r="H11" s="42" t="str">
        <f>VLOOKUP(Tabelle39[[#This Row],[Investitionsausgaben]],Dropdown!$A$2:$D$4,4,FALSE)</f>
        <v>X</v>
      </c>
      <c r="I11" s="42" t="str">
        <f>VLOOKUP(Tabelle39[[#This Row],[fixe Kosten]],Dropdown!$A$2:$D$4,4,FALSE)</f>
        <v>X</v>
      </c>
      <c r="J11" s="42" t="str">
        <f>VLOOKUP(Tabelle39[[#This Row],[variable Kosten]],Dropdown!$A$2:$D$4,4,FALSE)</f>
        <v>X</v>
      </c>
      <c r="K11" s="8" t="s">
        <v>398</v>
      </c>
    </row>
    <row r="12" spans="1:11" ht="51" x14ac:dyDescent="0.25">
      <c r="A12" s="21" t="s">
        <v>380</v>
      </c>
      <c r="B12" s="42" t="str">
        <f>VLOOKUP(Tabelle39[[#This Row],[Potenzialtrennung]],Dropdown!$A$2:$D$4,4,FALSE)</f>
        <v>-</v>
      </c>
      <c r="C12" s="42" t="str">
        <f>VLOOKUP(Tabelle39[[#This Row],[Potenzial positiv]],Dropdown!$A$2:$D$4,4,FALSE)</f>
        <v>X</v>
      </c>
      <c r="D12" s="42" t="str">
        <f>VLOOKUP(Tabelle39[[#This Row],[Potenzial negativ]],Dropdown!$A$2:$D$4,4,FALSE)</f>
        <v>X</v>
      </c>
      <c r="E12" s="42" t="str">
        <f>VLOOKUP(Tabelle39[[#This Row],[Schaltdauer]],Dropdown!$A$2:$D$4,4,FALSE)</f>
        <v>-</v>
      </c>
      <c r="F12" s="42" t="str">
        <f>VLOOKUP(Tabelle39[[#This Row],[Verschiebedauer]],Dropdown!$A$2:$D$4,4,FALSE)</f>
        <v>X</v>
      </c>
      <c r="G12" s="42" t="str">
        <f>VLOOKUP(Tabelle39[[#This Row],[Schalthäufigkeit]],Dropdown!$A$2:$D$4,4,FALSE)</f>
        <v>X</v>
      </c>
      <c r="H12" s="42" t="str">
        <f>VLOOKUP(Tabelle39[[#This Row],[Investitionsausgaben]],Dropdown!$A$2:$D$4,4,FALSE)</f>
        <v>X</v>
      </c>
      <c r="I12" s="42" t="str">
        <f>VLOOKUP(Tabelle39[[#This Row],[fixe Kosten]],Dropdown!$A$2:$D$4,4,FALSE)</f>
        <v>X</v>
      </c>
      <c r="J12" s="42" t="str">
        <f>VLOOKUP(Tabelle39[[#This Row],[variable Kosten]],Dropdown!$A$2:$D$4,4,FALSE)</f>
        <v>X</v>
      </c>
      <c r="K12" s="8" t="s">
        <v>385</v>
      </c>
    </row>
    <row r="13" spans="1:11" ht="51" x14ac:dyDescent="0.25">
      <c r="A13" s="6" t="s">
        <v>95</v>
      </c>
      <c r="B13" s="42" t="str">
        <f>VLOOKUP(Tabelle39[[#This Row],[Potenzialtrennung]],Dropdown!$A$2:$D$4,4,FALSE)</f>
        <v>(X)</v>
      </c>
      <c r="C13" s="42" t="str">
        <f>VLOOKUP(Tabelle39[[#This Row],[Potenzial positiv]],Dropdown!$A$2:$D$4,4,FALSE)</f>
        <v>X</v>
      </c>
      <c r="D13" s="42" t="str">
        <f>VLOOKUP(Tabelle39[[#This Row],[Potenzial negativ]],Dropdown!$A$2:$D$4,4,FALSE)</f>
        <v>X</v>
      </c>
      <c r="E13" s="42" t="str">
        <f>VLOOKUP(Tabelle39[[#This Row],[Schaltdauer]],Dropdown!$A$2:$D$4,4,FALSE)</f>
        <v>X</v>
      </c>
      <c r="F13" s="42" t="str">
        <f>VLOOKUP(Tabelle39[[#This Row],[Verschiebedauer]],Dropdown!$A$2:$D$4,4,FALSE)</f>
        <v>-</v>
      </c>
      <c r="G13" s="42" t="str">
        <f>VLOOKUP(Tabelle39[[#This Row],[Schalthäufigkeit]],Dropdown!$A$2:$D$4,4,FALSE)</f>
        <v>X</v>
      </c>
      <c r="H13" s="42" t="str">
        <f>VLOOKUP(Tabelle39[[#This Row],[Investitionsausgaben]],Dropdown!$A$2:$D$4,4,FALSE)</f>
        <v>X</v>
      </c>
      <c r="I13" s="42" t="str">
        <f>VLOOKUP(Tabelle39[[#This Row],[fixe Kosten]],Dropdown!$A$2:$D$4,4,FALSE)</f>
        <v>(X)</v>
      </c>
      <c r="J13" s="42" t="str">
        <f>VLOOKUP(Tabelle39[[#This Row],[variable Kosten]],Dropdown!$A$2:$D$4,4,FALSE)</f>
        <v>-</v>
      </c>
      <c r="K13" s="8" t="s">
        <v>121</v>
      </c>
    </row>
    <row r="14" spans="1:11" ht="63.75" x14ac:dyDescent="0.25">
      <c r="A14" s="6" t="s">
        <v>1709</v>
      </c>
      <c r="B14" s="42" t="str">
        <f>VLOOKUP(Tabelle39[[#This Row],[Potenzialtrennung]],Dropdown!$A$2:$D$4,4,FALSE)</f>
        <v>(X)</v>
      </c>
      <c r="C14" s="42" t="str">
        <f>VLOOKUP(Tabelle39[[#This Row],[Potenzial positiv]],Dropdown!$A$2:$D$4,4,FALSE)</f>
        <v>X</v>
      </c>
      <c r="D14" s="42" t="str">
        <f>VLOOKUP(Tabelle39[[#This Row],[Potenzial negativ]],Dropdown!$A$2:$D$4,4,FALSE)</f>
        <v>X</v>
      </c>
      <c r="E14" s="42" t="str">
        <f>VLOOKUP(Tabelle39[[#This Row],[Schaltdauer]],Dropdown!$A$2:$D$4,4,FALSE)</f>
        <v>X</v>
      </c>
      <c r="F14" s="42" t="str">
        <f>VLOOKUP(Tabelle39[[#This Row],[Verschiebedauer]],Dropdown!$A$2:$D$4,4,FALSE)</f>
        <v>X</v>
      </c>
      <c r="G14" s="42" t="str">
        <f>VLOOKUP(Tabelle39[[#This Row],[Schalthäufigkeit]],Dropdown!$A$2:$D$4,4,FALSE)</f>
        <v>X</v>
      </c>
      <c r="H14" s="42" t="str">
        <f>VLOOKUP(Tabelle39[[#This Row],[Investitionsausgaben]],Dropdown!$A$2:$D$4,4,FALSE)</f>
        <v>-</v>
      </c>
      <c r="I14" s="42" t="str">
        <f>VLOOKUP(Tabelle39[[#This Row],[fixe Kosten]],Dropdown!$A$2:$D$4,4,FALSE)</f>
        <v>-</v>
      </c>
      <c r="J14" s="42" t="str">
        <f>VLOOKUP(Tabelle39[[#This Row],[variable Kosten]],Dropdown!$A$2:$D$4,4,FALSE)</f>
        <v>-</v>
      </c>
      <c r="K14" s="8" t="s">
        <v>216</v>
      </c>
    </row>
    <row r="15" spans="1:11" ht="25.5" x14ac:dyDescent="0.25">
      <c r="A15" s="6" t="s">
        <v>179</v>
      </c>
      <c r="B15" s="42" t="str">
        <f>VLOOKUP(Tabelle39[[#This Row],[Potenzialtrennung]],Dropdown!$A$2:$D$4,4,FALSE)</f>
        <v>X</v>
      </c>
      <c r="C15" s="42" t="str">
        <f>VLOOKUP(Tabelle39[[#This Row],[Potenzial positiv]],Dropdown!$A$2:$D$4,4,FALSE)</f>
        <v>X</v>
      </c>
      <c r="D15" s="42" t="str">
        <f>VLOOKUP(Tabelle39[[#This Row],[Potenzial negativ]],Dropdown!$A$2:$D$4,4,FALSE)</f>
        <v>X</v>
      </c>
      <c r="E15" s="42" t="str">
        <f>VLOOKUP(Tabelle39[[#This Row],[Schaltdauer]],Dropdown!$A$2:$D$4,4,FALSE)</f>
        <v>-</v>
      </c>
      <c r="F15" s="42" t="str">
        <f>VLOOKUP(Tabelle39[[#This Row],[Verschiebedauer]],Dropdown!$A$2:$D$4,4,FALSE)</f>
        <v>X</v>
      </c>
      <c r="G15" s="42" t="str">
        <f>VLOOKUP(Tabelle39[[#This Row],[Schalthäufigkeit]],Dropdown!$A$2:$D$4,4,FALSE)</f>
        <v>(X)</v>
      </c>
      <c r="H15" s="42" t="str">
        <f>VLOOKUP(Tabelle39[[#This Row],[Investitionsausgaben]],Dropdown!$A$2:$D$4,4,FALSE)</f>
        <v>-</v>
      </c>
      <c r="I15" s="42" t="str">
        <f>VLOOKUP(Tabelle39[[#This Row],[fixe Kosten]],Dropdown!$A$2:$D$4,4,FALSE)</f>
        <v>-</v>
      </c>
      <c r="J15" s="42" t="str">
        <f>VLOOKUP(Tabelle39[[#This Row],[variable Kosten]],Dropdown!$A$2:$D$4,4,FALSE)</f>
        <v>-</v>
      </c>
      <c r="K15" s="8" t="s">
        <v>322</v>
      </c>
    </row>
    <row r="16" spans="1:11" x14ac:dyDescent="0.25">
      <c r="A16" s="6" t="s">
        <v>341</v>
      </c>
      <c r="B16" s="42" t="str">
        <f>VLOOKUP(Tabelle39[[#This Row],[Potenzialtrennung]],Dropdown!$A$2:$D$4,4,FALSE)</f>
        <v>X</v>
      </c>
      <c r="C16" s="42" t="str">
        <f>VLOOKUP(Tabelle39[[#This Row],[Potenzial positiv]],Dropdown!$A$2:$D$4,4,FALSE)</f>
        <v>X</v>
      </c>
      <c r="D16" s="42" t="str">
        <f>VLOOKUP(Tabelle39[[#This Row],[Potenzial negativ]],Dropdown!$A$2:$D$4,4,FALSE)</f>
        <v>X</v>
      </c>
      <c r="E16" s="42" t="str">
        <f>VLOOKUP(Tabelle39[[#This Row],[Schaltdauer]],Dropdown!$A$2:$D$4,4,FALSE)</f>
        <v>X</v>
      </c>
      <c r="F16" s="42" t="str">
        <f>VLOOKUP(Tabelle39[[#This Row],[Verschiebedauer]],Dropdown!$A$2:$D$4,4,FALSE)</f>
        <v>X</v>
      </c>
      <c r="G16" s="42" t="str">
        <f>VLOOKUP(Tabelle39[[#This Row],[Schalthäufigkeit]],Dropdown!$A$2:$D$4,4,FALSE)</f>
        <v>X</v>
      </c>
      <c r="H16" s="42" t="str">
        <f>VLOOKUP(Tabelle39[[#This Row],[Investitionsausgaben]],Dropdown!$A$2:$D$4,4,FALSE)</f>
        <v>X</v>
      </c>
      <c r="I16" s="42" t="str">
        <f>VLOOKUP(Tabelle39[[#This Row],[fixe Kosten]],Dropdown!$A$2:$D$4,4,FALSE)</f>
        <v>X</v>
      </c>
      <c r="J16" s="42" t="str">
        <f>VLOOKUP(Tabelle39[[#This Row],[variable Kosten]],Dropdown!$A$2:$D$4,4,FALSE)</f>
        <v>X</v>
      </c>
      <c r="K16" s="8" t="s">
        <v>444</v>
      </c>
    </row>
    <row r="17" spans="1:11" ht="25.5" x14ac:dyDescent="0.25">
      <c r="A17" s="6" t="s">
        <v>22</v>
      </c>
      <c r="B17" s="42" t="str">
        <f>VLOOKUP(Tabelle39[[#This Row],[Potenzialtrennung]],Dropdown!$A$2:$D$4,4,FALSE)</f>
        <v>X</v>
      </c>
      <c r="C17" s="42" t="str">
        <f>VLOOKUP(Tabelle39[[#This Row],[Potenzial positiv]],Dropdown!$A$2:$D$4,4,FALSE)</f>
        <v>X</v>
      </c>
      <c r="D17" s="42" t="str">
        <f>VLOOKUP(Tabelle39[[#This Row],[Potenzial negativ]],Dropdown!$A$2:$D$4,4,FALSE)</f>
        <v>X</v>
      </c>
      <c r="E17" s="42" t="str">
        <f>VLOOKUP(Tabelle39[[#This Row],[Schaltdauer]],Dropdown!$A$2:$D$4,4,FALSE)</f>
        <v>X</v>
      </c>
      <c r="F17" s="42" t="str">
        <f>VLOOKUP(Tabelle39[[#This Row],[Verschiebedauer]],Dropdown!$A$2:$D$4,4,FALSE)</f>
        <v>X</v>
      </c>
      <c r="G17" s="42" t="str">
        <f>VLOOKUP(Tabelle39[[#This Row],[Schalthäufigkeit]],Dropdown!$A$2:$D$4,4,FALSE)</f>
        <v>X</v>
      </c>
      <c r="H17" s="42" t="str">
        <f>VLOOKUP(Tabelle39[[#This Row],[Investitionsausgaben]],Dropdown!$A$2:$D$4,4,FALSE)</f>
        <v>X</v>
      </c>
      <c r="I17" s="42" t="str">
        <f>VLOOKUP(Tabelle39[[#This Row],[fixe Kosten]],Dropdown!$A$2:$D$4,4,FALSE)</f>
        <v>X</v>
      </c>
      <c r="J17" s="42" t="str">
        <f>VLOOKUP(Tabelle39[[#This Row],[variable Kosten]],Dropdown!$A$2:$D$4,4,FALSE)</f>
        <v>X</v>
      </c>
      <c r="K17" s="8" t="s">
        <v>242</v>
      </c>
    </row>
    <row r="18" spans="1:11" ht="38.25" x14ac:dyDescent="0.25">
      <c r="A18" s="6" t="s">
        <v>188</v>
      </c>
      <c r="B18" s="42" t="str">
        <f>VLOOKUP(Tabelle39[[#This Row],[Potenzialtrennung]],Dropdown!$A$2:$D$4,4,FALSE)</f>
        <v>X</v>
      </c>
      <c r="C18" s="42" t="str">
        <f>VLOOKUP(Tabelle39[[#This Row],[Potenzial positiv]],Dropdown!$A$2:$D$4,4,FALSE)</f>
        <v>X</v>
      </c>
      <c r="D18" s="42" t="str">
        <f>VLOOKUP(Tabelle39[[#This Row],[Potenzial negativ]],Dropdown!$A$2:$D$4,4,FALSE)</f>
        <v>X</v>
      </c>
      <c r="E18" s="42" t="str">
        <f>VLOOKUP(Tabelle39[[#This Row],[Schaltdauer]],Dropdown!$A$2:$D$4,4,FALSE)</f>
        <v>(X)</v>
      </c>
      <c r="F18" s="42" t="str">
        <f>VLOOKUP(Tabelle39[[#This Row],[Verschiebedauer]],Dropdown!$A$2:$D$4,4,FALSE)</f>
        <v>-</v>
      </c>
      <c r="G18" s="42" t="str">
        <f>VLOOKUP(Tabelle39[[#This Row],[Schalthäufigkeit]],Dropdown!$A$2:$D$4,4,FALSE)</f>
        <v>-</v>
      </c>
      <c r="H18" s="42" t="str">
        <f>VLOOKUP(Tabelle39[[#This Row],[Investitionsausgaben]],Dropdown!$A$2:$D$4,4,FALSE)</f>
        <v>-</v>
      </c>
      <c r="I18" s="42" t="str">
        <f>VLOOKUP(Tabelle39[[#This Row],[fixe Kosten]],Dropdown!$A$2:$D$4,4,FALSE)</f>
        <v>-</v>
      </c>
      <c r="J18" s="42" t="str">
        <f>VLOOKUP(Tabelle39[[#This Row],[variable Kosten]],Dropdown!$A$2:$D$4,4,FALSE)</f>
        <v>-</v>
      </c>
      <c r="K18" s="8" t="s">
        <v>333</v>
      </c>
    </row>
    <row r="19" spans="1:11" ht="38.25" x14ac:dyDescent="0.25">
      <c r="A19" s="6" t="s">
        <v>133</v>
      </c>
      <c r="B19" s="42" t="str">
        <f>VLOOKUP(Tabelle39[[#This Row],[Potenzialtrennung]],Dropdown!$A$2:$D$4,4,FALSE)</f>
        <v>X</v>
      </c>
      <c r="C19" s="42" t="str">
        <f>VLOOKUP(Tabelle39[[#This Row],[Potenzial positiv]],Dropdown!$A$2:$D$4,4,FALSE)</f>
        <v>X</v>
      </c>
      <c r="D19" s="42" t="str">
        <f>VLOOKUP(Tabelle39[[#This Row],[Potenzial negativ]],Dropdown!$A$2:$D$4,4,FALSE)</f>
        <v>X</v>
      </c>
      <c r="E19" s="42" t="str">
        <f>VLOOKUP(Tabelle39[[#This Row],[Schaltdauer]],Dropdown!$A$2:$D$4,4,FALSE)</f>
        <v>(X)</v>
      </c>
      <c r="F19" s="42" t="str">
        <f>VLOOKUP(Tabelle39[[#This Row],[Verschiebedauer]],Dropdown!$A$2:$D$4,4,FALSE)</f>
        <v>(X)</v>
      </c>
      <c r="G19" s="42" t="str">
        <f>VLOOKUP(Tabelle39[[#This Row],[Schalthäufigkeit]],Dropdown!$A$2:$D$4,4,FALSE)</f>
        <v>(X)</v>
      </c>
      <c r="H19" s="42" t="str">
        <f>VLOOKUP(Tabelle39[[#This Row],[Investitionsausgaben]],Dropdown!$A$2:$D$4,4,FALSE)</f>
        <v>X</v>
      </c>
      <c r="I19" s="42" t="str">
        <f>VLOOKUP(Tabelle39[[#This Row],[fixe Kosten]],Dropdown!$A$2:$D$4,4,FALSE)</f>
        <v>X</v>
      </c>
      <c r="J19" s="42" t="str">
        <f>VLOOKUP(Tabelle39[[#This Row],[variable Kosten]],Dropdown!$A$2:$D$4,4,FALSE)</f>
        <v>X</v>
      </c>
      <c r="K19" s="8" t="s">
        <v>170</v>
      </c>
    </row>
    <row r="20" spans="1:11" ht="38.25" x14ac:dyDescent="0.25">
      <c r="A20" s="6" t="s">
        <v>10</v>
      </c>
      <c r="B20" s="42" t="str">
        <f>VLOOKUP(Tabelle39[[#This Row],[Potenzialtrennung]],Dropdown!$A$2:$D$4,4,FALSE)</f>
        <v>X</v>
      </c>
      <c r="C20" s="42" t="str">
        <f>VLOOKUP(Tabelle39[[#This Row],[Potenzial positiv]],Dropdown!$A$2:$D$4,4,FALSE)</f>
        <v>X</v>
      </c>
      <c r="D20" s="42" t="str">
        <f>VLOOKUP(Tabelle39[[#This Row],[Potenzial negativ]],Dropdown!$A$2:$D$4,4,FALSE)</f>
        <v>X</v>
      </c>
      <c r="E20" s="42" t="str">
        <f>VLOOKUP(Tabelle39[[#This Row],[Schaltdauer]],Dropdown!$A$2:$D$4,4,FALSE)</f>
        <v>(X)</v>
      </c>
      <c r="F20" s="42" t="str">
        <f>VLOOKUP(Tabelle39[[#This Row],[Verschiebedauer]],Dropdown!$A$2:$D$4,4,FALSE)</f>
        <v>(X)</v>
      </c>
      <c r="G20" s="42" t="str">
        <f>VLOOKUP(Tabelle39[[#This Row],[Schalthäufigkeit]],Dropdown!$A$2:$D$4,4,FALSE)</f>
        <v>(X)</v>
      </c>
      <c r="H20" s="42" t="str">
        <f>VLOOKUP(Tabelle39[[#This Row],[Investitionsausgaben]],Dropdown!$A$2:$D$4,4,FALSE)</f>
        <v>X</v>
      </c>
      <c r="I20" s="42" t="str">
        <f>VLOOKUP(Tabelle39[[#This Row],[fixe Kosten]],Dropdown!$A$2:$D$4,4,FALSE)</f>
        <v>X</v>
      </c>
      <c r="J20" s="42" t="str">
        <f>VLOOKUP(Tabelle39[[#This Row],[variable Kosten]],Dropdown!$A$2:$D$4,4,FALSE)</f>
        <v>X</v>
      </c>
      <c r="K20" s="8" t="s">
        <v>176</v>
      </c>
    </row>
    <row r="21" spans="1:11" ht="51" x14ac:dyDescent="0.25">
      <c r="A21" s="6" t="s">
        <v>832</v>
      </c>
      <c r="B21" s="42" t="str">
        <f>VLOOKUP(Tabelle39[[#This Row],[Potenzialtrennung]],Dropdown!$A$2:$D$4,4,FALSE)</f>
        <v>X</v>
      </c>
      <c r="C21" s="42" t="str">
        <f>VLOOKUP(Tabelle39[[#This Row],[Potenzial positiv]],Dropdown!$A$2:$D$4,4,FALSE)</f>
        <v>X</v>
      </c>
      <c r="D21" s="42" t="str">
        <f>VLOOKUP(Tabelle39[[#This Row],[Potenzial negativ]],Dropdown!$A$2:$D$4,4,FALSE)</f>
        <v>X</v>
      </c>
      <c r="E21" s="42" t="str">
        <f>VLOOKUP(Tabelle39[[#This Row],[Schaltdauer]],Dropdown!$A$2:$D$4,4,FALSE)</f>
        <v>X</v>
      </c>
      <c r="F21" s="42" t="str">
        <f>VLOOKUP(Tabelle39[[#This Row],[Verschiebedauer]],Dropdown!$A$2:$D$4,4,FALSE)</f>
        <v>X</v>
      </c>
      <c r="G21" s="42" t="str">
        <f>VLOOKUP(Tabelle39[[#This Row],[Schalthäufigkeit]],Dropdown!$A$2:$D$4,4,FALSE)</f>
        <v>X</v>
      </c>
      <c r="H21" s="42" t="str">
        <f>VLOOKUP(Tabelle39[[#This Row],[Investitionsausgaben]],Dropdown!$A$2:$D$4,4,FALSE)</f>
        <v>X</v>
      </c>
      <c r="I21" s="42" t="str">
        <f>VLOOKUP(Tabelle39[[#This Row],[fixe Kosten]],Dropdown!$A$2:$D$4,4,FALSE)</f>
        <v>X</v>
      </c>
      <c r="J21" s="42" t="str">
        <f>VLOOKUP(Tabelle39[[#This Row],[variable Kosten]],Dropdown!$A$2:$D$4,4,FALSE)</f>
        <v>-</v>
      </c>
      <c r="K21" s="8" t="s">
        <v>273</v>
      </c>
    </row>
    <row r="22" spans="1:11" x14ac:dyDescent="0.25">
      <c r="A22" s="6" t="s">
        <v>16</v>
      </c>
      <c r="B22" s="42" t="str">
        <f>VLOOKUP(Tabelle39[[#This Row],[Potenzialtrennung]],Dropdown!$A$2:$D$4,4,FALSE)</f>
        <v>X</v>
      </c>
      <c r="C22" s="42" t="str">
        <f>VLOOKUP(Tabelle39[[#This Row],[Potenzial positiv]],Dropdown!$A$2:$D$4,4,FALSE)</f>
        <v>X</v>
      </c>
      <c r="D22" s="42" t="str">
        <f>VLOOKUP(Tabelle39[[#This Row],[Potenzial negativ]],Dropdown!$A$2:$D$4,4,FALSE)</f>
        <v>-</v>
      </c>
      <c r="E22" s="42" t="str">
        <f>VLOOKUP(Tabelle39[[#This Row],[Schaltdauer]],Dropdown!$A$2:$D$4,4,FALSE)</f>
        <v>-</v>
      </c>
      <c r="F22" s="42" t="str">
        <f>VLOOKUP(Tabelle39[[#This Row],[Verschiebedauer]],Dropdown!$A$2:$D$4,4,FALSE)</f>
        <v>-</v>
      </c>
      <c r="G22" s="42" t="str">
        <f>VLOOKUP(Tabelle39[[#This Row],[Schalthäufigkeit]],Dropdown!$A$2:$D$4,4,FALSE)</f>
        <v>-</v>
      </c>
      <c r="H22" s="42" t="str">
        <f>VLOOKUP(Tabelle39[[#This Row],[Investitionsausgaben]],Dropdown!$A$2:$D$4,4,FALSE)</f>
        <v>-</v>
      </c>
      <c r="I22" s="42" t="str">
        <f>VLOOKUP(Tabelle39[[#This Row],[fixe Kosten]],Dropdown!$A$2:$D$4,4,FALSE)</f>
        <v>-</v>
      </c>
      <c r="J22" s="42" t="str">
        <f>VLOOKUP(Tabelle39[[#This Row],[variable Kosten]],Dropdown!$A$2:$D$4,4,FALSE)</f>
        <v>X</v>
      </c>
      <c r="K22" s="8" t="s">
        <v>210</v>
      </c>
    </row>
    <row r="23" spans="1:11" ht="38.25" x14ac:dyDescent="0.25">
      <c r="A23" s="6" t="s">
        <v>7</v>
      </c>
      <c r="B23" s="42" t="str">
        <f>VLOOKUP(Tabelle39[[#This Row],[Potenzialtrennung]],Dropdown!$A$2:$D$4,4,FALSE)</f>
        <v>(X)</v>
      </c>
      <c r="C23" s="42" t="str">
        <f>VLOOKUP(Tabelle39[[#This Row],[Potenzial positiv]],Dropdown!$A$2:$D$4,4,FALSE)</f>
        <v>X</v>
      </c>
      <c r="D23" s="42" t="str">
        <f>VLOOKUP(Tabelle39[[#This Row],[Potenzial negativ]],Dropdown!$A$2:$D$4,4,FALSE)</f>
        <v>-</v>
      </c>
      <c r="E23" s="42" t="str">
        <f>VLOOKUP(Tabelle39[[#This Row],[Schaltdauer]],Dropdown!$A$2:$D$4,4,FALSE)</f>
        <v>(X)</v>
      </c>
      <c r="F23" s="42" t="str">
        <f>VLOOKUP(Tabelle39[[#This Row],[Verschiebedauer]],Dropdown!$A$2:$D$4,4,FALSE)</f>
        <v>-</v>
      </c>
      <c r="G23" s="42" t="str">
        <f>VLOOKUP(Tabelle39[[#This Row],[Schalthäufigkeit]],Dropdown!$A$2:$D$4,4,FALSE)</f>
        <v>-</v>
      </c>
      <c r="H23" s="42" t="str">
        <f>VLOOKUP(Tabelle39[[#This Row],[Investitionsausgaben]],Dropdown!$A$2:$D$4,4,FALSE)</f>
        <v>-</v>
      </c>
      <c r="I23" s="42" t="str">
        <f>VLOOKUP(Tabelle39[[#This Row],[fixe Kosten]],Dropdown!$A$2:$D$4,4,FALSE)</f>
        <v>-</v>
      </c>
      <c r="J23" s="42" t="str">
        <f>VLOOKUP(Tabelle39[[#This Row],[variable Kosten]],Dropdown!$A$2:$D$4,4,FALSE)</f>
        <v>-</v>
      </c>
      <c r="K23" s="8">
        <v>15</v>
      </c>
    </row>
    <row r="24" spans="1:11" ht="25.5" x14ac:dyDescent="0.25">
      <c r="A24" s="6" t="s">
        <v>18</v>
      </c>
      <c r="B24" s="42" t="str">
        <f>VLOOKUP(Tabelle39[[#This Row],[Potenzialtrennung]],Dropdown!$A$2:$D$4,4,FALSE)</f>
        <v>X</v>
      </c>
      <c r="C24" s="42" t="str">
        <f>VLOOKUP(Tabelle39[[#This Row],[Potenzial positiv]],Dropdown!$A$2:$D$4,4,FALSE)</f>
        <v>X</v>
      </c>
      <c r="D24" s="42" t="str">
        <f>VLOOKUP(Tabelle39[[#This Row],[Potenzial negativ]],Dropdown!$A$2:$D$4,4,FALSE)</f>
        <v>X</v>
      </c>
      <c r="E24" s="42" t="str">
        <f>VLOOKUP(Tabelle39[[#This Row],[Schaltdauer]],Dropdown!$A$2:$D$4,4,FALSE)</f>
        <v>X</v>
      </c>
      <c r="F24" s="42" t="str">
        <f>VLOOKUP(Tabelle39[[#This Row],[Verschiebedauer]],Dropdown!$A$2:$D$4,4,FALSE)</f>
        <v>X</v>
      </c>
      <c r="G24" s="42" t="str">
        <f>VLOOKUP(Tabelle39[[#This Row],[Schalthäufigkeit]],Dropdown!$A$2:$D$4,4,FALSE)</f>
        <v>X</v>
      </c>
      <c r="H24" s="42" t="str">
        <f>VLOOKUP(Tabelle39[[#This Row],[Investitionsausgaben]],Dropdown!$A$2:$D$4,4,FALSE)</f>
        <v>-</v>
      </c>
      <c r="I24" s="42" t="str">
        <f>VLOOKUP(Tabelle39[[#This Row],[fixe Kosten]],Dropdown!$A$2:$D$4,4,FALSE)</f>
        <v>-</v>
      </c>
      <c r="J24" s="42" t="str">
        <f>VLOOKUP(Tabelle39[[#This Row],[variable Kosten]],Dropdown!$A$2:$D$4,4,FALSE)</f>
        <v>X</v>
      </c>
      <c r="K24" s="8" t="s">
        <v>228</v>
      </c>
    </row>
    <row r="25" spans="1:11" x14ac:dyDescent="0.25">
      <c r="A25" s="6" t="s">
        <v>338</v>
      </c>
      <c r="B25" s="42" t="str">
        <f>VLOOKUP(Tabelle39[[#This Row],[Potenzialtrennung]],Dropdown!$A$2:$D$4,4,FALSE)</f>
        <v>X</v>
      </c>
      <c r="C25" s="42" t="str">
        <f>VLOOKUP(Tabelle39[[#This Row],[Potenzial positiv]],Dropdown!$A$2:$D$4,4,FALSE)</f>
        <v>X</v>
      </c>
      <c r="D25" s="42" t="str">
        <f>VLOOKUP(Tabelle39[[#This Row],[Potenzial negativ]],Dropdown!$A$2:$D$4,4,FALSE)</f>
        <v>X</v>
      </c>
      <c r="E25" s="42" t="str">
        <f>VLOOKUP(Tabelle39[[#This Row],[Schaltdauer]],Dropdown!$A$2:$D$4,4,FALSE)</f>
        <v>X</v>
      </c>
      <c r="F25" s="42" t="str">
        <f>VLOOKUP(Tabelle39[[#This Row],[Verschiebedauer]],Dropdown!$A$2:$D$4,4,FALSE)</f>
        <v>-</v>
      </c>
      <c r="G25" s="42" t="str">
        <f>VLOOKUP(Tabelle39[[#This Row],[Schalthäufigkeit]],Dropdown!$A$2:$D$4,4,FALSE)</f>
        <v>-</v>
      </c>
      <c r="H25" s="42" t="str">
        <f>VLOOKUP(Tabelle39[[#This Row],[Investitionsausgaben]],Dropdown!$A$2:$D$4,4,FALSE)</f>
        <v>-</v>
      </c>
      <c r="I25" s="42" t="str">
        <f>VLOOKUP(Tabelle39[[#This Row],[fixe Kosten]],Dropdown!$A$2:$D$4,4,FALSE)</f>
        <v>-</v>
      </c>
      <c r="J25" s="42" t="str">
        <f>VLOOKUP(Tabelle39[[#This Row],[variable Kosten]],Dropdown!$A$2:$D$4,4,FALSE)</f>
        <v>-</v>
      </c>
      <c r="K25" s="8" t="s">
        <v>802</v>
      </c>
    </row>
    <row r="26" spans="1:11" ht="38.25" x14ac:dyDescent="0.25">
      <c r="A26" s="6" t="s">
        <v>351</v>
      </c>
      <c r="B26" s="42" t="str">
        <f>VLOOKUP(Tabelle39[[#This Row],[Potenzialtrennung]],Dropdown!$A$2:$D$4,4,FALSE)</f>
        <v>X</v>
      </c>
      <c r="C26" s="42" t="str">
        <f>VLOOKUP(Tabelle39[[#This Row],[Potenzial positiv]],Dropdown!$A$2:$D$4,4,FALSE)</f>
        <v>X</v>
      </c>
      <c r="D26" s="42" t="str">
        <f>VLOOKUP(Tabelle39[[#This Row],[Potenzial negativ]],Dropdown!$A$2:$D$4,4,FALSE)</f>
        <v>X</v>
      </c>
      <c r="E26" s="42" t="str">
        <f>VLOOKUP(Tabelle39[[#This Row],[Schaltdauer]],Dropdown!$A$2:$D$4,4,FALSE)</f>
        <v>X</v>
      </c>
      <c r="F26" s="42" t="str">
        <f>VLOOKUP(Tabelle39[[#This Row],[Verschiebedauer]],Dropdown!$A$2:$D$4,4,FALSE)</f>
        <v>X</v>
      </c>
      <c r="G26" s="42" t="str">
        <f>VLOOKUP(Tabelle39[[#This Row],[Schalthäufigkeit]],Dropdown!$A$2:$D$4,4,FALSE)</f>
        <v>X</v>
      </c>
      <c r="H26" s="42" t="str">
        <f>VLOOKUP(Tabelle39[[#This Row],[Investitionsausgaben]],Dropdown!$A$2:$D$4,4,FALSE)</f>
        <v>X</v>
      </c>
      <c r="I26" s="42" t="str">
        <f>VLOOKUP(Tabelle39[[#This Row],[fixe Kosten]],Dropdown!$A$2:$D$4,4,FALSE)</f>
        <v>X</v>
      </c>
      <c r="J26" s="42" t="str">
        <f>VLOOKUP(Tabelle39[[#This Row],[variable Kosten]],Dropdown!$A$2:$D$4,4,FALSE)</f>
        <v>X</v>
      </c>
      <c r="K26" s="8" t="s">
        <v>294</v>
      </c>
    </row>
    <row r="27" spans="1:11" ht="63.75" x14ac:dyDescent="0.25">
      <c r="A27" s="6" t="s">
        <v>24</v>
      </c>
      <c r="B27" s="42" t="str">
        <f>VLOOKUP(Tabelle39[[#This Row],[Potenzialtrennung]],Dropdown!$A$2:$D$4,4,FALSE)</f>
        <v>X</v>
      </c>
      <c r="C27" s="42" t="str">
        <f>VLOOKUP(Tabelle39[[#This Row],[Potenzial positiv]],Dropdown!$A$2:$D$4,4,FALSE)</f>
        <v>X</v>
      </c>
      <c r="D27" s="42" t="str">
        <f>VLOOKUP(Tabelle39[[#This Row],[Potenzial negativ]],Dropdown!$A$2:$D$4,4,FALSE)</f>
        <v>X</v>
      </c>
      <c r="E27" s="42" t="str">
        <f>VLOOKUP(Tabelle39[[#This Row],[Schaltdauer]],Dropdown!$A$2:$D$4,4,FALSE)</f>
        <v>-</v>
      </c>
      <c r="F27" s="42" t="str">
        <f>VLOOKUP(Tabelle39[[#This Row],[Verschiebedauer]],Dropdown!$A$2:$D$4,4,FALSE)</f>
        <v>X</v>
      </c>
      <c r="G27" s="42" t="str">
        <f>VLOOKUP(Tabelle39[[#This Row],[Schalthäufigkeit]],Dropdown!$A$2:$D$4,4,FALSE)</f>
        <v>X</v>
      </c>
      <c r="H27" s="42" t="str">
        <f>VLOOKUP(Tabelle39[[#This Row],[Investitionsausgaben]],Dropdown!$A$2:$D$4,4,FALSE)</f>
        <v>X</v>
      </c>
      <c r="I27" s="42" t="str">
        <f>VLOOKUP(Tabelle39[[#This Row],[fixe Kosten]],Dropdown!$A$2:$D$4,4,FALSE)</f>
        <v>X</v>
      </c>
      <c r="J27" s="42" t="str">
        <f>VLOOKUP(Tabelle39[[#This Row],[variable Kosten]],Dropdown!$A$2:$D$4,4,FALSE)</f>
        <v>X</v>
      </c>
      <c r="K27" s="8" t="s">
        <v>250</v>
      </c>
    </row>
    <row r="28" spans="1:11" x14ac:dyDescent="0.25">
      <c r="A28" s="56" t="s">
        <v>854</v>
      </c>
      <c r="B28" s="60">
        <f>Tabelle39[[#This Row],[Potenzialtrennung]]</f>
        <v>20.5</v>
      </c>
      <c r="C28" s="60">
        <f>Tabelle39[[#This Row],[Potenzial positiv]]</f>
        <v>25</v>
      </c>
      <c r="D28" s="60">
        <f>Tabelle39[[#This Row],[Potenzial negativ]]</f>
        <v>23</v>
      </c>
      <c r="E28" s="60">
        <f>Tabelle39[[#This Row],[Schaltdauer]]</f>
        <v>13</v>
      </c>
      <c r="F28" s="60">
        <f>Tabelle39[[#This Row],[Verschiebedauer]]</f>
        <v>16</v>
      </c>
      <c r="G28" s="60">
        <f>Tabelle39[[#This Row],[Schalthäufigkeit]]</f>
        <v>14.5</v>
      </c>
      <c r="H28" s="60">
        <f>Tabelle39[[#This Row],[Investitionsausgaben]]</f>
        <v>12</v>
      </c>
      <c r="I28" s="60">
        <f>Tabelle39[[#This Row],[fixe Kosten]]</f>
        <v>10.5</v>
      </c>
      <c r="J28" s="60">
        <f>Tabelle39[[#This Row],[variable Kosten]]</f>
        <v>12.5</v>
      </c>
      <c r="K28" s="60">
        <f>Tabelle39[[#This Row],[Quellen Flexibilitätsparameter]]</f>
        <v>0</v>
      </c>
    </row>
  </sheetData>
  <pageMargins left="0.7" right="0.7" top="0.78740157499999996" bottom="0.78740157499999996" header="0.3" footer="0.3"/>
  <ignoredErrors>
    <ignoredError sqref="D28" calculatedColumn="1"/>
  </ignoredErrors>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BAB42-B63A-4AC6-9228-38784809618D}">
  <sheetPr codeName="Tabelle46">
    <tabColor theme="4" tint="0.79998168889431442"/>
  </sheetPr>
  <dimension ref="A1:K29"/>
  <sheetViews>
    <sheetView topLeftCell="A8" workbookViewId="0">
      <selection activeCell="B2" sqref="B2:J2"/>
    </sheetView>
  </sheetViews>
  <sheetFormatPr baseColWidth="10" defaultRowHeight="15.75" x14ac:dyDescent="0.25"/>
  <cols>
    <col min="2" max="10" width="5.875" customWidth="1"/>
    <col min="11" max="11" width="0" hidden="1" customWidth="1"/>
  </cols>
  <sheetData>
    <row r="1" spans="1:11" ht="51" hidden="1" x14ac:dyDescent="0.25">
      <c r="A1" s="3" t="s">
        <v>86</v>
      </c>
      <c r="B1" s="3" t="s">
        <v>88</v>
      </c>
      <c r="C1" s="3" t="s">
        <v>88</v>
      </c>
      <c r="D1" s="3" t="s">
        <v>88</v>
      </c>
      <c r="E1" s="3" t="s">
        <v>88</v>
      </c>
      <c r="F1" s="3" t="s">
        <v>88</v>
      </c>
      <c r="G1" s="3" t="s">
        <v>88</v>
      </c>
      <c r="H1" s="3" t="s">
        <v>88</v>
      </c>
      <c r="I1" s="3" t="s">
        <v>88</v>
      </c>
      <c r="J1" s="3" t="s">
        <v>88</v>
      </c>
    </row>
    <row r="2" spans="1:11" ht="134.25" customHeight="1" x14ac:dyDescent="0.25">
      <c r="A2" s="50" t="s">
        <v>1</v>
      </c>
      <c r="B2" s="53" t="s">
        <v>1201</v>
      </c>
      <c r="C2" s="43" t="s">
        <v>1208</v>
      </c>
      <c r="D2" s="43" t="s">
        <v>1209</v>
      </c>
      <c r="E2" s="53" t="s">
        <v>1202</v>
      </c>
      <c r="F2" s="53" t="s">
        <v>1203</v>
      </c>
      <c r="G2" s="53" t="s">
        <v>1204</v>
      </c>
      <c r="H2" s="53" t="s">
        <v>1205</v>
      </c>
      <c r="I2" s="54" t="s">
        <v>1206</v>
      </c>
      <c r="J2" s="53" t="s">
        <v>1207</v>
      </c>
      <c r="K2" s="63" t="s">
        <v>114</v>
      </c>
    </row>
    <row r="3" spans="1:11" x14ac:dyDescent="0.25">
      <c r="A3" s="6">
        <v>1</v>
      </c>
      <c r="B3" s="42" t="str">
        <f>VLOOKUP(Tabelle39[[#This Row],[Potenzialtrennung]],Dropdown!$A$2:$D$4,4,FALSE)</f>
        <v>(X)</v>
      </c>
      <c r="C3" s="42" t="str">
        <f>VLOOKUP(Tabelle39[[#This Row],[Potenzial positiv]],Dropdown!$A$2:$D$4,4,FALSE)</f>
        <v>X</v>
      </c>
      <c r="D3" s="42" t="str">
        <f>VLOOKUP(Tabelle39[[#This Row],[Potenzial negativ]],Dropdown!$A$2:$D$4,4,FALSE)</f>
        <v>X</v>
      </c>
      <c r="E3" s="42" t="str">
        <f>VLOOKUP(Tabelle39[[#This Row],[Schaltdauer]],Dropdown!$A$2:$D$4,4,FALSE)</f>
        <v>(X)</v>
      </c>
      <c r="F3" s="42" t="str">
        <f>VLOOKUP(Tabelle39[[#This Row],[Verschiebedauer]],Dropdown!$A$2:$D$4,4,FALSE)</f>
        <v>(X)</v>
      </c>
      <c r="G3" s="42" t="str">
        <f>VLOOKUP(Tabelle39[[#This Row],[Schalthäufigkeit]],Dropdown!$A$2:$D$4,4,FALSE)</f>
        <v>(X)</v>
      </c>
      <c r="H3" s="42" t="str">
        <f>VLOOKUP(Tabelle39[[#This Row],[Investitionsausgaben]],Dropdown!$A$2:$D$4,4,FALSE)</f>
        <v>-</v>
      </c>
      <c r="I3" s="42" t="str">
        <f>VLOOKUP(Tabelle39[[#This Row],[fixe Kosten]],Dropdown!$A$2:$D$4,4,FALSE)</f>
        <v>-</v>
      </c>
      <c r="J3" s="42" t="str">
        <f>VLOOKUP(Tabelle39[[#This Row],[variable Kosten]],Dropdown!$A$2:$D$4,4,FALSE)</f>
        <v>-</v>
      </c>
      <c r="K3" s="42" t="e">
        <f>VLOOKUP(Tabelle39[[#This Row],[Quellen Flexibilitätsparameter]],Dropdown!$A$2:$D$4,4,FALSE)</f>
        <v>#N/A</v>
      </c>
    </row>
    <row r="4" spans="1:11" ht="38.25" x14ac:dyDescent="0.25">
      <c r="A4" s="6">
        <v>2</v>
      </c>
      <c r="B4" s="42" t="str">
        <f>VLOOKUP(Tabelle39[[#This Row],[Potenzialtrennung]],Dropdown!$A$2:$D$4,4,FALSE)</f>
        <v>X</v>
      </c>
      <c r="C4" s="42" t="str">
        <f>VLOOKUP(Tabelle39[[#This Row],[Potenzial positiv]],Dropdown!$A$2:$D$4,4,FALSE)</f>
        <v>X</v>
      </c>
      <c r="D4" s="42" t="str">
        <f>VLOOKUP(Tabelle39[[#This Row],[Potenzial negativ]],Dropdown!$A$2:$D$4,4,FALSE)</f>
        <v>X</v>
      </c>
      <c r="E4" s="42" t="str">
        <f>VLOOKUP(Tabelle39[[#This Row],[Schaltdauer]],Dropdown!$A$2:$D$4,4,FALSE)</f>
        <v>(X)</v>
      </c>
      <c r="F4" s="42" t="str">
        <f>VLOOKUP(Tabelle39[[#This Row],[Verschiebedauer]],Dropdown!$A$2:$D$4,4,FALSE)</f>
        <v>X</v>
      </c>
      <c r="G4" s="42" t="str">
        <f>VLOOKUP(Tabelle39[[#This Row],[Schalthäufigkeit]],Dropdown!$A$2:$D$4,4,FALSE)</f>
        <v>(X)</v>
      </c>
      <c r="H4" s="42" t="str">
        <f>VLOOKUP(Tabelle39[[#This Row],[Investitionsausgaben]],Dropdown!$A$2:$D$4,4,FALSE)</f>
        <v>-</v>
      </c>
      <c r="I4" s="42" t="str">
        <f>VLOOKUP(Tabelle39[[#This Row],[fixe Kosten]],Dropdown!$A$2:$D$4,4,FALSE)</f>
        <v>-</v>
      </c>
      <c r="J4" s="42" t="str">
        <f>VLOOKUP(Tabelle39[[#This Row],[variable Kosten]],Dropdown!$A$2:$D$4,4,FALSE)</f>
        <v>-</v>
      </c>
      <c r="K4" s="8" t="s">
        <v>1199</v>
      </c>
    </row>
    <row r="5" spans="1:11" x14ac:dyDescent="0.25">
      <c r="A5" s="6">
        <v>3</v>
      </c>
      <c r="B5" s="42" t="str">
        <f>VLOOKUP(Tabelle39[[#This Row],[Potenzialtrennung]],Dropdown!$A$2:$D$4,4,FALSE)</f>
        <v>X</v>
      </c>
      <c r="C5" s="42" t="str">
        <f>VLOOKUP(Tabelle39[[#This Row],[Potenzial positiv]],Dropdown!$A$2:$D$4,4,FALSE)</f>
        <v>X</v>
      </c>
      <c r="D5" s="42" t="str">
        <f>VLOOKUP(Tabelle39[[#This Row],[Potenzial negativ]],Dropdown!$A$2:$D$4,4,FALSE)</f>
        <v>X</v>
      </c>
      <c r="E5" s="42" t="str">
        <f>VLOOKUP(Tabelle39[[#This Row],[Schaltdauer]],Dropdown!$A$2:$D$4,4,FALSE)</f>
        <v>-</v>
      </c>
      <c r="F5" s="42" t="str">
        <f>VLOOKUP(Tabelle39[[#This Row],[Verschiebedauer]],Dropdown!$A$2:$D$4,4,FALSE)</f>
        <v>-</v>
      </c>
      <c r="G5" s="42" t="str">
        <f>VLOOKUP(Tabelle39[[#This Row],[Schalthäufigkeit]],Dropdown!$A$2:$D$4,4,FALSE)</f>
        <v>-</v>
      </c>
      <c r="H5" s="42" t="str">
        <f>VLOOKUP(Tabelle39[[#This Row],[Investitionsausgaben]],Dropdown!$A$2:$D$4,4,FALSE)</f>
        <v>-</v>
      </c>
      <c r="I5" s="42" t="str">
        <f>VLOOKUP(Tabelle39[[#This Row],[fixe Kosten]],Dropdown!$A$2:$D$4,4,FALSE)</f>
        <v>-</v>
      </c>
      <c r="J5" s="42" t="str">
        <f>VLOOKUP(Tabelle39[[#This Row],[variable Kosten]],Dropdown!$A$2:$D$4,4,FALSE)</f>
        <v>-</v>
      </c>
      <c r="K5" s="8" t="s">
        <v>377</v>
      </c>
    </row>
    <row r="6" spans="1:11" x14ac:dyDescent="0.25">
      <c r="A6" s="6">
        <v>4</v>
      </c>
      <c r="B6" s="42" t="str">
        <f>VLOOKUP(Tabelle39[[#This Row],[Potenzialtrennung]],Dropdown!$A$2:$D$4,4,FALSE)</f>
        <v>(X)</v>
      </c>
      <c r="C6" s="42" t="str">
        <f>VLOOKUP(Tabelle39[[#This Row],[Potenzial positiv]],Dropdown!$A$2:$D$4,4,FALSE)</f>
        <v>X</v>
      </c>
      <c r="D6" s="42" t="str">
        <f>VLOOKUP(Tabelle39[[#This Row],[Potenzial negativ]],Dropdown!$A$2:$D$4,4,FALSE)</f>
        <v>X</v>
      </c>
      <c r="E6" s="42" t="str">
        <f>VLOOKUP(Tabelle39[[#This Row],[Schaltdauer]],Dropdown!$A$2:$D$4,4,FALSE)</f>
        <v>-</v>
      </c>
      <c r="F6" s="42" t="str">
        <f>VLOOKUP(Tabelle39[[#This Row],[Verschiebedauer]],Dropdown!$A$2:$D$4,4,FALSE)</f>
        <v>(X)</v>
      </c>
      <c r="G6" s="42" t="str">
        <f>VLOOKUP(Tabelle39[[#This Row],[Schalthäufigkeit]],Dropdown!$A$2:$D$4,4,FALSE)</f>
        <v>(X)</v>
      </c>
      <c r="H6" s="42" t="str">
        <f>VLOOKUP(Tabelle39[[#This Row],[Investitionsausgaben]],Dropdown!$A$2:$D$4,4,FALSE)</f>
        <v>X</v>
      </c>
      <c r="I6" s="42" t="str">
        <f>VLOOKUP(Tabelle39[[#This Row],[fixe Kosten]],Dropdown!$A$2:$D$4,4,FALSE)</f>
        <v>-</v>
      </c>
      <c r="J6" s="42" t="str">
        <f>VLOOKUP(Tabelle39[[#This Row],[variable Kosten]],Dropdown!$A$2:$D$4,4,FALSE)</f>
        <v>-</v>
      </c>
      <c r="K6" s="8" t="s">
        <v>310</v>
      </c>
    </row>
    <row r="7" spans="1:11" x14ac:dyDescent="0.25">
      <c r="A7" s="6">
        <v>5</v>
      </c>
      <c r="B7" s="42" t="str">
        <f>VLOOKUP(Tabelle39[[#This Row],[Potenzialtrennung]],Dropdown!$A$2:$D$4,4,FALSE)</f>
        <v>X</v>
      </c>
      <c r="C7" s="42" t="str">
        <f>VLOOKUP(Tabelle39[[#This Row],[Potenzial positiv]],Dropdown!$A$2:$D$4,4,FALSE)</f>
        <v>X</v>
      </c>
      <c r="D7" s="42" t="str">
        <f>VLOOKUP(Tabelle39[[#This Row],[Potenzial negativ]],Dropdown!$A$2:$D$4,4,FALSE)</f>
        <v>X</v>
      </c>
      <c r="E7" s="42" t="str">
        <f>VLOOKUP(Tabelle39[[#This Row],[Schaltdauer]],Dropdown!$A$2:$D$4,4,FALSE)</f>
        <v>X</v>
      </c>
      <c r="F7" s="42" t="str">
        <f>VLOOKUP(Tabelle39[[#This Row],[Verschiebedauer]],Dropdown!$A$2:$D$4,4,FALSE)</f>
        <v>X</v>
      </c>
      <c r="G7" s="42" t="str">
        <f>VLOOKUP(Tabelle39[[#This Row],[Schalthäufigkeit]],Dropdown!$A$2:$D$4,4,FALSE)</f>
        <v>X</v>
      </c>
      <c r="H7" s="42" t="str">
        <f>VLOOKUP(Tabelle39[[#This Row],[Investitionsausgaben]],Dropdown!$A$2:$D$4,4,FALSE)</f>
        <v>-</v>
      </c>
      <c r="I7" s="42" t="str">
        <f>VLOOKUP(Tabelle39[[#This Row],[fixe Kosten]],Dropdown!$A$2:$D$4,4,FALSE)</f>
        <v>-</v>
      </c>
      <c r="J7" s="42" t="str">
        <f>VLOOKUP(Tabelle39[[#This Row],[variable Kosten]],Dropdown!$A$2:$D$4,4,FALSE)</f>
        <v>X</v>
      </c>
      <c r="K7" s="8" t="s">
        <v>254</v>
      </c>
    </row>
    <row r="8" spans="1:11" x14ac:dyDescent="0.25">
      <c r="A8" s="6">
        <v>6</v>
      </c>
      <c r="B8" s="42" t="str">
        <f>VLOOKUP(Tabelle39[[#This Row],[Potenzialtrennung]],Dropdown!$A$2:$D$4,4,FALSE)</f>
        <v>X</v>
      </c>
      <c r="C8" s="42" t="str">
        <f>VLOOKUP(Tabelle39[[#This Row],[Potenzial positiv]],Dropdown!$A$2:$D$4,4,FALSE)</f>
        <v>X</v>
      </c>
      <c r="D8" s="42" t="str">
        <f>VLOOKUP(Tabelle39[[#This Row],[Potenzial negativ]],Dropdown!$A$2:$D$4,4,FALSE)</f>
        <v>X</v>
      </c>
      <c r="E8" s="42" t="str">
        <f>VLOOKUP(Tabelle39[[#This Row],[Schaltdauer]],Dropdown!$A$2:$D$4,4,FALSE)</f>
        <v>-</v>
      </c>
      <c r="F8" s="42" t="str">
        <f>VLOOKUP(Tabelle39[[#This Row],[Verschiebedauer]],Dropdown!$A$2:$D$4,4,FALSE)</f>
        <v>X</v>
      </c>
      <c r="G8" s="42" t="str">
        <f>VLOOKUP(Tabelle39[[#This Row],[Schalthäufigkeit]],Dropdown!$A$2:$D$4,4,FALSE)</f>
        <v>-</v>
      </c>
      <c r="H8" s="42" t="str">
        <f>VLOOKUP(Tabelle39[[#This Row],[Investitionsausgaben]],Dropdown!$A$2:$D$4,4,FALSE)</f>
        <v>-</v>
      </c>
      <c r="I8" s="42" t="str">
        <f>VLOOKUP(Tabelle39[[#This Row],[fixe Kosten]],Dropdown!$A$2:$D$4,4,FALSE)</f>
        <v>-</v>
      </c>
      <c r="J8" s="42" t="str">
        <f>VLOOKUP(Tabelle39[[#This Row],[variable Kosten]],Dropdown!$A$2:$D$4,4,FALSE)</f>
        <v>-</v>
      </c>
      <c r="K8" s="8" t="s">
        <v>367</v>
      </c>
    </row>
    <row r="9" spans="1:11" x14ac:dyDescent="0.25">
      <c r="A9" s="6">
        <v>7</v>
      </c>
      <c r="B9" s="42" t="str">
        <f>VLOOKUP(Tabelle39[[#This Row],[Potenzialtrennung]],Dropdown!$A$2:$D$4,4,FALSE)</f>
        <v>X</v>
      </c>
      <c r="C9" s="42" t="str">
        <f>VLOOKUP(Tabelle39[[#This Row],[Potenzial positiv]],Dropdown!$A$2:$D$4,4,FALSE)</f>
        <v>X</v>
      </c>
      <c r="D9" s="42" t="str">
        <f>VLOOKUP(Tabelle39[[#This Row],[Potenzial negativ]],Dropdown!$A$2:$D$4,4,FALSE)</f>
        <v>X</v>
      </c>
      <c r="E9" s="42" t="str">
        <f>VLOOKUP(Tabelle39[[#This Row],[Schaltdauer]],Dropdown!$A$2:$D$4,4,FALSE)</f>
        <v>-</v>
      </c>
      <c r="F9" s="42" t="str">
        <f>VLOOKUP(Tabelle39[[#This Row],[Verschiebedauer]],Dropdown!$A$2:$D$4,4,FALSE)</f>
        <v>X</v>
      </c>
      <c r="G9" s="42" t="str">
        <f>VLOOKUP(Tabelle39[[#This Row],[Schalthäufigkeit]],Dropdown!$A$2:$D$4,4,FALSE)</f>
        <v>(X)</v>
      </c>
      <c r="H9" s="42" t="str">
        <f>VLOOKUP(Tabelle39[[#This Row],[Investitionsausgaben]],Dropdown!$A$2:$D$4,4,FALSE)</f>
        <v>-</v>
      </c>
      <c r="I9" s="42" t="str">
        <f>VLOOKUP(Tabelle39[[#This Row],[fixe Kosten]],Dropdown!$A$2:$D$4,4,FALSE)</f>
        <v>-</v>
      </c>
      <c r="J9" s="42" t="str">
        <f>VLOOKUP(Tabelle39[[#This Row],[variable Kosten]],Dropdown!$A$2:$D$4,4,FALSE)</f>
        <v>(X)</v>
      </c>
      <c r="K9" s="8" t="s">
        <v>427</v>
      </c>
    </row>
    <row r="10" spans="1:11" x14ac:dyDescent="0.25">
      <c r="A10" s="6">
        <v>8</v>
      </c>
      <c r="B10" s="42" t="str">
        <f>VLOOKUP(Tabelle39[[#This Row],[Potenzialtrennung]],Dropdown!$A$2:$D$4,4,FALSE)</f>
        <v>X</v>
      </c>
      <c r="C10" s="42" t="str">
        <f>VLOOKUP(Tabelle39[[#This Row],[Potenzial positiv]],Dropdown!$A$2:$D$4,4,FALSE)</f>
        <v>X</v>
      </c>
      <c r="D10" s="42" t="str">
        <f>VLOOKUP(Tabelle39[[#This Row],[Potenzial negativ]],Dropdown!$A$2:$D$4,4,FALSE)</f>
        <v>X</v>
      </c>
      <c r="E10" s="42" t="str">
        <f>VLOOKUP(Tabelle39[[#This Row],[Schaltdauer]],Dropdown!$A$2:$D$4,4,FALSE)</f>
        <v>X</v>
      </c>
      <c r="F10" s="42" t="str">
        <f>VLOOKUP(Tabelle39[[#This Row],[Verschiebedauer]],Dropdown!$A$2:$D$4,4,FALSE)</f>
        <v>X</v>
      </c>
      <c r="G10" s="42" t="str">
        <f>VLOOKUP(Tabelle39[[#This Row],[Schalthäufigkeit]],Dropdown!$A$2:$D$4,4,FALSE)</f>
        <v>X</v>
      </c>
      <c r="H10" s="42" t="str">
        <f>VLOOKUP(Tabelle39[[#This Row],[Investitionsausgaben]],Dropdown!$A$2:$D$4,4,FALSE)</f>
        <v>X</v>
      </c>
      <c r="I10" s="42" t="str">
        <f>VLOOKUP(Tabelle39[[#This Row],[fixe Kosten]],Dropdown!$A$2:$D$4,4,FALSE)</f>
        <v>X</v>
      </c>
      <c r="J10" s="42" t="str">
        <f>VLOOKUP(Tabelle39[[#This Row],[variable Kosten]],Dropdown!$A$2:$D$4,4,FALSE)</f>
        <v>X</v>
      </c>
      <c r="K10" s="8" t="s">
        <v>286</v>
      </c>
    </row>
    <row r="11" spans="1:11" x14ac:dyDescent="0.25">
      <c r="A11" s="6">
        <v>9</v>
      </c>
      <c r="B11" s="42" t="str">
        <f>VLOOKUP(Tabelle39[[#This Row],[Potenzialtrennung]],Dropdown!$A$2:$D$4,4,FALSE)</f>
        <v>-</v>
      </c>
      <c r="C11" s="42" t="str">
        <f>VLOOKUP(Tabelle39[[#This Row],[Potenzial positiv]],Dropdown!$A$2:$D$4,4,FALSE)</f>
        <v>X</v>
      </c>
      <c r="D11" s="42" t="str">
        <f>VLOOKUP(Tabelle39[[#This Row],[Potenzial negativ]],Dropdown!$A$2:$D$4,4,FALSE)</f>
        <v>X</v>
      </c>
      <c r="E11" s="42" t="str">
        <f>VLOOKUP(Tabelle39[[#This Row],[Schaltdauer]],Dropdown!$A$2:$D$4,4,FALSE)</f>
        <v>-</v>
      </c>
      <c r="F11" s="42" t="str">
        <f>VLOOKUP(Tabelle39[[#This Row],[Verschiebedauer]],Dropdown!$A$2:$D$4,4,FALSE)</f>
        <v>-</v>
      </c>
      <c r="G11" s="42" t="str">
        <f>VLOOKUP(Tabelle39[[#This Row],[Schalthäufigkeit]],Dropdown!$A$2:$D$4,4,FALSE)</f>
        <v>-</v>
      </c>
      <c r="H11" s="42" t="str">
        <f>VLOOKUP(Tabelle39[[#This Row],[Investitionsausgaben]],Dropdown!$A$2:$D$4,4,FALSE)</f>
        <v>X</v>
      </c>
      <c r="I11" s="42" t="str">
        <f>VLOOKUP(Tabelle39[[#This Row],[fixe Kosten]],Dropdown!$A$2:$D$4,4,FALSE)</f>
        <v>X</v>
      </c>
      <c r="J11" s="42" t="str">
        <f>VLOOKUP(Tabelle39[[#This Row],[variable Kosten]],Dropdown!$A$2:$D$4,4,FALSE)</f>
        <v>X</v>
      </c>
      <c r="K11" s="8" t="s">
        <v>398</v>
      </c>
    </row>
    <row r="12" spans="1:11" x14ac:dyDescent="0.25">
      <c r="A12" s="6">
        <v>10</v>
      </c>
      <c r="B12" s="42" t="str">
        <f>VLOOKUP(Tabelle39[[#This Row],[Potenzialtrennung]],Dropdown!$A$2:$D$4,4,FALSE)</f>
        <v>-</v>
      </c>
      <c r="C12" s="42" t="str">
        <f>VLOOKUP(Tabelle39[[#This Row],[Potenzial positiv]],Dropdown!$A$2:$D$4,4,FALSE)</f>
        <v>X</v>
      </c>
      <c r="D12" s="42" t="str">
        <f>VLOOKUP(Tabelle39[[#This Row],[Potenzial negativ]],Dropdown!$A$2:$D$4,4,FALSE)</f>
        <v>X</v>
      </c>
      <c r="E12" s="42" t="str">
        <f>VLOOKUP(Tabelle39[[#This Row],[Schaltdauer]],Dropdown!$A$2:$D$4,4,FALSE)</f>
        <v>-</v>
      </c>
      <c r="F12" s="42" t="str">
        <f>VLOOKUP(Tabelle39[[#This Row],[Verschiebedauer]],Dropdown!$A$2:$D$4,4,FALSE)</f>
        <v>X</v>
      </c>
      <c r="G12" s="42" t="str">
        <f>VLOOKUP(Tabelle39[[#This Row],[Schalthäufigkeit]],Dropdown!$A$2:$D$4,4,FALSE)</f>
        <v>X</v>
      </c>
      <c r="H12" s="42" t="str">
        <f>VLOOKUP(Tabelle39[[#This Row],[Investitionsausgaben]],Dropdown!$A$2:$D$4,4,FALSE)</f>
        <v>X</v>
      </c>
      <c r="I12" s="42" t="str">
        <f>VLOOKUP(Tabelle39[[#This Row],[fixe Kosten]],Dropdown!$A$2:$D$4,4,FALSE)</f>
        <v>X</v>
      </c>
      <c r="J12" s="42" t="str">
        <f>VLOOKUP(Tabelle39[[#This Row],[variable Kosten]],Dropdown!$A$2:$D$4,4,FALSE)</f>
        <v>X</v>
      </c>
      <c r="K12" s="8" t="s">
        <v>385</v>
      </c>
    </row>
    <row r="13" spans="1:11" x14ac:dyDescent="0.25">
      <c r="A13" s="6">
        <v>11</v>
      </c>
      <c r="B13" s="42" t="str">
        <f>VLOOKUP(Tabelle39[[#This Row],[Potenzialtrennung]],Dropdown!$A$2:$D$4,4,FALSE)</f>
        <v>(X)</v>
      </c>
      <c r="C13" s="42" t="str">
        <f>VLOOKUP(Tabelle39[[#This Row],[Potenzial positiv]],Dropdown!$A$2:$D$4,4,FALSE)</f>
        <v>X</v>
      </c>
      <c r="D13" s="42" t="str">
        <f>VLOOKUP(Tabelle39[[#This Row],[Potenzial negativ]],Dropdown!$A$2:$D$4,4,FALSE)</f>
        <v>X</v>
      </c>
      <c r="E13" s="42" t="str">
        <f>VLOOKUP(Tabelle39[[#This Row],[Schaltdauer]],Dropdown!$A$2:$D$4,4,FALSE)</f>
        <v>X</v>
      </c>
      <c r="F13" s="42" t="str">
        <f>VLOOKUP(Tabelle39[[#This Row],[Verschiebedauer]],Dropdown!$A$2:$D$4,4,FALSE)</f>
        <v>-</v>
      </c>
      <c r="G13" s="42" t="str">
        <f>VLOOKUP(Tabelle39[[#This Row],[Schalthäufigkeit]],Dropdown!$A$2:$D$4,4,FALSE)</f>
        <v>X</v>
      </c>
      <c r="H13" s="42" t="str">
        <f>VLOOKUP(Tabelle39[[#This Row],[Investitionsausgaben]],Dropdown!$A$2:$D$4,4,FALSE)</f>
        <v>X</v>
      </c>
      <c r="I13" s="42" t="str">
        <f>VLOOKUP(Tabelle39[[#This Row],[fixe Kosten]],Dropdown!$A$2:$D$4,4,FALSE)</f>
        <v>(X)</v>
      </c>
      <c r="J13" s="42" t="str">
        <f>VLOOKUP(Tabelle39[[#This Row],[variable Kosten]],Dropdown!$A$2:$D$4,4,FALSE)</f>
        <v>-</v>
      </c>
      <c r="K13" s="8" t="s">
        <v>121</v>
      </c>
    </row>
    <row r="14" spans="1:11" ht="25.5" x14ac:dyDescent="0.25">
      <c r="A14" s="6">
        <v>12</v>
      </c>
      <c r="B14" s="42" t="str">
        <f>VLOOKUP(Tabelle39[[#This Row],[Potenzialtrennung]],Dropdown!$A$2:$D$4,4,FALSE)</f>
        <v>(X)</v>
      </c>
      <c r="C14" s="42" t="str">
        <f>VLOOKUP(Tabelle39[[#This Row],[Potenzial positiv]],Dropdown!$A$2:$D$4,4,FALSE)</f>
        <v>X</v>
      </c>
      <c r="D14" s="42" t="str">
        <f>VLOOKUP(Tabelle39[[#This Row],[Potenzial negativ]],Dropdown!$A$2:$D$4,4,FALSE)</f>
        <v>X</v>
      </c>
      <c r="E14" s="42" t="str">
        <f>VLOOKUP(Tabelle39[[#This Row],[Schaltdauer]],Dropdown!$A$2:$D$4,4,FALSE)</f>
        <v>X</v>
      </c>
      <c r="F14" s="42" t="str">
        <f>VLOOKUP(Tabelle39[[#This Row],[Verschiebedauer]],Dropdown!$A$2:$D$4,4,FALSE)</f>
        <v>X</v>
      </c>
      <c r="G14" s="42" t="str">
        <f>VLOOKUP(Tabelle39[[#This Row],[Schalthäufigkeit]],Dropdown!$A$2:$D$4,4,FALSE)</f>
        <v>X</v>
      </c>
      <c r="H14" s="42" t="str">
        <f>VLOOKUP(Tabelle39[[#This Row],[Investitionsausgaben]],Dropdown!$A$2:$D$4,4,FALSE)</f>
        <v>-</v>
      </c>
      <c r="I14" s="42" t="str">
        <f>VLOOKUP(Tabelle39[[#This Row],[fixe Kosten]],Dropdown!$A$2:$D$4,4,FALSE)</f>
        <v>-</v>
      </c>
      <c r="J14" s="42" t="str">
        <f>VLOOKUP(Tabelle39[[#This Row],[variable Kosten]],Dropdown!$A$2:$D$4,4,FALSE)</f>
        <v>-</v>
      </c>
      <c r="K14" s="8" t="s">
        <v>216</v>
      </c>
    </row>
    <row r="15" spans="1:11" x14ac:dyDescent="0.25">
      <c r="A15" s="6">
        <v>13</v>
      </c>
      <c r="B15" s="42" t="str">
        <f>VLOOKUP(Tabelle39[[#This Row],[Potenzialtrennung]],Dropdown!$A$2:$D$4,4,FALSE)</f>
        <v>X</v>
      </c>
      <c r="C15" s="42" t="str">
        <f>VLOOKUP(Tabelle39[[#This Row],[Potenzial positiv]],Dropdown!$A$2:$D$4,4,FALSE)</f>
        <v>X</v>
      </c>
      <c r="D15" s="42" t="str">
        <f>VLOOKUP(Tabelle39[[#This Row],[Potenzial negativ]],Dropdown!$A$2:$D$4,4,FALSE)</f>
        <v>X</v>
      </c>
      <c r="E15" s="42" t="str">
        <f>VLOOKUP(Tabelle39[[#This Row],[Schaltdauer]],Dropdown!$A$2:$D$4,4,FALSE)</f>
        <v>-</v>
      </c>
      <c r="F15" s="42" t="str">
        <f>VLOOKUP(Tabelle39[[#This Row],[Verschiebedauer]],Dropdown!$A$2:$D$4,4,FALSE)</f>
        <v>X</v>
      </c>
      <c r="G15" s="42" t="str">
        <f>VLOOKUP(Tabelle39[[#This Row],[Schalthäufigkeit]],Dropdown!$A$2:$D$4,4,FALSE)</f>
        <v>(X)</v>
      </c>
      <c r="H15" s="42" t="str">
        <f>VLOOKUP(Tabelle39[[#This Row],[Investitionsausgaben]],Dropdown!$A$2:$D$4,4,FALSE)</f>
        <v>-</v>
      </c>
      <c r="I15" s="42" t="str">
        <f>VLOOKUP(Tabelle39[[#This Row],[fixe Kosten]],Dropdown!$A$2:$D$4,4,FALSE)</f>
        <v>-</v>
      </c>
      <c r="J15" s="42" t="str">
        <f>VLOOKUP(Tabelle39[[#This Row],[variable Kosten]],Dropdown!$A$2:$D$4,4,FALSE)</f>
        <v>-</v>
      </c>
      <c r="K15" s="8" t="s">
        <v>322</v>
      </c>
    </row>
    <row r="16" spans="1:11" x14ac:dyDescent="0.25">
      <c r="A16" s="6">
        <v>14</v>
      </c>
      <c r="B16" s="42" t="str">
        <f>VLOOKUP(Tabelle39[[#This Row],[Potenzialtrennung]],Dropdown!$A$2:$D$4,4,FALSE)</f>
        <v>X</v>
      </c>
      <c r="C16" s="42" t="str">
        <f>VLOOKUP(Tabelle39[[#This Row],[Potenzial positiv]],Dropdown!$A$2:$D$4,4,FALSE)</f>
        <v>X</v>
      </c>
      <c r="D16" s="42" t="str">
        <f>VLOOKUP(Tabelle39[[#This Row],[Potenzial negativ]],Dropdown!$A$2:$D$4,4,FALSE)</f>
        <v>X</v>
      </c>
      <c r="E16" s="42" t="str">
        <f>VLOOKUP(Tabelle39[[#This Row],[Schaltdauer]],Dropdown!$A$2:$D$4,4,FALSE)</f>
        <v>X</v>
      </c>
      <c r="F16" s="42" t="str">
        <f>VLOOKUP(Tabelle39[[#This Row],[Verschiebedauer]],Dropdown!$A$2:$D$4,4,FALSE)</f>
        <v>X</v>
      </c>
      <c r="G16" s="42" t="str">
        <f>VLOOKUP(Tabelle39[[#This Row],[Schalthäufigkeit]],Dropdown!$A$2:$D$4,4,FALSE)</f>
        <v>X</v>
      </c>
      <c r="H16" s="42" t="str">
        <f>VLOOKUP(Tabelle39[[#This Row],[Investitionsausgaben]],Dropdown!$A$2:$D$4,4,FALSE)</f>
        <v>X</v>
      </c>
      <c r="I16" s="42" t="str">
        <f>VLOOKUP(Tabelle39[[#This Row],[fixe Kosten]],Dropdown!$A$2:$D$4,4,FALSE)</f>
        <v>X</v>
      </c>
      <c r="J16" s="42" t="str">
        <f>VLOOKUP(Tabelle39[[#This Row],[variable Kosten]],Dropdown!$A$2:$D$4,4,FALSE)</f>
        <v>X</v>
      </c>
      <c r="K16" s="8" t="s">
        <v>444</v>
      </c>
    </row>
    <row r="17" spans="1:11" ht="25.5" x14ac:dyDescent="0.25">
      <c r="A17" s="6">
        <v>15</v>
      </c>
      <c r="B17" s="42" t="str">
        <f>VLOOKUP(Tabelle39[[#This Row],[Potenzialtrennung]],Dropdown!$A$2:$D$4,4,FALSE)</f>
        <v>X</v>
      </c>
      <c r="C17" s="42" t="str">
        <f>VLOOKUP(Tabelle39[[#This Row],[Potenzial positiv]],Dropdown!$A$2:$D$4,4,FALSE)</f>
        <v>X</v>
      </c>
      <c r="D17" s="42" t="str">
        <f>VLOOKUP(Tabelle39[[#This Row],[Potenzial negativ]],Dropdown!$A$2:$D$4,4,FALSE)</f>
        <v>X</v>
      </c>
      <c r="E17" s="42" t="str">
        <f>VLOOKUP(Tabelle39[[#This Row],[Schaltdauer]],Dropdown!$A$2:$D$4,4,FALSE)</f>
        <v>X</v>
      </c>
      <c r="F17" s="42" t="str">
        <f>VLOOKUP(Tabelle39[[#This Row],[Verschiebedauer]],Dropdown!$A$2:$D$4,4,FALSE)</f>
        <v>X</v>
      </c>
      <c r="G17" s="42" t="str">
        <f>VLOOKUP(Tabelle39[[#This Row],[Schalthäufigkeit]],Dropdown!$A$2:$D$4,4,FALSE)</f>
        <v>X</v>
      </c>
      <c r="H17" s="42" t="str">
        <f>VLOOKUP(Tabelle39[[#This Row],[Investitionsausgaben]],Dropdown!$A$2:$D$4,4,FALSE)</f>
        <v>X</v>
      </c>
      <c r="I17" s="42" t="str">
        <f>VLOOKUP(Tabelle39[[#This Row],[fixe Kosten]],Dropdown!$A$2:$D$4,4,FALSE)</f>
        <v>X</v>
      </c>
      <c r="J17" s="42" t="str">
        <f>VLOOKUP(Tabelle39[[#This Row],[variable Kosten]],Dropdown!$A$2:$D$4,4,FALSE)</f>
        <v>X</v>
      </c>
      <c r="K17" s="8" t="s">
        <v>242</v>
      </c>
    </row>
    <row r="18" spans="1:11" x14ac:dyDescent="0.25">
      <c r="A18" s="6">
        <v>16</v>
      </c>
      <c r="B18" s="42" t="str">
        <f>VLOOKUP(Tabelle39[[#This Row],[Potenzialtrennung]],Dropdown!$A$2:$D$4,4,FALSE)</f>
        <v>X</v>
      </c>
      <c r="C18" s="42" t="str">
        <f>VLOOKUP(Tabelle39[[#This Row],[Potenzial positiv]],Dropdown!$A$2:$D$4,4,FALSE)</f>
        <v>X</v>
      </c>
      <c r="D18" s="42" t="str">
        <f>VLOOKUP(Tabelle39[[#This Row],[Potenzial negativ]],Dropdown!$A$2:$D$4,4,FALSE)</f>
        <v>X</v>
      </c>
      <c r="E18" s="42" t="str">
        <f>VLOOKUP(Tabelle39[[#This Row],[Schaltdauer]],Dropdown!$A$2:$D$4,4,FALSE)</f>
        <v>(X)</v>
      </c>
      <c r="F18" s="42" t="str">
        <f>VLOOKUP(Tabelle39[[#This Row],[Verschiebedauer]],Dropdown!$A$2:$D$4,4,FALSE)</f>
        <v>-</v>
      </c>
      <c r="G18" s="42" t="str">
        <f>VLOOKUP(Tabelle39[[#This Row],[Schalthäufigkeit]],Dropdown!$A$2:$D$4,4,FALSE)</f>
        <v>-</v>
      </c>
      <c r="H18" s="42" t="str">
        <f>VLOOKUP(Tabelle39[[#This Row],[Investitionsausgaben]],Dropdown!$A$2:$D$4,4,FALSE)</f>
        <v>-</v>
      </c>
      <c r="I18" s="42" t="str">
        <f>VLOOKUP(Tabelle39[[#This Row],[fixe Kosten]],Dropdown!$A$2:$D$4,4,FALSE)</f>
        <v>-</v>
      </c>
      <c r="J18" s="42" t="str">
        <f>VLOOKUP(Tabelle39[[#This Row],[variable Kosten]],Dropdown!$A$2:$D$4,4,FALSE)</f>
        <v>-</v>
      </c>
      <c r="K18" s="8" t="s">
        <v>333</v>
      </c>
    </row>
    <row r="19" spans="1:11" ht="25.5" x14ac:dyDescent="0.25">
      <c r="A19" s="6">
        <v>17</v>
      </c>
      <c r="B19" s="42" t="str">
        <f>VLOOKUP(Tabelle39[[#This Row],[Potenzialtrennung]],Dropdown!$A$2:$D$4,4,FALSE)</f>
        <v>X</v>
      </c>
      <c r="C19" s="42" t="str">
        <f>VLOOKUP(Tabelle39[[#This Row],[Potenzial positiv]],Dropdown!$A$2:$D$4,4,FALSE)</f>
        <v>X</v>
      </c>
      <c r="D19" s="42" t="str">
        <f>VLOOKUP(Tabelle39[[#This Row],[Potenzial negativ]],Dropdown!$A$2:$D$4,4,FALSE)</f>
        <v>X</v>
      </c>
      <c r="E19" s="42" t="str">
        <f>VLOOKUP(Tabelle39[[#This Row],[Schaltdauer]],Dropdown!$A$2:$D$4,4,FALSE)</f>
        <v>(X)</v>
      </c>
      <c r="F19" s="42" t="str">
        <f>VLOOKUP(Tabelle39[[#This Row],[Verschiebedauer]],Dropdown!$A$2:$D$4,4,FALSE)</f>
        <v>(X)</v>
      </c>
      <c r="G19" s="42" t="str">
        <f>VLOOKUP(Tabelle39[[#This Row],[Schalthäufigkeit]],Dropdown!$A$2:$D$4,4,FALSE)</f>
        <v>(X)</v>
      </c>
      <c r="H19" s="42" t="str">
        <f>VLOOKUP(Tabelle39[[#This Row],[Investitionsausgaben]],Dropdown!$A$2:$D$4,4,FALSE)</f>
        <v>X</v>
      </c>
      <c r="I19" s="42" t="str">
        <f>VLOOKUP(Tabelle39[[#This Row],[fixe Kosten]],Dropdown!$A$2:$D$4,4,FALSE)</f>
        <v>X</v>
      </c>
      <c r="J19" s="42" t="str">
        <f>VLOOKUP(Tabelle39[[#This Row],[variable Kosten]],Dropdown!$A$2:$D$4,4,FALSE)</f>
        <v>X</v>
      </c>
      <c r="K19" s="8" t="s">
        <v>170</v>
      </c>
    </row>
    <row r="20" spans="1:11" x14ac:dyDescent="0.25">
      <c r="A20" s="6">
        <v>18</v>
      </c>
      <c r="B20" s="42" t="str">
        <f>VLOOKUP(Tabelle39[[#This Row],[Potenzialtrennung]],Dropdown!$A$2:$D$4,4,FALSE)</f>
        <v>X</v>
      </c>
      <c r="C20" s="42" t="str">
        <f>VLOOKUP(Tabelle39[[#This Row],[Potenzial positiv]],Dropdown!$A$2:$D$4,4,FALSE)</f>
        <v>X</v>
      </c>
      <c r="D20" s="42" t="str">
        <f>VLOOKUP(Tabelle39[[#This Row],[Potenzial negativ]],Dropdown!$A$2:$D$4,4,FALSE)</f>
        <v>X</v>
      </c>
      <c r="E20" s="42" t="str">
        <f>VLOOKUP(Tabelle39[[#This Row],[Schaltdauer]],Dropdown!$A$2:$D$4,4,FALSE)</f>
        <v>(X)</v>
      </c>
      <c r="F20" s="42" t="str">
        <f>VLOOKUP(Tabelle39[[#This Row],[Verschiebedauer]],Dropdown!$A$2:$D$4,4,FALSE)</f>
        <v>(X)</v>
      </c>
      <c r="G20" s="42" t="str">
        <f>VLOOKUP(Tabelle39[[#This Row],[Schalthäufigkeit]],Dropdown!$A$2:$D$4,4,FALSE)</f>
        <v>(X)</v>
      </c>
      <c r="H20" s="42" t="str">
        <f>VLOOKUP(Tabelle39[[#This Row],[Investitionsausgaben]],Dropdown!$A$2:$D$4,4,FALSE)</f>
        <v>X</v>
      </c>
      <c r="I20" s="42" t="str">
        <f>VLOOKUP(Tabelle39[[#This Row],[fixe Kosten]],Dropdown!$A$2:$D$4,4,FALSE)</f>
        <v>X</v>
      </c>
      <c r="J20" s="42" t="str">
        <f>VLOOKUP(Tabelle39[[#This Row],[variable Kosten]],Dropdown!$A$2:$D$4,4,FALSE)</f>
        <v>X</v>
      </c>
      <c r="K20" s="8" t="s">
        <v>176</v>
      </c>
    </row>
    <row r="21" spans="1:11" ht="25.5" x14ac:dyDescent="0.25">
      <c r="A21" s="6">
        <v>19</v>
      </c>
      <c r="B21" s="42" t="str">
        <f>VLOOKUP(Tabelle39[[#This Row],[Potenzialtrennung]],Dropdown!$A$2:$D$4,4,FALSE)</f>
        <v>X</v>
      </c>
      <c r="C21" s="42" t="str">
        <f>VLOOKUP(Tabelle39[[#This Row],[Potenzial positiv]],Dropdown!$A$2:$D$4,4,FALSE)</f>
        <v>X</v>
      </c>
      <c r="D21" s="42" t="str">
        <f>VLOOKUP(Tabelle39[[#This Row],[Potenzial negativ]],Dropdown!$A$2:$D$4,4,FALSE)</f>
        <v>X</v>
      </c>
      <c r="E21" s="42" t="str">
        <f>VLOOKUP(Tabelle39[[#This Row],[Schaltdauer]],Dropdown!$A$2:$D$4,4,FALSE)</f>
        <v>X</v>
      </c>
      <c r="F21" s="42" t="str">
        <f>VLOOKUP(Tabelle39[[#This Row],[Verschiebedauer]],Dropdown!$A$2:$D$4,4,FALSE)</f>
        <v>X</v>
      </c>
      <c r="G21" s="42" t="str">
        <f>VLOOKUP(Tabelle39[[#This Row],[Schalthäufigkeit]],Dropdown!$A$2:$D$4,4,FALSE)</f>
        <v>X</v>
      </c>
      <c r="H21" s="42" t="str">
        <f>VLOOKUP(Tabelle39[[#This Row],[Investitionsausgaben]],Dropdown!$A$2:$D$4,4,FALSE)</f>
        <v>X</v>
      </c>
      <c r="I21" s="42" t="str">
        <f>VLOOKUP(Tabelle39[[#This Row],[fixe Kosten]],Dropdown!$A$2:$D$4,4,FALSE)</f>
        <v>X</v>
      </c>
      <c r="J21" s="42" t="str">
        <f>VLOOKUP(Tabelle39[[#This Row],[variable Kosten]],Dropdown!$A$2:$D$4,4,FALSE)</f>
        <v>-</v>
      </c>
      <c r="K21" s="8" t="s">
        <v>273</v>
      </c>
    </row>
    <row r="22" spans="1:11" x14ac:dyDescent="0.25">
      <c r="A22" s="6">
        <v>20</v>
      </c>
      <c r="B22" s="42" t="str">
        <f>VLOOKUP(Tabelle39[[#This Row],[Potenzialtrennung]],Dropdown!$A$2:$D$4,4,FALSE)</f>
        <v>X</v>
      </c>
      <c r="C22" s="42" t="str">
        <f>VLOOKUP(Tabelle39[[#This Row],[Potenzial positiv]],Dropdown!$A$2:$D$4,4,FALSE)</f>
        <v>X</v>
      </c>
      <c r="D22" s="42" t="str">
        <f>VLOOKUP(Tabelle39[[#This Row],[Potenzial negativ]],Dropdown!$A$2:$D$4,4,FALSE)</f>
        <v>-</v>
      </c>
      <c r="E22" s="42" t="str">
        <f>VLOOKUP(Tabelle39[[#This Row],[Schaltdauer]],Dropdown!$A$2:$D$4,4,FALSE)</f>
        <v>-</v>
      </c>
      <c r="F22" s="42" t="str">
        <f>VLOOKUP(Tabelle39[[#This Row],[Verschiebedauer]],Dropdown!$A$2:$D$4,4,FALSE)</f>
        <v>-</v>
      </c>
      <c r="G22" s="42" t="str">
        <f>VLOOKUP(Tabelle39[[#This Row],[Schalthäufigkeit]],Dropdown!$A$2:$D$4,4,FALSE)</f>
        <v>-</v>
      </c>
      <c r="H22" s="42" t="str">
        <f>VLOOKUP(Tabelle39[[#This Row],[Investitionsausgaben]],Dropdown!$A$2:$D$4,4,FALSE)</f>
        <v>-</v>
      </c>
      <c r="I22" s="42" t="str">
        <f>VLOOKUP(Tabelle39[[#This Row],[fixe Kosten]],Dropdown!$A$2:$D$4,4,FALSE)</f>
        <v>-</v>
      </c>
      <c r="J22" s="42" t="str">
        <f>VLOOKUP(Tabelle39[[#This Row],[variable Kosten]],Dropdown!$A$2:$D$4,4,FALSE)</f>
        <v>X</v>
      </c>
      <c r="K22" s="8" t="s">
        <v>210</v>
      </c>
    </row>
    <row r="23" spans="1:11" x14ac:dyDescent="0.25">
      <c r="A23" s="6">
        <v>21</v>
      </c>
      <c r="B23" s="42" t="str">
        <f>VLOOKUP(Tabelle39[[#This Row],[Potenzialtrennung]],Dropdown!$A$2:$D$4,4,FALSE)</f>
        <v>(X)</v>
      </c>
      <c r="C23" s="42" t="str">
        <f>VLOOKUP(Tabelle39[[#This Row],[Potenzial positiv]],Dropdown!$A$2:$D$4,4,FALSE)</f>
        <v>X</v>
      </c>
      <c r="D23" s="42" t="str">
        <f>VLOOKUP(Tabelle39[[#This Row],[Potenzial negativ]],Dropdown!$A$2:$D$4,4,FALSE)</f>
        <v>-</v>
      </c>
      <c r="E23" s="42" t="str">
        <f>VLOOKUP(Tabelle39[[#This Row],[Schaltdauer]],Dropdown!$A$2:$D$4,4,FALSE)</f>
        <v>(X)</v>
      </c>
      <c r="F23" s="42" t="str">
        <f>VLOOKUP(Tabelle39[[#This Row],[Verschiebedauer]],Dropdown!$A$2:$D$4,4,FALSE)</f>
        <v>-</v>
      </c>
      <c r="G23" s="42" t="str">
        <f>VLOOKUP(Tabelle39[[#This Row],[Schalthäufigkeit]],Dropdown!$A$2:$D$4,4,FALSE)</f>
        <v>-</v>
      </c>
      <c r="H23" s="42" t="str">
        <f>VLOOKUP(Tabelle39[[#This Row],[Investitionsausgaben]],Dropdown!$A$2:$D$4,4,FALSE)</f>
        <v>-</v>
      </c>
      <c r="I23" s="42" t="str">
        <f>VLOOKUP(Tabelle39[[#This Row],[fixe Kosten]],Dropdown!$A$2:$D$4,4,FALSE)</f>
        <v>-</v>
      </c>
      <c r="J23" s="42" t="str">
        <f>VLOOKUP(Tabelle39[[#This Row],[variable Kosten]],Dropdown!$A$2:$D$4,4,FALSE)</f>
        <v>-</v>
      </c>
      <c r="K23" s="8">
        <v>15</v>
      </c>
    </row>
    <row r="24" spans="1:11" ht="25.5" x14ac:dyDescent="0.25">
      <c r="A24" s="6">
        <v>22</v>
      </c>
      <c r="B24" s="42" t="str">
        <f>VLOOKUP(Tabelle39[[#This Row],[Potenzialtrennung]],Dropdown!$A$2:$D$4,4,FALSE)</f>
        <v>X</v>
      </c>
      <c r="C24" s="42" t="str">
        <f>VLOOKUP(Tabelle39[[#This Row],[Potenzial positiv]],Dropdown!$A$2:$D$4,4,FALSE)</f>
        <v>X</v>
      </c>
      <c r="D24" s="42" t="str">
        <f>VLOOKUP(Tabelle39[[#This Row],[Potenzial negativ]],Dropdown!$A$2:$D$4,4,FALSE)</f>
        <v>X</v>
      </c>
      <c r="E24" s="42" t="str">
        <f>VLOOKUP(Tabelle39[[#This Row],[Schaltdauer]],Dropdown!$A$2:$D$4,4,FALSE)</f>
        <v>X</v>
      </c>
      <c r="F24" s="42" t="str">
        <f>VLOOKUP(Tabelle39[[#This Row],[Verschiebedauer]],Dropdown!$A$2:$D$4,4,FALSE)</f>
        <v>X</v>
      </c>
      <c r="G24" s="42" t="str">
        <f>VLOOKUP(Tabelle39[[#This Row],[Schalthäufigkeit]],Dropdown!$A$2:$D$4,4,FALSE)</f>
        <v>X</v>
      </c>
      <c r="H24" s="42" t="str">
        <f>VLOOKUP(Tabelle39[[#This Row],[Investitionsausgaben]],Dropdown!$A$2:$D$4,4,FALSE)</f>
        <v>-</v>
      </c>
      <c r="I24" s="42" t="str">
        <f>VLOOKUP(Tabelle39[[#This Row],[fixe Kosten]],Dropdown!$A$2:$D$4,4,FALSE)</f>
        <v>-</v>
      </c>
      <c r="J24" s="42" t="str">
        <f>VLOOKUP(Tabelle39[[#This Row],[variable Kosten]],Dropdown!$A$2:$D$4,4,FALSE)</f>
        <v>X</v>
      </c>
      <c r="K24" s="8" t="s">
        <v>228</v>
      </c>
    </row>
    <row r="25" spans="1:11" x14ac:dyDescent="0.25">
      <c r="A25" s="6">
        <v>23</v>
      </c>
      <c r="B25" s="42" t="str">
        <f>VLOOKUP(Tabelle39[[#This Row],[Potenzialtrennung]],Dropdown!$A$2:$D$4,4,FALSE)</f>
        <v>X</v>
      </c>
      <c r="C25" s="42" t="str">
        <f>VLOOKUP(Tabelle39[[#This Row],[Potenzial positiv]],Dropdown!$A$2:$D$4,4,FALSE)</f>
        <v>X</v>
      </c>
      <c r="D25" s="42" t="str">
        <f>VLOOKUP(Tabelle39[[#This Row],[Potenzial negativ]],Dropdown!$A$2:$D$4,4,FALSE)</f>
        <v>X</v>
      </c>
      <c r="E25" s="42" t="str">
        <f>VLOOKUP(Tabelle39[[#This Row],[Schaltdauer]],Dropdown!$A$2:$D$4,4,FALSE)</f>
        <v>X</v>
      </c>
      <c r="F25" s="42" t="str">
        <f>VLOOKUP(Tabelle39[[#This Row],[Verschiebedauer]],Dropdown!$A$2:$D$4,4,FALSE)</f>
        <v>-</v>
      </c>
      <c r="G25" s="42" t="str">
        <f>VLOOKUP(Tabelle39[[#This Row],[Schalthäufigkeit]],Dropdown!$A$2:$D$4,4,FALSE)</f>
        <v>-</v>
      </c>
      <c r="H25" s="42" t="str">
        <f>VLOOKUP(Tabelle39[[#This Row],[Investitionsausgaben]],Dropdown!$A$2:$D$4,4,FALSE)</f>
        <v>-</v>
      </c>
      <c r="I25" s="42" t="str">
        <f>VLOOKUP(Tabelle39[[#This Row],[fixe Kosten]],Dropdown!$A$2:$D$4,4,FALSE)</f>
        <v>-</v>
      </c>
      <c r="J25" s="42" t="str">
        <f>VLOOKUP(Tabelle39[[#This Row],[variable Kosten]],Dropdown!$A$2:$D$4,4,FALSE)</f>
        <v>-</v>
      </c>
      <c r="K25" s="8" t="s">
        <v>802</v>
      </c>
    </row>
    <row r="26" spans="1:11" x14ac:dyDescent="0.25">
      <c r="A26" s="6">
        <v>24</v>
      </c>
      <c r="B26" s="42" t="str">
        <f>VLOOKUP(Tabelle39[[#This Row],[Potenzialtrennung]],Dropdown!$A$2:$D$4,4,FALSE)</f>
        <v>X</v>
      </c>
      <c r="C26" s="42" t="str">
        <f>VLOOKUP(Tabelle39[[#This Row],[Potenzial positiv]],Dropdown!$A$2:$D$4,4,FALSE)</f>
        <v>X</v>
      </c>
      <c r="D26" s="42" t="str">
        <f>VLOOKUP(Tabelle39[[#This Row],[Potenzial negativ]],Dropdown!$A$2:$D$4,4,FALSE)</f>
        <v>X</v>
      </c>
      <c r="E26" s="42" t="str">
        <f>VLOOKUP(Tabelle39[[#This Row],[Schaltdauer]],Dropdown!$A$2:$D$4,4,FALSE)</f>
        <v>X</v>
      </c>
      <c r="F26" s="42" t="str">
        <f>VLOOKUP(Tabelle39[[#This Row],[Verschiebedauer]],Dropdown!$A$2:$D$4,4,FALSE)</f>
        <v>X</v>
      </c>
      <c r="G26" s="42" t="str">
        <f>VLOOKUP(Tabelle39[[#This Row],[Schalthäufigkeit]],Dropdown!$A$2:$D$4,4,FALSE)</f>
        <v>X</v>
      </c>
      <c r="H26" s="42" t="str">
        <f>VLOOKUP(Tabelle39[[#This Row],[Investitionsausgaben]],Dropdown!$A$2:$D$4,4,FALSE)</f>
        <v>X</v>
      </c>
      <c r="I26" s="42" t="str">
        <f>VLOOKUP(Tabelle39[[#This Row],[fixe Kosten]],Dropdown!$A$2:$D$4,4,FALSE)</f>
        <v>X</v>
      </c>
      <c r="J26" s="42" t="str">
        <f>VLOOKUP(Tabelle39[[#This Row],[variable Kosten]],Dropdown!$A$2:$D$4,4,FALSE)</f>
        <v>X</v>
      </c>
      <c r="K26" s="8" t="s">
        <v>294</v>
      </c>
    </row>
    <row r="27" spans="1:11" x14ac:dyDescent="0.25">
      <c r="A27" s="6">
        <v>25</v>
      </c>
      <c r="B27" s="42" t="str">
        <f>VLOOKUP(Tabelle39[[#This Row],[Potenzialtrennung]],Dropdown!$A$2:$D$4,4,FALSE)</f>
        <v>X</v>
      </c>
      <c r="C27" s="42" t="str">
        <f>VLOOKUP(Tabelle39[[#This Row],[Potenzial positiv]],Dropdown!$A$2:$D$4,4,FALSE)</f>
        <v>X</v>
      </c>
      <c r="D27" s="42" t="str">
        <f>VLOOKUP(Tabelle39[[#This Row],[Potenzial negativ]],Dropdown!$A$2:$D$4,4,FALSE)</f>
        <v>X</v>
      </c>
      <c r="E27" s="42" t="str">
        <f>VLOOKUP(Tabelle39[[#This Row],[Schaltdauer]],Dropdown!$A$2:$D$4,4,FALSE)</f>
        <v>-</v>
      </c>
      <c r="F27" s="42" t="str">
        <f>VLOOKUP(Tabelle39[[#This Row],[Verschiebedauer]],Dropdown!$A$2:$D$4,4,FALSE)</f>
        <v>X</v>
      </c>
      <c r="G27" s="42" t="str">
        <f>VLOOKUP(Tabelle39[[#This Row],[Schalthäufigkeit]],Dropdown!$A$2:$D$4,4,FALSE)</f>
        <v>X</v>
      </c>
      <c r="H27" s="42" t="str">
        <f>VLOOKUP(Tabelle39[[#This Row],[Investitionsausgaben]],Dropdown!$A$2:$D$4,4,FALSE)</f>
        <v>X</v>
      </c>
      <c r="I27" s="42" t="str">
        <f>VLOOKUP(Tabelle39[[#This Row],[fixe Kosten]],Dropdown!$A$2:$D$4,4,FALSE)</f>
        <v>X</v>
      </c>
      <c r="J27" s="42" t="str">
        <f>VLOOKUP(Tabelle39[[#This Row],[variable Kosten]],Dropdown!$A$2:$D$4,4,FALSE)</f>
        <v>X</v>
      </c>
      <c r="K27" s="8" t="s">
        <v>250</v>
      </c>
    </row>
    <row r="28" spans="1:11" x14ac:dyDescent="0.25">
      <c r="A28" s="56" t="s">
        <v>854</v>
      </c>
      <c r="B28" s="60">
        <f>Tabelle39[[#This Row],[Potenzialtrennung]]</f>
        <v>20.5</v>
      </c>
      <c r="C28" s="60">
        <f>Tabelle39[[#This Row],[Potenzial positiv]]</f>
        <v>25</v>
      </c>
      <c r="D28" s="60">
        <f>Tabelle39[[#This Row],[Potenzial negativ]]</f>
        <v>23</v>
      </c>
      <c r="E28" s="60">
        <f>Tabelle39[[#This Row],[Schaltdauer]]</f>
        <v>13</v>
      </c>
      <c r="F28" s="60">
        <f>Tabelle39[[#This Row],[Verschiebedauer]]</f>
        <v>16</v>
      </c>
      <c r="G28" s="60">
        <f>Tabelle39[[#This Row],[Schalthäufigkeit]]</f>
        <v>14.5</v>
      </c>
      <c r="H28" s="60">
        <f>Tabelle39[[#This Row],[Investitionsausgaben]]</f>
        <v>12</v>
      </c>
      <c r="I28" s="60">
        <f>Tabelle39[[#This Row],[fixe Kosten]]</f>
        <v>10.5</v>
      </c>
      <c r="J28" s="60">
        <f>Tabelle39[[#This Row],[variable Kosten]]</f>
        <v>12.5</v>
      </c>
      <c r="K28" s="60">
        <f>Tabelle39[[#This Row],[Quellen Flexibilitätsparameter]]</f>
        <v>0</v>
      </c>
    </row>
    <row r="29" spans="1:11" ht="51" x14ac:dyDescent="0.25">
      <c r="A29" s="51" t="s">
        <v>1200</v>
      </c>
      <c r="B29" s="17" t="s">
        <v>1201</v>
      </c>
      <c r="C29" s="73" t="s">
        <v>1208</v>
      </c>
      <c r="D29" s="73" t="s">
        <v>1209</v>
      </c>
      <c r="E29" s="17" t="s">
        <v>1202</v>
      </c>
      <c r="F29" s="17" t="s">
        <v>1203</v>
      </c>
      <c r="G29" s="17" t="s">
        <v>1204</v>
      </c>
      <c r="H29" s="17" t="s">
        <v>1205</v>
      </c>
      <c r="I29" s="40" t="s">
        <v>1206</v>
      </c>
      <c r="J29" s="17" t="s">
        <v>1207</v>
      </c>
      <c r="K29" s="17"/>
    </row>
  </sheetData>
  <pageMargins left="0.7" right="0.7" top="0.78740157499999996" bottom="0.78740157499999996" header="0.3" footer="0.3"/>
  <ignoredErrors>
    <ignoredError sqref="C3" calculatedColumn="1"/>
  </ignoredErrors>
  <drawing r:id="rId1"/>
  <tableParts count="1">
    <tablePart r:id="rId2"/>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4F971-4706-41ED-B9F1-0C6B9202BEDB}">
  <sheetPr codeName="Tabelle47">
    <tabColor theme="4" tint="0.79998168889431442"/>
  </sheetPr>
  <dimension ref="A1:H28"/>
  <sheetViews>
    <sheetView topLeftCell="A5" workbookViewId="0">
      <selection activeCell="I8" sqref="I8"/>
    </sheetView>
  </sheetViews>
  <sheetFormatPr baseColWidth="10" defaultColWidth="10.875" defaultRowHeight="15.75" x14ac:dyDescent="0.25"/>
  <cols>
    <col min="1" max="1" width="13.625" style="7" customWidth="1"/>
    <col min="2" max="7" width="14" style="7" customWidth="1"/>
    <col min="8" max="8" width="14" style="7" hidden="1" customWidth="1"/>
    <col min="9" max="16384" width="10.875" style="7"/>
  </cols>
  <sheetData>
    <row r="1" spans="1:8" ht="39.75" hidden="1" customHeight="1" x14ac:dyDescent="0.25">
      <c r="A1" s="3" t="s">
        <v>86</v>
      </c>
      <c r="B1" s="4" t="s">
        <v>1404</v>
      </c>
      <c r="C1" s="4" t="s">
        <v>1404</v>
      </c>
      <c r="D1" s="4" t="s">
        <v>1404</v>
      </c>
      <c r="E1" s="4" t="s">
        <v>1404</v>
      </c>
      <c r="F1" s="4" t="s">
        <v>1404</v>
      </c>
      <c r="G1" s="4" t="s">
        <v>1404</v>
      </c>
      <c r="H1" s="4" t="s">
        <v>1404</v>
      </c>
    </row>
    <row r="2" spans="1:8" ht="48" customHeight="1" x14ac:dyDescent="0.25">
      <c r="A2" s="3" t="s">
        <v>1</v>
      </c>
      <c r="B2" s="4" t="s">
        <v>1645</v>
      </c>
      <c r="C2" s="4" t="s">
        <v>1442</v>
      </c>
      <c r="D2" s="4" t="s">
        <v>1444</v>
      </c>
      <c r="E2" s="4" t="s">
        <v>1445</v>
      </c>
      <c r="F2" s="4" t="s">
        <v>1446</v>
      </c>
      <c r="G2" s="4" t="s">
        <v>1447</v>
      </c>
      <c r="H2" s="4" t="s">
        <v>1419</v>
      </c>
    </row>
    <row r="3" spans="1:8" x14ac:dyDescent="0.25">
      <c r="A3" s="6" t="s">
        <v>12</v>
      </c>
      <c r="B3" s="93">
        <f>Ueberblick[[#This Row],[Benutzungsstunden / Auslastungsgrade angegeben?]]</f>
        <v>1</v>
      </c>
      <c r="C3" s="93">
        <f>Ueberblick[[#This Row],[Saisonalität berücksichtigt?]]</f>
        <v>1</v>
      </c>
      <c r="D3" s="93">
        <f>Ueberblick[[#This Row],[Tageszeitliche Abhängigkeit berücksichtigt?]]</f>
        <v>1</v>
      </c>
      <c r="E3" s="93">
        <f>Ueberblick[[#This Row],[Temperaturabhängigkeit berücksichtigt?]]</f>
        <v>0.5</v>
      </c>
      <c r="F3" s="93">
        <f>Ueberblick[[#This Row],[Lastgänge / Lastblöcke berücksichtigt?]]</f>
        <v>1</v>
      </c>
      <c r="G3" s="93">
        <f>Ueberblick[[#This Row],[Zeitverfügbarkeitszeitreihen generiert?]]</f>
        <v>0</v>
      </c>
      <c r="H3" s="93" t="str">
        <f>Ueberblick[[#This Row],[Quellen Zeitverfügbarkeit]]</f>
        <v>S. 34-58</v>
      </c>
    </row>
    <row r="4" spans="1:8" ht="63.75" x14ac:dyDescent="0.25">
      <c r="A4" s="6" t="s">
        <v>347</v>
      </c>
      <c r="B4" s="93">
        <f>Ueberblick[[#This Row],[Benutzungsstunden / Auslastungsgrade angegeben?]]</f>
        <v>0</v>
      </c>
      <c r="C4" s="93">
        <f>Ueberblick[[#This Row],[Saisonalität berücksichtigt?]]</f>
        <v>1</v>
      </c>
      <c r="D4" s="93">
        <f>Ueberblick[[#This Row],[Tageszeitliche Abhängigkeit berücksichtigt?]]</f>
        <v>1</v>
      </c>
      <c r="E4" s="93">
        <f>Ueberblick[[#This Row],[Temperaturabhängigkeit berücksichtigt?]]</f>
        <v>1</v>
      </c>
      <c r="F4" s="93">
        <f>Ueberblick[[#This Row],[Lastgänge / Lastblöcke berücksichtigt?]]</f>
        <v>1</v>
      </c>
      <c r="G4" s="93">
        <f>Ueberblick[[#This Row],[Zeitverfügbarkeitszeitreihen generiert?]]</f>
        <v>1</v>
      </c>
      <c r="H4" s="93" t="str">
        <f>Ueberblick[[#This Row],[Quellen Zeitverfügbarkeit]]</f>
        <v>im gesamten Artikel; zudem: Zeitreihen im Supplementary Material</v>
      </c>
    </row>
    <row r="5" spans="1:8" s="11" customFormat="1" ht="25.5" x14ac:dyDescent="0.25">
      <c r="A5" s="6" t="s">
        <v>348</v>
      </c>
      <c r="B5" s="93">
        <f>Ueberblick[[#This Row],[Benutzungsstunden / Auslastungsgrade angegeben?]]</f>
        <v>1</v>
      </c>
      <c r="C5" s="93">
        <f>Ueberblick[[#This Row],[Saisonalität berücksichtigt?]]</f>
        <v>0</v>
      </c>
      <c r="D5" s="93">
        <f>Ueberblick[[#This Row],[Tageszeitliche Abhängigkeit berücksichtigt?]]</f>
        <v>0</v>
      </c>
      <c r="E5" s="93">
        <f>Ueberblick[[#This Row],[Temperaturabhängigkeit berücksichtigt?]]</f>
        <v>0</v>
      </c>
      <c r="F5" s="93">
        <f>Ueberblick[[#This Row],[Lastgänge / Lastblöcke berücksichtigt?]]</f>
        <v>0</v>
      </c>
      <c r="G5" s="93">
        <f>Ueberblick[[#This Row],[Zeitverfügbarkeitszeitreihen generiert?]]</f>
        <v>0</v>
      </c>
      <c r="H5" s="93">
        <f>Ueberblick[[#This Row],[Quellen Zeitverfügbarkeit]]</f>
        <v>0</v>
      </c>
    </row>
    <row r="6" spans="1:8" s="11" customFormat="1" ht="25.5" x14ac:dyDescent="0.25">
      <c r="A6" s="6" t="s">
        <v>183</v>
      </c>
      <c r="B6" s="93">
        <f>Ueberblick[[#This Row],[Benutzungsstunden / Auslastungsgrade angegeben?]]</f>
        <v>0.5</v>
      </c>
      <c r="C6" s="93">
        <f>Ueberblick[[#This Row],[Saisonalität berücksichtigt?]]</f>
        <v>0.5</v>
      </c>
      <c r="D6" s="93">
        <f>Ueberblick[[#This Row],[Tageszeitliche Abhängigkeit berücksichtigt?]]</f>
        <v>1</v>
      </c>
      <c r="E6" s="93">
        <f>Ueberblick[[#This Row],[Temperaturabhängigkeit berücksichtigt?]]</f>
        <v>0</v>
      </c>
      <c r="F6" s="93">
        <f>Ueberblick[[#This Row],[Lastgänge / Lastblöcke berücksichtigt?]]</f>
        <v>1</v>
      </c>
      <c r="G6" s="93">
        <f>Ueberblick[[#This Row],[Zeitverfügbarkeitszeitreihen generiert?]]</f>
        <v>0</v>
      </c>
      <c r="H6" s="93" t="str">
        <f>Ueberblick[[#This Row],[Quellen Zeitverfügbarkeit]]</f>
        <v>S. 59-99</v>
      </c>
    </row>
    <row r="7" spans="1:8" s="11" customFormat="1" ht="25.5" x14ac:dyDescent="0.25">
      <c r="A7" s="6" t="s">
        <v>258</v>
      </c>
      <c r="B7" s="93">
        <f>Ueberblick[[#This Row],[Benutzungsstunden / Auslastungsgrade angegeben?]]</f>
        <v>1</v>
      </c>
      <c r="C7" s="93">
        <f>Ueberblick[[#This Row],[Saisonalität berücksichtigt?]]</f>
        <v>1</v>
      </c>
      <c r="D7" s="93">
        <f>Ueberblick[[#This Row],[Tageszeitliche Abhängigkeit berücksichtigt?]]</f>
        <v>1</v>
      </c>
      <c r="E7" s="93">
        <f>Ueberblick[[#This Row],[Temperaturabhängigkeit berücksichtigt?]]</f>
        <v>1</v>
      </c>
      <c r="F7" s="93">
        <f>Ueberblick[[#This Row],[Lastgänge / Lastblöcke berücksichtigt?]]</f>
        <v>1</v>
      </c>
      <c r="G7" s="93">
        <f>Ueberblick[[#This Row],[Zeitverfügbarkeitszeitreihen generiert?]]</f>
        <v>1</v>
      </c>
      <c r="H7" s="93" t="str">
        <f>Ueberblick[[#This Row],[Quellen Zeitverfügbarkeit]]</f>
        <v>S. 13, 16-17</v>
      </c>
    </row>
    <row r="8" spans="1:8" s="11" customFormat="1" ht="25.5" x14ac:dyDescent="0.25">
      <c r="A8" s="18" t="s">
        <v>355</v>
      </c>
      <c r="B8" s="93">
        <f>Ueberblick[[#This Row],[Benutzungsstunden / Auslastungsgrade angegeben?]]</f>
        <v>0</v>
      </c>
      <c r="C8" s="93">
        <f>Ueberblick[[#This Row],[Saisonalität berücksichtigt?]]</f>
        <v>0</v>
      </c>
      <c r="D8" s="93">
        <f>Ueberblick[[#This Row],[Tageszeitliche Abhängigkeit berücksichtigt?]]</f>
        <v>0</v>
      </c>
      <c r="E8" s="93">
        <f>Ueberblick[[#This Row],[Temperaturabhängigkeit berücksichtigt?]]</f>
        <v>0</v>
      </c>
      <c r="F8" s="93">
        <f>Ueberblick[[#This Row],[Lastgänge / Lastblöcke berücksichtigt?]]</f>
        <v>0</v>
      </c>
      <c r="G8" s="93">
        <f>Ueberblick[[#This Row],[Zeitverfügbarkeitszeitreihen generiert?]]</f>
        <v>0</v>
      </c>
      <c r="H8" s="93" t="str">
        <f>Ueberblick[[#This Row],[Quellen Zeitverfügbarkeit]]</f>
        <v>keine (i.e.S.)</v>
      </c>
    </row>
    <row r="9" spans="1:8" ht="25.5" x14ac:dyDescent="0.25">
      <c r="A9" s="18" t="s">
        <v>431</v>
      </c>
      <c r="B9" s="93">
        <f>Ueberblick[[#This Row],[Benutzungsstunden / Auslastungsgrade angegeben?]]</f>
        <v>0</v>
      </c>
      <c r="C9" s="93">
        <f>Ueberblick[[#This Row],[Saisonalität berücksichtigt?]]</f>
        <v>0</v>
      </c>
      <c r="D9" s="93">
        <f>Ueberblick[[#This Row],[Tageszeitliche Abhängigkeit berücksichtigt?]]</f>
        <v>0</v>
      </c>
      <c r="E9" s="93">
        <f>Ueberblick[[#This Row],[Temperaturabhängigkeit berücksichtigt?]]</f>
        <v>1</v>
      </c>
      <c r="F9" s="93">
        <f>Ueberblick[[#This Row],[Lastgänge / Lastblöcke berücksichtigt?]]</f>
        <v>0</v>
      </c>
      <c r="G9" s="93">
        <f>Ueberblick[[#This Row],[Zeitverfügbarkeitszeitreihen generiert?]]</f>
        <v>1</v>
      </c>
      <c r="H9" s="93" t="str">
        <f>Ueberblick[[#This Row],[Quellen Zeitverfügbarkeit]]</f>
        <v>S. 34</v>
      </c>
    </row>
    <row r="10" spans="1:8" ht="25.5" x14ac:dyDescent="0.25">
      <c r="A10" s="6" t="s">
        <v>410</v>
      </c>
      <c r="B10" s="93">
        <f>Ueberblick[[#This Row],[Benutzungsstunden / Auslastungsgrade angegeben?]]</f>
        <v>1</v>
      </c>
      <c r="C10" s="93">
        <f>Ueberblick[[#This Row],[Saisonalität berücksichtigt?]]</f>
        <v>1</v>
      </c>
      <c r="D10" s="93">
        <f>Ueberblick[[#This Row],[Tageszeitliche Abhängigkeit berücksichtigt?]]</f>
        <v>1</v>
      </c>
      <c r="E10" s="93">
        <f>Ueberblick[[#This Row],[Temperaturabhängigkeit berücksichtigt?]]</f>
        <v>0</v>
      </c>
      <c r="F10" s="93">
        <f>Ueberblick[[#This Row],[Lastgänge / Lastblöcke berücksichtigt?]]</f>
        <v>0.5</v>
      </c>
      <c r="G10" s="93">
        <f>Ueberblick[[#This Row],[Zeitverfügbarkeitszeitreihen generiert?]]</f>
        <v>0</v>
      </c>
      <c r="H10" s="93" t="str">
        <f>Ueberblick[[#This Row],[Quellen Zeitverfügbarkeit]]</f>
        <v>S. 22, 63-64, 100-104</v>
      </c>
    </row>
    <row r="11" spans="1:8" s="11" customFormat="1" x14ac:dyDescent="0.25">
      <c r="A11" s="6" t="s">
        <v>393</v>
      </c>
      <c r="B11" s="93">
        <f>Ueberblick[[#This Row],[Benutzungsstunden / Auslastungsgrade angegeben?]]</f>
        <v>0</v>
      </c>
      <c r="C11" s="93">
        <f>Ueberblick[[#This Row],[Saisonalität berücksichtigt?]]</f>
        <v>1</v>
      </c>
      <c r="D11" s="93">
        <f>Ueberblick[[#This Row],[Tageszeitliche Abhängigkeit berücksichtigt?]]</f>
        <v>0</v>
      </c>
      <c r="E11" s="93">
        <f>Ueberblick[[#This Row],[Temperaturabhängigkeit berücksichtigt?]]</f>
        <v>1</v>
      </c>
      <c r="F11" s="93">
        <f>Ueberblick[[#This Row],[Lastgänge / Lastblöcke berücksichtigt?]]</f>
        <v>1</v>
      </c>
      <c r="G11" s="93">
        <f>Ueberblick[[#This Row],[Zeitverfügbarkeitszeitreihen generiert?]]</f>
        <v>0.5</v>
      </c>
      <c r="H11" s="93" t="str">
        <f>Ueberblick[[#This Row],[Quellen Zeitverfügbarkeit]]</f>
        <v>S. 65-81</v>
      </c>
    </row>
    <row r="12" spans="1:8" s="11" customFormat="1" ht="51" x14ac:dyDescent="0.25">
      <c r="A12" s="21" t="s">
        <v>380</v>
      </c>
      <c r="B12" s="93">
        <f>Ueberblick[[#This Row],[Benutzungsstunden / Auslastungsgrade angegeben?]]</f>
        <v>1</v>
      </c>
      <c r="C12" s="93">
        <f>Ueberblick[[#This Row],[Saisonalität berücksichtigt?]]</f>
        <v>0.5</v>
      </c>
      <c r="D12" s="93">
        <f>Ueberblick[[#This Row],[Tageszeitliche Abhängigkeit berücksichtigt?]]</f>
        <v>0</v>
      </c>
      <c r="E12" s="93">
        <f>Ueberblick[[#This Row],[Temperaturabhängigkeit berücksichtigt?]]</f>
        <v>0</v>
      </c>
      <c r="F12" s="93">
        <f>Ueberblick[[#This Row],[Lastgänge / Lastblöcke berücksichtigt?]]</f>
        <v>0</v>
      </c>
      <c r="G12" s="93">
        <f>Ueberblick[[#This Row],[Zeitverfügbarkeitszeitreihen generiert?]]</f>
        <v>0</v>
      </c>
      <c r="H12" s="93">
        <f>Ueberblick[[#This Row],[Quellen Zeitverfügbarkeit]]</f>
        <v>0</v>
      </c>
    </row>
    <row r="13" spans="1:8" ht="25.5" x14ac:dyDescent="0.25">
      <c r="A13" s="6" t="s">
        <v>95</v>
      </c>
      <c r="B13" s="93">
        <f>Ueberblick[[#This Row],[Benutzungsstunden / Auslastungsgrade angegeben?]]</f>
        <v>0</v>
      </c>
      <c r="C13" s="93">
        <f>Ueberblick[[#This Row],[Saisonalität berücksichtigt?]]</f>
        <v>0.5</v>
      </c>
      <c r="D13" s="93">
        <f>Ueberblick[[#This Row],[Tageszeitliche Abhängigkeit berücksichtigt?]]</f>
        <v>0.5</v>
      </c>
      <c r="E13" s="93">
        <f>Ueberblick[[#This Row],[Temperaturabhängigkeit berücksichtigt?]]</f>
        <v>0</v>
      </c>
      <c r="F13" s="93">
        <f>Ueberblick[[#This Row],[Lastgänge / Lastblöcke berücksichtigt?]]</f>
        <v>0</v>
      </c>
      <c r="G13" s="93">
        <f>Ueberblick[[#This Row],[Zeitverfügbarkeitszeitreihen generiert?]]</f>
        <v>0</v>
      </c>
      <c r="H13" s="93" t="str">
        <f>Ueberblick[[#This Row],[Quellen Zeitverfügbarkeit]]</f>
        <v>S. 52-66</v>
      </c>
    </row>
    <row r="14" spans="1:8" s="11" customFormat="1" ht="63.75" x14ac:dyDescent="0.25">
      <c r="A14" s="6" t="s">
        <v>1709</v>
      </c>
      <c r="B14" s="93">
        <f>Ueberblick[[#This Row],[Benutzungsstunden / Auslastungsgrade angegeben?]]</f>
        <v>0</v>
      </c>
      <c r="C14" s="93">
        <f>Ueberblick[[#This Row],[Saisonalität berücksichtigt?]]</f>
        <v>0</v>
      </c>
      <c r="D14" s="93">
        <f>Ueberblick[[#This Row],[Tageszeitliche Abhängigkeit berücksichtigt?]]</f>
        <v>1</v>
      </c>
      <c r="E14" s="93">
        <f>Ueberblick[[#This Row],[Temperaturabhängigkeit berücksichtigt?]]</f>
        <v>1</v>
      </c>
      <c r="F14" s="93">
        <f>Ueberblick[[#This Row],[Lastgänge / Lastblöcke berücksichtigt?]]</f>
        <v>0.5</v>
      </c>
      <c r="G14" s="93">
        <f>Ueberblick[[#This Row],[Zeitverfügbarkeitszeitreihen generiert?]]</f>
        <v>0</v>
      </c>
      <c r="H14" s="93" t="str">
        <f>Ueberblick[[#This Row],[Quellen Zeitverfügbarkeit]]</f>
        <v>S. 41, 44-50</v>
      </c>
    </row>
    <row r="15" spans="1:8" ht="25.5" x14ac:dyDescent="0.25">
      <c r="A15" s="6" t="s">
        <v>179</v>
      </c>
      <c r="B15" s="93">
        <f>Ueberblick[[#This Row],[Benutzungsstunden / Auslastungsgrade angegeben?]]</f>
        <v>0</v>
      </c>
      <c r="C15" s="93">
        <f>Ueberblick[[#This Row],[Saisonalität berücksichtigt?]]</f>
        <v>0</v>
      </c>
      <c r="D15" s="93">
        <f>Ueberblick[[#This Row],[Tageszeitliche Abhängigkeit berücksichtigt?]]</f>
        <v>0</v>
      </c>
      <c r="E15" s="93">
        <f>Ueberblick[[#This Row],[Temperaturabhängigkeit berücksichtigt?]]</f>
        <v>0</v>
      </c>
      <c r="F15" s="93">
        <f>Ueberblick[[#This Row],[Lastgänge / Lastblöcke berücksichtigt?]]</f>
        <v>0</v>
      </c>
      <c r="G15" s="93">
        <f>Ueberblick[[#This Row],[Zeitverfügbarkeitszeitreihen generiert?]]</f>
        <v>0</v>
      </c>
      <c r="H15" s="93" t="str">
        <f>Ueberblick[[#This Row],[Quellen Zeitverfügbarkeit]]</f>
        <v>keine (i.e.S.)</v>
      </c>
    </row>
    <row r="16" spans="1:8" s="11" customFormat="1" ht="25.5" x14ac:dyDescent="0.25">
      <c r="A16" s="6" t="s">
        <v>341</v>
      </c>
      <c r="B16" s="93">
        <f>Ueberblick[[#This Row],[Benutzungsstunden / Auslastungsgrade angegeben?]]</f>
        <v>1</v>
      </c>
      <c r="C16" s="93">
        <f>Ueberblick[[#This Row],[Saisonalität berücksichtigt?]]</f>
        <v>1</v>
      </c>
      <c r="D16" s="93">
        <f>Ueberblick[[#This Row],[Tageszeitliche Abhängigkeit berücksichtigt?]]</f>
        <v>1</v>
      </c>
      <c r="E16" s="93">
        <f>Ueberblick[[#This Row],[Temperaturabhängigkeit berücksichtigt?]]</f>
        <v>1</v>
      </c>
      <c r="F16" s="93">
        <f>Ueberblick[[#This Row],[Lastgänge / Lastblöcke berücksichtigt?]]</f>
        <v>1</v>
      </c>
      <c r="G16" s="93">
        <f>Ueberblick[[#This Row],[Zeitverfügbarkeitszeitreihen generiert?]]</f>
        <v>1</v>
      </c>
      <c r="H16" s="93" t="str">
        <f>Ueberblick[[#This Row],[Quellen Zeitverfügbarkeit]]</f>
        <v>S. 23, 44-59, 65-67, 197-208</v>
      </c>
    </row>
    <row r="17" spans="1:8" ht="25.5" x14ac:dyDescent="0.25">
      <c r="A17" s="6" t="s">
        <v>22</v>
      </c>
      <c r="B17" s="93">
        <f>Ueberblick[[#This Row],[Benutzungsstunden / Auslastungsgrade angegeben?]]</f>
        <v>1</v>
      </c>
      <c r="C17" s="93">
        <f>Ueberblick[[#This Row],[Saisonalität berücksichtigt?]]</f>
        <v>0</v>
      </c>
      <c r="D17" s="93">
        <f>Ueberblick[[#This Row],[Tageszeitliche Abhängigkeit berücksichtigt?]]</f>
        <v>0</v>
      </c>
      <c r="E17" s="93">
        <f>Ueberblick[[#This Row],[Temperaturabhängigkeit berücksichtigt?]]</f>
        <v>0</v>
      </c>
      <c r="F17" s="93">
        <f>Ueberblick[[#This Row],[Lastgänge / Lastblöcke berücksichtigt?]]</f>
        <v>0</v>
      </c>
      <c r="G17" s="93">
        <f>Ueberblick[[#This Row],[Zeitverfügbarkeitszeitreihen generiert?]]</f>
        <v>0</v>
      </c>
      <c r="H17" s="93" t="str">
        <f>Ueberblick[[#This Row],[Quellen Zeitverfügbarkeit]]</f>
        <v>S. 17, 103-153</v>
      </c>
    </row>
    <row r="18" spans="1:8" s="11" customFormat="1" ht="25.5" x14ac:dyDescent="0.25">
      <c r="A18" s="6" t="s">
        <v>188</v>
      </c>
      <c r="B18" s="93">
        <f>Ueberblick[[#This Row],[Benutzungsstunden / Auslastungsgrade angegeben?]]</f>
        <v>0.5</v>
      </c>
      <c r="C18" s="93">
        <f>Ueberblick[[#This Row],[Saisonalität berücksichtigt?]]</f>
        <v>0</v>
      </c>
      <c r="D18" s="93">
        <f>Ueberblick[[#This Row],[Tageszeitliche Abhängigkeit berücksichtigt?]]</f>
        <v>0.5</v>
      </c>
      <c r="E18" s="93">
        <f>Ueberblick[[#This Row],[Temperaturabhängigkeit berücksichtigt?]]</f>
        <v>0.5</v>
      </c>
      <c r="F18" s="93">
        <f>Ueberblick[[#This Row],[Lastgänge / Lastblöcke berücksichtigt?]]</f>
        <v>0</v>
      </c>
      <c r="G18" s="93">
        <f>Ueberblick[[#This Row],[Zeitverfügbarkeitszeitreihen generiert?]]</f>
        <v>0</v>
      </c>
      <c r="H18" s="93" t="str">
        <f>Ueberblick[[#This Row],[Quellen Zeitverfügbarkeit]]</f>
        <v>S. 19-20, 22-23, 25, 27, 34-35</v>
      </c>
    </row>
    <row r="19" spans="1:8" ht="38.25" x14ac:dyDescent="0.25">
      <c r="A19" s="6" t="s">
        <v>133</v>
      </c>
      <c r="B19" s="93">
        <f>Ueberblick[[#This Row],[Benutzungsstunden / Auslastungsgrade angegeben?]]</f>
        <v>1</v>
      </c>
      <c r="C19" s="93">
        <f>Ueberblick[[#This Row],[Saisonalität berücksichtigt?]]</f>
        <v>1</v>
      </c>
      <c r="D19" s="93">
        <f>Ueberblick[[#This Row],[Tageszeitliche Abhängigkeit berücksichtigt?]]</f>
        <v>1</v>
      </c>
      <c r="E19" s="93">
        <f>Ueberblick[[#This Row],[Temperaturabhängigkeit berücksichtigt?]]</f>
        <v>1</v>
      </c>
      <c r="F19" s="93">
        <f>Ueberblick[[#This Row],[Lastgänge / Lastblöcke berücksichtigt?]]</f>
        <v>0</v>
      </c>
      <c r="G19" s="93">
        <f>Ueberblick[[#This Row],[Zeitverfügbarkeitszeitreihen generiert?]]</f>
        <v>0.5</v>
      </c>
      <c r="H19" s="93" t="str">
        <f>Ueberblick[[#This Row],[Quellen Zeitverfügbarkeit]]</f>
        <v>S. 412-425</v>
      </c>
    </row>
    <row r="20" spans="1:8" s="11" customFormat="1" ht="25.5" x14ac:dyDescent="0.25">
      <c r="A20" s="6" t="s">
        <v>10</v>
      </c>
      <c r="B20" s="93">
        <f>Ueberblick[[#This Row],[Benutzungsstunden / Auslastungsgrade angegeben?]]</f>
        <v>1</v>
      </c>
      <c r="C20" s="93">
        <f>Ueberblick[[#This Row],[Saisonalität berücksichtigt?]]</f>
        <v>0</v>
      </c>
      <c r="D20" s="93">
        <f>Ueberblick[[#This Row],[Tageszeitliche Abhängigkeit berücksichtigt?]]</f>
        <v>0</v>
      </c>
      <c r="E20" s="93">
        <f>Ueberblick[[#This Row],[Temperaturabhängigkeit berücksichtigt?]]</f>
        <v>0</v>
      </c>
      <c r="F20" s="93">
        <f>Ueberblick[[#This Row],[Lastgänge / Lastblöcke berücksichtigt?]]</f>
        <v>0</v>
      </c>
      <c r="G20" s="93">
        <f>Ueberblick[[#This Row],[Zeitverfügbarkeitszeitreihen generiert?]]</f>
        <v>0.5</v>
      </c>
      <c r="H20" s="93" t="str">
        <f>Ueberblick[[#This Row],[Quellen Zeitverfügbarkeit]]</f>
        <v>S. 434-435, 437</v>
      </c>
    </row>
    <row r="21" spans="1:8" ht="51" x14ac:dyDescent="0.25">
      <c r="A21" s="6" t="s">
        <v>832</v>
      </c>
      <c r="B21" s="93">
        <f>Ueberblick[[#This Row],[Benutzungsstunden / Auslastungsgrade angegeben?]]</f>
        <v>1</v>
      </c>
      <c r="C21" s="93">
        <f>Ueberblick[[#This Row],[Saisonalität berücksichtigt?]]</f>
        <v>1</v>
      </c>
      <c r="D21" s="93">
        <f>Ueberblick[[#This Row],[Tageszeitliche Abhängigkeit berücksichtigt?]]</f>
        <v>1</v>
      </c>
      <c r="E21" s="93">
        <f>Ueberblick[[#This Row],[Temperaturabhängigkeit berücksichtigt?]]</f>
        <v>1</v>
      </c>
      <c r="F21" s="93">
        <f>Ueberblick[[#This Row],[Lastgänge / Lastblöcke berücksichtigt?]]</f>
        <v>1</v>
      </c>
      <c r="G21" s="93">
        <f>Ueberblick[[#This Row],[Zeitverfügbarkeitszeitreihen generiert?]]</f>
        <v>0</v>
      </c>
      <c r="H21" s="93" t="str">
        <f>Ueberblick[[#This Row],[Quellen Zeitverfügbarkeit]]</f>
        <v>S. 88-93, 97-98, 101, 103, 108-109, 137-139, 209-213</v>
      </c>
    </row>
    <row r="22" spans="1:8" s="11" customFormat="1" x14ac:dyDescent="0.25">
      <c r="A22" s="6" t="s">
        <v>16</v>
      </c>
      <c r="B22" s="93">
        <f>Ueberblick[[#This Row],[Benutzungsstunden / Auslastungsgrade angegeben?]]</f>
        <v>0</v>
      </c>
      <c r="C22" s="93">
        <f>Ueberblick[[#This Row],[Saisonalität berücksichtigt?]]</f>
        <v>0</v>
      </c>
      <c r="D22" s="93">
        <f>Ueberblick[[#This Row],[Tageszeitliche Abhängigkeit berücksichtigt?]]</f>
        <v>0</v>
      </c>
      <c r="E22" s="93">
        <f>Ueberblick[[#This Row],[Temperaturabhängigkeit berücksichtigt?]]</f>
        <v>0</v>
      </c>
      <c r="F22" s="93">
        <f>Ueberblick[[#This Row],[Lastgänge / Lastblöcke berücksichtigt?]]</f>
        <v>0</v>
      </c>
      <c r="G22" s="93">
        <f>Ueberblick[[#This Row],[Zeitverfügbarkeitszeitreihen generiert?]]</f>
        <v>0</v>
      </c>
      <c r="H22" s="93" t="str">
        <f>Ueberblick[[#This Row],[Quellen Zeitverfügbarkeit]]</f>
        <v>keine (i.e.S.)</v>
      </c>
    </row>
    <row r="23" spans="1:8" ht="25.5" x14ac:dyDescent="0.25">
      <c r="A23" s="6" t="s">
        <v>7</v>
      </c>
      <c r="B23" s="93">
        <f>Ueberblick[[#This Row],[Benutzungsstunden / Auslastungsgrade angegeben?]]</f>
        <v>0</v>
      </c>
      <c r="C23" s="93">
        <f>Ueberblick[[#This Row],[Saisonalität berücksichtigt?]]</f>
        <v>0</v>
      </c>
      <c r="D23" s="93">
        <f>Ueberblick[[#This Row],[Tageszeitliche Abhängigkeit berücksichtigt?]]</f>
        <v>0</v>
      </c>
      <c r="E23" s="93">
        <f>Ueberblick[[#This Row],[Temperaturabhängigkeit berücksichtigt?]]</f>
        <v>0</v>
      </c>
      <c r="F23" s="93">
        <f>Ueberblick[[#This Row],[Lastgänge / Lastblöcke berücksichtigt?]]</f>
        <v>0</v>
      </c>
      <c r="G23" s="93">
        <f>Ueberblick[[#This Row],[Zeitverfügbarkeitszeitreihen generiert?]]</f>
        <v>0</v>
      </c>
      <c r="H23" s="93" t="str">
        <f>Ueberblick[[#This Row],[Quellen Zeitverfügbarkeit]]</f>
        <v>keine (i.e.S.)</v>
      </c>
    </row>
    <row r="24" spans="1:8" s="11" customFormat="1" ht="25.5" x14ac:dyDescent="0.25">
      <c r="A24" s="6" t="s">
        <v>18</v>
      </c>
      <c r="B24" s="93">
        <f>Ueberblick[[#This Row],[Benutzungsstunden / Auslastungsgrade angegeben?]]</f>
        <v>1</v>
      </c>
      <c r="C24" s="93">
        <f>Ueberblick[[#This Row],[Saisonalität berücksichtigt?]]</f>
        <v>1</v>
      </c>
      <c r="D24" s="93">
        <f>Ueberblick[[#This Row],[Tageszeitliche Abhängigkeit berücksichtigt?]]</f>
        <v>1</v>
      </c>
      <c r="E24" s="93">
        <f>Ueberblick[[#This Row],[Temperaturabhängigkeit berücksichtigt?]]</f>
        <v>1</v>
      </c>
      <c r="F24" s="93">
        <f>Ueberblick[[#This Row],[Lastgänge / Lastblöcke berücksichtigt?]]</f>
        <v>1</v>
      </c>
      <c r="G24" s="93">
        <f>Ueberblick[[#This Row],[Zeitverfügbarkeitszeitreihen generiert?]]</f>
        <v>1</v>
      </c>
      <c r="H24" s="93" t="str">
        <f>Ueberblick[[#This Row],[Quellen Zeitverfügbarkeit]]</f>
        <v>S. 50-55</v>
      </c>
    </row>
    <row r="25" spans="1:8" ht="38.25" x14ac:dyDescent="0.25">
      <c r="A25" s="6" t="s">
        <v>338</v>
      </c>
      <c r="B25" s="93">
        <f>Ueberblick[[#This Row],[Benutzungsstunden / Auslastungsgrade angegeben?]]</f>
        <v>0</v>
      </c>
      <c r="C25" s="93">
        <f>Ueberblick[[#This Row],[Saisonalität berücksichtigt?]]</f>
        <v>1</v>
      </c>
      <c r="D25" s="93">
        <f>Ueberblick[[#This Row],[Tageszeitliche Abhängigkeit berücksichtigt?]]</f>
        <v>1</v>
      </c>
      <c r="E25" s="93">
        <f>Ueberblick[[#This Row],[Temperaturabhängigkeit berücksichtigt?]]</f>
        <v>1</v>
      </c>
      <c r="F25" s="93">
        <f>Ueberblick[[#This Row],[Lastgänge / Lastblöcke berücksichtigt?]]</f>
        <v>1</v>
      </c>
      <c r="G25" s="93">
        <f>Ueberblick[[#This Row],[Zeitverfügbarkeitszeitreihen generiert?]]</f>
        <v>0</v>
      </c>
      <c r="H25" s="93" t="str">
        <f>Ueberblick[[#This Row],[Quellen Zeitverfügbarkeit]]</f>
        <v>S. 49-53, 66, 92, 96-97, 114, 168-170</v>
      </c>
    </row>
    <row r="26" spans="1:8" s="11" customFormat="1" ht="38.25" x14ac:dyDescent="0.25">
      <c r="A26" s="6" t="s">
        <v>351</v>
      </c>
      <c r="B26" s="93">
        <f>Ueberblick[[#This Row],[Benutzungsstunden / Auslastungsgrade angegeben?]]</f>
        <v>1</v>
      </c>
      <c r="C26" s="93">
        <f>Ueberblick[[#This Row],[Saisonalität berücksichtigt?]]</f>
        <v>1</v>
      </c>
      <c r="D26" s="93">
        <f>Ueberblick[[#This Row],[Tageszeitliche Abhängigkeit berücksichtigt?]]</f>
        <v>1</v>
      </c>
      <c r="E26" s="93">
        <f>Ueberblick[[#This Row],[Temperaturabhängigkeit berücksichtigt?]]</f>
        <v>1</v>
      </c>
      <c r="F26" s="93">
        <f>Ueberblick[[#This Row],[Lastgänge / Lastblöcke berücksichtigt?]]</f>
        <v>1</v>
      </c>
      <c r="G26" s="93">
        <f>Ueberblick[[#This Row],[Zeitverfügbarkeitszeitreihen generiert?]]</f>
        <v>1</v>
      </c>
      <c r="H26" s="93" t="str">
        <f>Ueberblick[[#This Row],[Quellen Zeitverfügbarkeit]]</f>
        <v>S. 71-73, 164-213</v>
      </c>
    </row>
    <row r="27" spans="1:8" s="11" customFormat="1" ht="51" x14ac:dyDescent="0.25">
      <c r="A27" s="6" t="s">
        <v>24</v>
      </c>
      <c r="B27" s="93">
        <f>Ueberblick[[#This Row],[Benutzungsstunden / Auslastungsgrade angegeben?]]</f>
        <v>1</v>
      </c>
      <c r="C27" s="93">
        <f>Ueberblick[[#This Row],[Saisonalität berücksichtigt?]]</f>
        <v>1</v>
      </c>
      <c r="D27" s="93">
        <f>Ueberblick[[#This Row],[Tageszeitliche Abhängigkeit berücksichtigt?]]</f>
        <v>1</v>
      </c>
      <c r="E27" s="93">
        <f>Ueberblick[[#This Row],[Temperaturabhängigkeit berücksichtigt?]]</f>
        <v>0</v>
      </c>
      <c r="F27" s="93">
        <f>Ueberblick[[#This Row],[Lastgänge / Lastblöcke berücksichtigt?]]</f>
        <v>0</v>
      </c>
      <c r="G27" s="93">
        <f>Ueberblick[[#This Row],[Zeitverfügbarkeitszeitreihen generiert?]]</f>
        <v>0</v>
      </c>
      <c r="H27" s="93" t="str">
        <f>Ueberblick[[#This Row],[Quellen Zeitverfügbarkeit]]</f>
        <v>S. 13-22, 31-37</v>
      </c>
    </row>
    <row r="28" spans="1:8" x14ac:dyDescent="0.25">
      <c r="A28" s="56" t="s">
        <v>854</v>
      </c>
      <c r="B28" s="94">
        <f t="shared" ref="B28:G28" si="0">SUM(B3:B27)</f>
        <v>14</v>
      </c>
      <c r="C28" s="17">
        <f t="shared" si="0"/>
        <v>13.5</v>
      </c>
      <c r="D28" s="17">
        <f t="shared" si="0"/>
        <v>14</v>
      </c>
      <c r="E28" s="17">
        <f t="shared" si="0"/>
        <v>12</v>
      </c>
      <c r="F28" s="17">
        <f t="shared" si="0"/>
        <v>11</v>
      </c>
      <c r="G28" s="17">
        <f t="shared" si="0"/>
        <v>7.5</v>
      </c>
      <c r="H28" s="17">
        <f t="shared" ref="H28" si="1">SUM(H3:H27)</f>
        <v>0</v>
      </c>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E850583A-7B70-4267-BA8D-AAA3075EFDD3}">
          <x14:formula1>
            <xm:f>Dropdown!$A$2:$A$4</xm:f>
          </x14:formula1>
          <xm:sqref>B3:H27</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FF9FA-D7D3-46E0-B58A-F6D2112396A3}">
  <sheetPr codeName="Tabelle48">
    <tabColor theme="4" tint="0.79998168889431442"/>
  </sheetPr>
  <dimension ref="A1:H29"/>
  <sheetViews>
    <sheetView topLeftCell="A2" workbookViewId="0">
      <selection activeCell="B2" sqref="B2:G2"/>
    </sheetView>
  </sheetViews>
  <sheetFormatPr baseColWidth="10" defaultColWidth="10.875" defaultRowHeight="15.75" x14ac:dyDescent="0.25"/>
  <cols>
    <col min="1" max="1" width="13.625" style="7" customWidth="1"/>
    <col min="2" max="8" width="14" style="7" customWidth="1"/>
    <col min="9" max="16384" width="10.875" style="7"/>
  </cols>
  <sheetData>
    <row r="1" spans="1:8" ht="39.75" hidden="1" customHeight="1" x14ac:dyDescent="0.25">
      <c r="A1" s="3" t="s">
        <v>86</v>
      </c>
      <c r="B1" s="4" t="s">
        <v>1404</v>
      </c>
      <c r="C1" s="4" t="s">
        <v>1404</v>
      </c>
      <c r="D1" s="4" t="s">
        <v>1404</v>
      </c>
      <c r="E1" s="4" t="s">
        <v>1404</v>
      </c>
      <c r="F1" s="4" t="s">
        <v>1404</v>
      </c>
      <c r="G1" s="4" t="s">
        <v>1404</v>
      </c>
      <c r="H1" s="4" t="s">
        <v>1404</v>
      </c>
    </row>
    <row r="2" spans="1:8" ht="48" customHeight="1" x14ac:dyDescent="0.25">
      <c r="A2" s="3" t="s">
        <v>1</v>
      </c>
      <c r="B2" s="4" t="s">
        <v>1443</v>
      </c>
      <c r="C2" s="4" t="s">
        <v>1442</v>
      </c>
      <c r="D2" s="4" t="s">
        <v>1444</v>
      </c>
      <c r="E2" s="4" t="s">
        <v>1445</v>
      </c>
      <c r="F2" s="4" t="s">
        <v>1446</v>
      </c>
      <c r="G2" s="4" t="s">
        <v>1447</v>
      </c>
      <c r="H2" s="4" t="s">
        <v>1419</v>
      </c>
    </row>
    <row r="3" spans="1:8" x14ac:dyDescent="0.25">
      <c r="A3" s="6" t="s">
        <v>12</v>
      </c>
      <c r="B3" s="93" t="str">
        <f>VLOOKUP(Ueberblick451[[#This Row],[Benutzungsstunden / 
Auslastung]],Dropdown!$A$2:$D$4,4,FALSE)</f>
        <v>X</v>
      </c>
      <c r="C3" s="93" t="str">
        <f>VLOOKUP(Ueberblick451[[#This Row],[Saisonalität]],Dropdown!$A$2:$D$4,4,FALSE)</f>
        <v>X</v>
      </c>
      <c r="D3" s="93" t="str">
        <f>VLOOKUP(Ueberblick451[[#This Row],[Tageszeit]],Dropdown!$A$2:$D$4,4,FALSE)</f>
        <v>X</v>
      </c>
      <c r="E3" s="93" t="str">
        <f>VLOOKUP(Ueberblick451[[#This Row],[Temperaturabhängigkeit]],Dropdown!$A$2:$D$4,4,FALSE)</f>
        <v>(X)</v>
      </c>
      <c r="F3" s="93" t="str">
        <f>VLOOKUP(Ueberblick451[[#This Row],[Lastgänge / Lastblöcke]],Dropdown!$A$2:$D$4,4,FALSE)</f>
        <v>X</v>
      </c>
      <c r="G3" s="93" t="str">
        <f>VLOOKUP(Ueberblick451[[#This Row],[Zeitverfügbarkeitszeitreihen]],Dropdown!$A$2:$D$4,4,FALSE)</f>
        <v>-</v>
      </c>
      <c r="H3" s="93" t="str">
        <f>Ueberblick[[#This Row],[Quellen Zeitverfügbarkeit]]</f>
        <v>S. 34-58</v>
      </c>
    </row>
    <row r="4" spans="1:8" ht="63.75" x14ac:dyDescent="0.25">
      <c r="A4" s="6" t="s">
        <v>347</v>
      </c>
      <c r="B4" s="93" t="str">
        <f>VLOOKUP(Ueberblick451[[#This Row],[Benutzungsstunden / 
Auslastung]],Dropdown!$A$2:$D$4,4,FALSE)</f>
        <v>-</v>
      </c>
      <c r="C4" s="93" t="str">
        <f>VLOOKUP(Ueberblick451[[#This Row],[Saisonalität]],Dropdown!$A$2:$D$4,4,FALSE)</f>
        <v>X</v>
      </c>
      <c r="D4" s="93" t="str">
        <f>VLOOKUP(Ueberblick451[[#This Row],[Tageszeit]],Dropdown!$A$2:$D$4,4,FALSE)</f>
        <v>X</v>
      </c>
      <c r="E4" s="93" t="str">
        <f>VLOOKUP(Ueberblick451[[#This Row],[Temperaturabhängigkeit]],Dropdown!$A$2:$D$4,4,FALSE)</f>
        <v>X</v>
      </c>
      <c r="F4" s="93" t="str">
        <f>VLOOKUP(Ueberblick451[[#This Row],[Lastgänge / Lastblöcke]],Dropdown!$A$2:$D$4,4,FALSE)</f>
        <v>X</v>
      </c>
      <c r="G4" s="93" t="str">
        <f>VLOOKUP(Ueberblick451[[#This Row],[Zeitverfügbarkeitszeitreihen]],Dropdown!$A$2:$D$4,4,FALSE)</f>
        <v>X</v>
      </c>
      <c r="H4" s="93" t="str">
        <f>Ueberblick[[#This Row],[Quellen Zeitverfügbarkeit]]</f>
        <v>im gesamten Artikel; zudem: Zeitreihen im Supplementary Material</v>
      </c>
    </row>
    <row r="5" spans="1:8" s="11" customFormat="1" ht="25.5" x14ac:dyDescent="0.25">
      <c r="A5" s="6" t="s">
        <v>348</v>
      </c>
      <c r="B5" s="93" t="str">
        <f>VLOOKUP(Ueberblick451[[#This Row],[Benutzungsstunden / 
Auslastung]],Dropdown!$A$2:$D$4,4,FALSE)</f>
        <v>X</v>
      </c>
      <c r="C5" s="93" t="str">
        <f>VLOOKUP(Ueberblick451[[#This Row],[Saisonalität]],Dropdown!$A$2:$D$4,4,FALSE)</f>
        <v>-</v>
      </c>
      <c r="D5" s="93" t="str">
        <f>VLOOKUP(Ueberblick451[[#This Row],[Tageszeit]],Dropdown!$A$2:$D$4,4,FALSE)</f>
        <v>-</v>
      </c>
      <c r="E5" s="93" t="str">
        <f>VLOOKUP(Ueberblick451[[#This Row],[Temperaturabhängigkeit]],Dropdown!$A$2:$D$4,4,FALSE)</f>
        <v>-</v>
      </c>
      <c r="F5" s="93" t="str">
        <f>VLOOKUP(Ueberblick451[[#This Row],[Lastgänge / Lastblöcke]],Dropdown!$A$2:$D$4,4,FALSE)</f>
        <v>-</v>
      </c>
      <c r="G5" s="93" t="str">
        <f>VLOOKUP(Ueberblick451[[#This Row],[Zeitverfügbarkeitszeitreihen]],Dropdown!$A$2:$D$4,4,FALSE)</f>
        <v>-</v>
      </c>
      <c r="H5" s="93">
        <f>Ueberblick[[#This Row],[Quellen Zeitverfügbarkeit]]</f>
        <v>0</v>
      </c>
    </row>
    <row r="6" spans="1:8" s="11" customFormat="1" ht="25.5" x14ac:dyDescent="0.25">
      <c r="A6" s="6" t="s">
        <v>183</v>
      </c>
      <c r="B6" s="93" t="str">
        <f>VLOOKUP(Ueberblick451[[#This Row],[Benutzungsstunden / 
Auslastung]],Dropdown!$A$2:$D$4,4,FALSE)</f>
        <v>(X)</v>
      </c>
      <c r="C6" s="93" t="str">
        <f>VLOOKUP(Ueberblick451[[#This Row],[Saisonalität]],Dropdown!$A$2:$D$4,4,FALSE)</f>
        <v>(X)</v>
      </c>
      <c r="D6" s="93" t="str">
        <f>VLOOKUP(Ueberblick451[[#This Row],[Tageszeit]],Dropdown!$A$2:$D$4,4,FALSE)</f>
        <v>X</v>
      </c>
      <c r="E6" s="93" t="str">
        <f>VLOOKUP(Ueberblick451[[#This Row],[Temperaturabhängigkeit]],Dropdown!$A$2:$D$4,4,FALSE)</f>
        <v>-</v>
      </c>
      <c r="F6" s="93" t="str">
        <f>VLOOKUP(Ueberblick451[[#This Row],[Lastgänge / Lastblöcke]],Dropdown!$A$2:$D$4,4,FALSE)</f>
        <v>X</v>
      </c>
      <c r="G6" s="93" t="str">
        <f>VLOOKUP(Ueberblick451[[#This Row],[Zeitverfügbarkeitszeitreihen]],Dropdown!$A$2:$D$4,4,FALSE)</f>
        <v>-</v>
      </c>
      <c r="H6" s="93" t="str">
        <f>Ueberblick[[#This Row],[Quellen Zeitverfügbarkeit]]</f>
        <v>S. 59-99</v>
      </c>
    </row>
    <row r="7" spans="1:8" s="11" customFormat="1" ht="25.5" x14ac:dyDescent="0.25">
      <c r="A7" s="6" t="s">
        <v>258</v>
      </c>
      <c r="B7" s="93" t="str">
        <f>VLOOKUP(Ueberblick451[[#This Row],[Benutzungsstunden / 
Auslastung]],Dropdown!$A$2:$D$4,4,FALSE)</f>
        <v>X</v>
      </c>
      <c r="C7" s="93" t="str">
        <f>VLOOKUP(Ueberblick451[[#This Row],[Saisonalität]],Dropdown!$A$2:$D$4,4,FALSE)</f>
        <v>X</v>
      </c>
      <c r="D7" s="93" t="str">
        <f>VLOOKUP(Ueberblick451[[#This Row],[Tageszeit]],Dropdown!$A$2:$D$4,4,FALSE)</f>
        <v>X</v>
      </c>
      <c r="E7" s="93" t="str">
        <f>VLOOKUP(Ueberblick451[[#This Row],[Temperaturabhängigkeit]],Dropdown!$A$2:$D$4,4,FALSE)</f>
        <v>X</v>
      </c>
      <c r="F7" s="93" t="str">
        <f>VLOOKUP(Ueberblick451[[#This Row],[Lastgänge / Lastblöcke]],Dropdown!$A$2:$D$4,4,FALSE)</f>
        <v>X</v>
      </c>
      <c r="G7" s="93" t="str">
        <f>VLOOKUP(Ueberblick451[[#This Row],[Zeitverfügbarkeitszeitreihen]],Dropdown!$A$2:$D$4,4,FALSE)</f>
        <v>X</v>
      </c>
      <c r="H7" s="93" t="str">
        <f>Ueberblick[[#This Row],[Quellen Zeitverfügbarkeit]]</f>
        <v>S. 13, 16-17</v>
      </c>
    </row>
    <row r="8" spans="1:8" s="11" customFormat="1" ht="25.5" x14ac:dyDescent="0.25">
      <c r="A8" s="18" t="s">
        <v>355</v>
      </c>
      <c r="B8" s="93" t="str">
        <f>VLOOKUP(Ueberblick451[[#This Row],[Benutzungsstunden / 
Auslastung]],Dropdown!$A$2:$D$4,4,FALSE)</f>
        <v>-</v>
      </c>
      <c r="C8" s="93" t="str">
        <f>VLOOKUP(Ueberblick451[[#This Row],[Saisonalität]],Dropdown!$A$2:$D$4,4,FALSE)</f>
        <v>-</v>
      </c>
      <c r="D8" s="93" t="str">
        <f>VLOOKUP(Ueberblick451[[#This Row],[Tageszeit]],Dropdown!$A$2:$D$4,4,FALSE)</f>
        <v>-</v>
      </c>
      <c r="E8" s="93" t="str">
        <f>VLOOKUP(Ueberblick451[[#This Row],[Temperaturabhängigkeit]],Dropdown!$A$2:$D$4,4,FALSE)</f>
        <v>-</v>
      </c>
      <c r="F8" s="93" t="str">
        <f>VLOOKUP(Ueberblick451[[#This Row],[Lastgänge / Lastblöcke]],Dropdown!$A$2:$D$4,4,FALSE)</f>
        <v>-</v>
      </c>
      <c r="G8" s="93" t="str">
        <f>VLOOKUP(Ueberblick451[[#This Row],[Zeitverfügbarkeitszeitreihen]],Dropdown!$A$2:$D$4,4,FALSE)</f>
        <v>-</v>
      </c>
      <c r="H8" s="93" t="str">
        <f>Ueberblick[[#This Row],[Quellen Zeitverfügbarkeit]]</f>
        <v>keine (i.e.S.)</v>
      </c>
    </row>
    <row r="9" spans="1:8" ht="25.5" x14ac:dyDescent="0.25">
      <c r="A9" s="18" t="s">
        <v>431</v>
      </c>
      <c r="B9" s="93" t="str">
        <f>VLOOKUP(Ueberblick451[[#This Row],[Benutzungsstunden / 
Auslastung]],Dropdown!$A$2:$D$4,4,FALSE)</f>
        <v>-</v>
      </c>
      <c r="C9" s="93" t="str">
        <f>VLOOKUP(Ueberblick451[[#This Row],[Saisonalität]],Dropdown!$A$2:$D$4,4,FALSE)</f>
        <v>-</v>
      </c>
      <c r="D9" s="93" t="str">
        <f>VLOOKUP(Ueberblick451[[#This Row],[Tageszeit]],Dropdown!$A$2:$D$4,4,FALSE)</f>
        <v>-</v>
      </c>
      <c r="E9" s="93" t="str">
        <f>VLOOKUP(Ueberblick451[[#This Row],[Temperaturabhängigkeit]],Dropdown!$A$2:$D$4,4,FALSE)</f>
        <v>X</v>
      </c>
      <c r="F9" s="93" t="str">
        <f>VLOOKUP(Ueberblick451[[#This Row],[Lastgänge / Lastblöcke]],Dropdown!$A$2:$D$4,4,FALSE)</f>
        <v>-</v>
      </c>
      <c r="G9" s="93" t="str">
        <f>VLOOKUP(Ueberblick451[[#This Row],[Zeitverfügbarkeitszeitreihen]],Dropdown!$A$2:$D$4,4,FALSE)</f>
        <v>X</v>
      </c>
      <c r="H9" s="93" t="str">
        <f>Ueberblick[[#This Row],[Quellen Zeitverfügbarkeit]]</f>
        <v>S. 34</v>
      </c>
    </row>
    <row r="10" spans="1:8" ht="25.5" x14ac:dyDescent="0.25">
      <c r="A10" s="6" t="s">
        <v>410</v>
      </c>
      <c r="B10" s="93" t="str">
        <f>VLOOKUP(Ueberblick451[[#This Row],[Benutzungsstunden / 
Auslastung]],Dropdown!$A$2:$D$4,4,FALSE)</f>
        <v>X</v>
      </c>
      <c r="C10" s="93" t="str">
        <f>VLOOKUP(Ueberblick451[[#This Row],[Saisonalität]],Dropdown!$A$2:$D$4,4,FALSE)</f>
        <v>X</v>
      </c>
      <c r="D10" s="93" t="str">
        <f>VLOOKUP(Ueberblick451[[#This Row],[Tageszeit]],Dropdown!$A$2:$D$4,4,FALSE)</f>
        <v>X</v>
      </c>
      <c r="E10" s="93" t="str">
        <f>VLOOKUP(Ueberblick451[[#This Row],[Temperaturabhängigkeit]],Dropdown!$A$2:$D$4,4,FALSE)</f>
        <v>-</v>
      </c>
      <c r="F10" s="93" t="str">
        <f>VLOOKUP(Ueberblick451[[#This Row],[Lastgänge / Lastblöcke]],Dropdown!$A$2:$D$4,4,FALSE)</f>
        <v>(X)</v>
      </c>
      <c r="G10" s="93" t="str">
        <f>VLOOKUP(Ueberblick451[[#This Row],[Zeitverfügbarkeitszeitreihen]],Dropdown!$A$2:$D$4,4,FALSE)</f>
        <v>-</v>
      </c>
      <c r="H10" s="93" t="str">
        <f>Ueberblick[[#This Row],[Quellen Zeitverfügbarkeit]]</f>
        <v>S. 22, 63-64, 100-104</v>
      </c>
    </row>
    <row r="11" spans="1:8" s="11" customFormat="1" x14ac:dyDescent="0.25">
      <c r="A11" s="6" t="s">
        <v>393</v>
      </c>
      <c r="B11" s="93" t="str">
        <f>VLOOKUP(Ueberblick451[[#This Row],[Benutzungsstunden / 
Auslastung]],Dropdown!$A$2:$D$4,4,FALSE)</f>
        <v>-</v>
      </c>
      <c r="C11" s="93" t="str">
        <f>VLOOKUP(Ueberblick451[[#This Row],[Saisonalität]],Dropdown!$A$2:$D$4,4,FALSE)</f>
        <v>X</v>
      </c>
      <c r="D11" s="93" t="str">
        <f>VLOOKUP(Ueberblick451[[#This Row],[Tageszeit]],Dropdown!$A$2:$D$4,4,FALSE)</f>
        <v>-</v>
      </c>
      <c r="E11" s="93" t="str">
        <f>VLOOKUP(Ueberblick451[[#This Row],[Temperaturabhängigkeit]],Dropdown!$A$2:$D$4,4,FALSE)</f>
        <v>X</v>
      </c>
      <c r="F11" s="93" t="str">
        <f>VLOOKUP(Ueberblick451[[#This Row],[Lastgänge / Lastblöcke]],Dropdown!$A$2:$D$4,4,FALSE)</f>
        <v>X</v>
      </c>
      <c r="G11" s="93" t="str">
        <f>VLOOKUP(Ueberblick451[[#This Row],[Zeitverfügbarkeitszeitreihen]],Dropdown!$A$2:$D$4,4,FALSE)</f>
        <v>(X)</v>
      </c>
      <c r="H11" s="93" t="str">
        <f>Ueberblick[[#This Row],[Quellen Zeitverfügbarkeit]]</f>
        <v>S. 65-81</v>
      </c>
    </row>
    <row r="12" spans="1:8" s="11" customFormat="1" ht="51" x14ac:dyDescent="0.25">
      <c r="A12" s="21" t="s">
        <v>380</v>
      </c>
      <c r="B12" s="93" t="str">
        <f>VLOOKUP(Ueberblick451[[#This Row],[Benutzungsstunden / 
Auslastung]],Dropdown!$A$2:$D$4,4,FALSE)</f>
        <v>X</v>
      </c>
      <c r="C12" s="93" t="str">
        <f>VLOOKUP(Ueberblick451[[#This Row],[Saisonalität]],Dropdown!$A$2:$D$4,4,FALSE)</f>
        <v>(X)</v>
      </c>
      <c r="D12" s="93" t="str">
        <f>VLOOKUP(Ueberblick451[[#This Row],[Tageszeit]],Dropdown!$A$2:$D$4,4,FALSE)</f>
        <v>-</v>
      </c>
      <c r="E12" s="93" t="str">
        <f>VLOOKUP(Ueberblick451[[#This Row],[Temperaturabhängigkeit]],Dropdown!$A$2:$D$4,4,FALSE)</f>
        <v>-</v>
      </c>
      <c r="F12" s="93" t="str">
        <f>VLOOKUP(Ueberblick451[[#This Row],[Lastgänge / Lastblöcke]],Dropdown!$A$2:$D$4,4,FALSE)</f>
        <v>-</v>
      </c>
      <c r="G12" s="93" t="str">
        <f>VLOOKUP(Ueberblick451[[#This Row],[Zeitverfügbarkeitszeitreihen]],Dropdown!$A$2:$D$4,4,FALSE)</f>
        <v>-</v>
      </c>
      <c r="H12" s="93">
        <f>Ueberblick[[#This Row],[Quellen Zeitverfügbarkeit]]</f>
        <v>0</v>
      </c>
    </row>
    <row r="13" spans="1:8" ht="25.5" x14ac:dyDescent="0.25">
      <c r="A13" s="6" t="s">
        <v>95</v>
      </c>
      <c r="B13" s="93" t="str">
        <f>VLOOKUP(Ueberblick451[[#This Row],[Benutzungsstunden / 
Auslastung]],Dropdown!$A$2:$D$4,4,FALSE)</f>
        <v>-</v>
      </c>
      <c r="C13" s="93" t="str">
        <f>VLOOKUP(Ueberblick451[[#This Row],[Saisonalität]],Dropdown!$A$2:$D$4,4,FALSE)</f>
        <v>(X)</v>
      </c>
      <c r="D13" s="93" t="str">
        <f>VLOOKUP(Ueberblick451[[#This Row],[Tageszeit]],Dropdown!$A$2:$D$4,4,FALSE)</f>
        <v>(X)</v>
      </c>
      <c r="E13" s="93" t="str">
        <f>VLOOKUP(Ueberblick451[[#This Row],[Temperaturabhängigkeit]],Dropdown!$A$2:$D$4,4,FALSE)</f>
        <v>-</v>
      </c>
      <c r="F13" s="93" t="str">
        <f>VLOOKUP(Ueberblick451[[#This Row],[Lastgänge / Lastblöcke]],Dropdown!$A$2:$D$4,4,FALSE)</f>
        <v>-</v>
      </c>
      <c r="G13" s="93" t="str">
        <f>VLOOKUP(Ueberblick451[[#This Row],[Zeitverfügbarkeitszeitreihen]],Dropdown!$A$2:$D$4,4,FALSE)</f>
        <v>-</v>
      </c>
      <c r="H13" s="93" t="str">
        <f>Ueberblick[[#This Row],[Quellen Zeitverfügbarkeit]]</f>
        <v>S. 52-66</v>
      </c>
    </row>
    <row r="14" spans="1:8" s="11" customFormat="1" ht="63.75" x14ac:dyDescent="0.25">
      <c r="A14" s="6" t="s">
        <v>1709</v>
      </c>
      <c r="B14" s="93" t="str">
        <f>VLOOKUP(Ueberblick451[[#This Row],[Benutzungsstunden / 
Auslastung]],Dropdown!$A$2:$D$4,4,FALSE)</f>
        <v>-</v>
      </c>
      <c r="C14" s="93" t="str">
        <f>VLOOKUP(Ueberblick451[[#This Row],[Saisonalität]],Dropdown!$A$2:$D$4,4,FALSE)</f>
        <v>-</v>
      </c>
      <c r="D14" s="93" t="str">
        <f>VLOOKUP(Ueberblick451[[#This Row],[Tageszeit]],Dropdown!$A$2:$D$4,4,FALSE)</f>
        <v>X</v>
      </c>
      <c r="E14" s="93" t="str">
        <f>VLOOKUP(Ueberblick451[[#This Row],[Temperaturabhängigkeit]],Dropdown!$A$2:$D$4,4,FALSE)</f>
        <v>X</v>
      </c>
      <c r="F14" s="93" t="str">
        <f>VLOOKUP(Ueberblick451[[#This Row],[Lastgänge / Lastblöcke]],Dropdown!$A$2:$D$4,4,FALSE)</f>
        <v>(X)</v>
      </c>
      <c r="G14" s="93" t="str">
        <f>VLOOKUP(Ueberblick451[[#This Row],[Zeitverfügbarkeitszeitreihen]],Dropdown!$A$2:$D$4,4,FALSE)</f>
        <v>-</v>
      </c>
      <c r="H14" s="93" t="str">
        <f>Ueberblick[[#This Row],[Quellen Zeitverfügbarkeit]]</f>
        <v>S. 41, 44-50</v>
      </c>
    </row>
    <row r="15" spans="1:8" ht="25.5" x14ac:dyDescent="0.25">
      <c r="A15" s="6" t="s">
        <v>179</v>
      </c>
      <c r="B15" s="93" t="str">
        <f>VLOOKUP(Ueberblick451[[#This Row],[Benutzungsstunden / 
Auslastung]],Dropdown!$A$2:$D$4,4,FALSE)</f>
        <v>-</v>
      </c>
      <c r="C15" s="93" t="str">
        <f>VLOOKUP(Ueberblick451[[#This Row],[Saisonalität]],Dropdown!$A$2:$D$4,4,FALSE)</f>
        <v>-</v>
      </c>
      <c r="D15" s="93" t="str">
        <f>VLOOKUP(Ueberblick451[[#This Row],[Tageszeit]],Dropdown!$A$2:$D$4,4,FALSE)</f>
        <v>-</v>
      </c>
      <c r="E15" s="93" t="str">
        <f>VLOOKUP(Ueberblick451[[#This Row],[Temperaturabhängigkeit]],Dropdown!$A$2:$D$4,4,FALSE)</f>
        <v>-</v>
      </c>
      <c r="F15" s="93" t="str">
        <f>VLOOKUP(Ueberblick451[[#This Row],[Lastgänge / Lastblöcke]],Dropdown!$A$2:$D$4,4,FALSE)</f>
        <v>-</v>
      </c>
      <c r="G15" s="93" t="str">
        <f>VLOOKUP(Ueberblick451[[#This Row],[Zeitverfügbarkeitszeitreihen]],Dropdown!$A$2:$D$4,4,FALSE)</f>
        <v>-</v>
      </c>
      <c r="H15" s="93" t="str">
        <f>Ueberblick[[#This Row],[Quellen Zeitverfügbarkeit]]</f>
        <v>keine (i.e.S.)</v>
      </c>
    </row>
    <row r="16" spans="1:8" s="11" customFormat="1" ht="25.5" x14ac:dyDescent="0.25">
      <c r="A16" s="6" t="s">
        <v>341</v>
      </c>
      <c r="B16" s="93" t="str">
        <f>VLOOKUP(Ueberblick451[[#This Row],[Benutzungsstunden / 
Auslastung]],Dropdown!$A$2:$D$4,4,FALSE)</f>
        <v>X</v>
      </c>
      <c r="C16" s="93" t="str">
        <f>VLOOKUP(Ueberblick451[[#This Row],[Saisonalität]],Dropdown!$A$2:$D$4,4,FALSE)</f>
        <v>X</v>
      </c>
      <c r="D16" s="93" t="str">
        <f>VLOOKUP(Ueberblick451[[#This Row],[Tageszeit]],Dropdown!$A$2:$D$4,4,FALSE)</f>
        <v>X</v>
      </c>
      <c r="E16" s="93" t="str">
        <f>VLOOKUP(Ueberblick451[[#This Row],[Temperaturabhängigkeit]],Dropdown!$A$2:$D$4,4,FALSE)</f>
        <v>X</v>
      </c>
      <c r="F16" s="93" t="str">
        <f>VLOOKUP(Ueberblick451[[#This Row],[Lastgänge / Lastblöcke]],Dropdown!$A$2:$D$4,4,FALSE)</f>
        <v>X</v>
      </c>
      <c r="G16" s="93" t="str">
        <f>VLOOKUP(Ueberblick451[[#This Row],[Zeitverfügbarkeitszeitreihen]],Dropdown!$A$2:$D$4,4,FALSE)</f>
        <v>X</v>
      </c>
      <c r="H16" s="93" t="str">
        <f>Ueberblick[[#This Row],[Quellen Zeitverfügbarkeit]]</f>
        <v>S. 23, 44-59, 65-67, 197-208</v>
      </c>
    </row>
    <row r="17" spans="1:8" ht="25.5" x14ac:dyDescent="0.25">
      <c r="A17" s="6" t="s">
        <v>22</v>
      </c>
      <c r="B17" s="93" t="str">
        <f>VLOOKUP(Ueberblick451[[#This Row],[Benutzungsstunden / 
Auslastung]],Dropdown!$A$2:$D$4,4,FALSE)</f>
        <v>X</v>
      </c>
      <c r="C17" s="93" t="str">
        <f>VLOOKUP(Ueberblick451[[#This Row],[Saisonalität]],Dropdown!$A$2:$D$4,4,FALSE)</f>
        <v>-</v>
      </c>
      <c r="D17" s="93" t="str">
        <f>VLOOKUP(Ueberblick451[[#This Row],[Tageszeit]],Dropdown!$A$2:$D$4,4,FALSE)</f>
        <v>-</v>
      </c>
      <c r="E17" s="93" t="str">
        <f>VLOOKUP(Ueberblick451[[#This Row],[Temperaturabhängigkeit]],Dropdown!$A$2:$D$4,4,FALSE)</f>
        <v>-</v>
      </c>
      <c r="F17" s="93" t="str">
        <f>VLOOKUP(Ueberblick451[[#This Row],[Lastgänge / Lastblöcke]],Dropdown!$A$2:$D$4,4,FALSE)</f>
        <v>-</v>
      </c>
      <c r="G17" s="93" t="str">
        <f>VLOOKUP(Ueberblick451[[#This Row],[Zeitverfügbarkeitszeitreihen]],Dropdown!$A$2:$D$4,4,FALSE)</f>
        <v>-</v>
      </c>
      <c r="H17" s="93" t="str">
        <f>Ueberblick[[#This Row],[Quellen Zeitverfügbarkeit]]</f>
        <v>S. 17, 103-153</v>
      </c>
    </row>
    <row r="18" spans="1:8" s="11" customFormat="1" ht="25.5" x14ac:dyDescent="0.25">
      <c r="A18" s="6" t="s">
        <v>188</v>
      </c>
      <c r="B18" s="93" t="str">
        <f>VLOOKUP(Ueberblick451[[#This Row],[Benutzungsstunden / 
Auslastung]],Dropdown!$A$2:$D$4,4,FALSE)</f>
        <v>(X)</v>
      </c>
      <c r="C18" s="93" t="str">
        <f>VLOOKUP(Ueberblick451[[#This Row],[Saisonalität]],Dropdown!$A$2:$D$4,4,FALSE)</f>
        <v>-</v>
      </c>
      <c r="D18" s="93" t="str">
        <f>VLOOKUP(Ueberblick451[[#This Row],[Tageszeit]],Dropdown!$A$2:$D$4,4,FALSE)</f>
        <v>(X)</v>
      </c>
      <c r="E18" s="93" t="str">
        <f>VLOOKUP(Ueberblick451[[#This Row],[Temperaturabhängigkeit]],Dropdown!$A$2:$D$4,4,FALSE)</f>
        <v>(X)</v>
      </c>
      <c r="F18" s="93" t="str">
        <f>VLOOKUP(Ueberblick451[[#This Row],[Lastgänge / Lastblöcke]],Dropdown!$A$2:$D$4,4,FALSE)</f>
        <v>-</v>
      </c>
      <c r="G18" s="93" t="str">
        <f>VLOOKUP(Ueberblick451[[#This Row],[Zeitverfügbarkeitszeitreihen]],Dropdown!$A$2:$D$4,4,FALSE)</f>
        <v>-</v>
      </c>
      <c r="H18" s="93" t="str">
        <f>Ueberblick[[#This Row],[Quellen Zeitverfügbarkeit]]</f>
        <v>S. 19-20, 22-23, 25, 27, 34-35</v>
      </c>
    </row>
    <row r="19" spans="1:8" ht="38.25" x14ac:dyDescent="0.25">
      <c r="A19" s="6" t="s">
        <v>133</v>
      </c>
      <c r="B19" s="93" t="str">
        <f>VLOOKUP(Ueberblick451[[#This Row],[Benutzungsstunden / 
Auslastung]],Dropdown!$A$2:$D$4,4,FALSE)</f>
        <v>X</v>
      </c>
      <c r="C19" s="93" t="str">
        <f>VLOOKUP(Ueberblick451[[#This Row],[Saisonalität]],Dropdown!$A$2:$D$4,4,FALSE)</f>
        <v>X</v>
      </c>
      <c r="D19" s="93" t="str">
        <f>VLOOKUP(Ueberblick451[[#This Row],[Tageszeit]],Dropdown!$A$2:$D$4,4,FALSE)</f>
        <v>X</v>
      </c>
      <c r="E19" s="93" t="str">
        <f>VLOOKUP(Ueberblick451[[#This Row],[Temperaturabhängigkeit]],Dropdown!$A$2:$D$4,4,FALSE)</f>
        <v>X</v>
      </c>
      <c r="F19" s="93" t="str">
        <f>VLOOKUP(Ueberblick451[[#This Row],[Lastgänge / Lastblöcke]],Dropdown!$A$2:$D$4,4,FALSE)</f>
        <v>-</v>
      </c>
      <c r="G19" s="93" t="str">
        <f>VLOOKUP(Ueberblick451[[#This Row],[Zeitverfügbarkeitszeitreihen]],Dropdown!$A$2:$D$4,4,FALSE)</f>
        <v>(X)</v>
      </c>
      <c r="H19" s="93" t="str">
        <f>Ueberblick[[#This Row],[Quellen Zeitverfügbarkeit]]</f>
        <v>S. 412-425</v>
      </c>
    </row>
    <row r="20" spans="1:8" s="11" customFormat="1" ht="25.5" x14ac:dyDescent="0.25">
      <c r="A20" s="6" t="s">
        <v>10</v>
      </c>
      <c r="B20" s="93" t="str">
        <f>VLOOKUP(Ueberblick451[[#This Row],[Benutzungsstunden / 
Auslastung]],Dropdown!$A$2:$D$4,4,FALSE)</f>
        <v>X</v>
      </c>
      <c r="C20" s="93" t="str">
        <f>VLOOKUP(Ueberblick451[[#This Row],[Saisonalität]],Dropdown!$A$2:$D$4,4,FALSE)</f>
        <v>-</v>
      </c>
      <c r="D20" s="93" t="str">
        <f>VLOOKUP(Ueberblick451[[#This Row],[Tageszeit]],Dropdown!$A$2:$D$4,4,FALSE)</f>
        <v>-</v>
      </c>
      <c r="E20" s="93" t="str">
        <f>VLOOKUP(Ueberblick451[[#This Row],[Temperaturabhängigkeit]],Dropdown!$A$2:$D$4,4,FALSE)</f>
        <v>-</v>
      </c>
      <c r="F20" s="93" t="str">
        <f>VLOOKUP(Ueberblick451[[#This Row],[Lastgänge / Lastblöcke]],Dropdown!$A$2:$D$4,4,FALSE)</f>
        <v>-</v>
      </c>
      <c r="G20" s="93" t="str">
        <f>VLOOKUP(Ueberblick451[[#This Row],[Zeitverfügbarkeitszeitreihen]],Dropdown!$A$2:$D$4,4,FALSE)</f>
        <v>(X)</v>
      </c>
      <c r="H20" s="93" t="str">
        <f>Ueberblick[[#This Row],[Quellen Zeitverfügbarkeit]]</f>
        <v>S. 434-435, 437</v>
      </c>
    </row>
    <row r="21" spans="1:8" ht="51" x14ac:dyDescent="0.25">
      <c r="A21" s="6" t="s">
        <v>832</v>
      </c>
      <c r="B21" s="93" t="str">
        <f>VLOOKUP(Ueberblick451[[#This Row],[Benutzungsstunden / 
Auslastung]],Dropdown!$A$2:$D$4,4,FALSE)</f>
        <v>X</v>
      </c>
      <c r="C21" s="93" t="str">
        <f>VLOOKUP(Ueberblick451[[#This Row],[Saisonalität]],Dropdown!$A$2:$D$4,4,FALSE)</f>
        <v>X</v>
      </c>
      <c r="D21" s="93" t="str">
        <f>VLOOKUP(Ueberblick451[[#This Row],[Tageszeit]],Dropdown!$A$2:$D$4,4,FALSE)</f>
        <v>X</v>
      </c>
      <c r="E21" s="93" t="str">
        <f>VLOOKUP(Ueberblick451[[#This Row],[Temperaturabhängigkeit]],Dropdown!$A$2:$D$4,4,FALSE)</f>
        <v>X</v>
      </c>
      <c r="F21" s="93" t="str">
        <f>VLOOKUP(Ueberblick451[[#This Row],[Lastgänge / Lastblöcke]],Dropdown!$A$2:$D$4,4,FALSE)</f>
        <v>X</v>
      </c>
      <c r="G21" s="93" t="str">
        <f>VLOOKUP(Ueberblick451[[#This Row],[Zeitverfügbarkeitszeitreihen]],Dropdown!$A$2:$D$4,4,FALSE)</f>
        <v>-</v>
      </c>
      <c r="H21" s="93" t="str">
        <f>Ueberblick[[#This Row],[Quellen Zeitverfügbarkeit]]</f>
        <v>S. 88-93, 97-98, 101, 103, 108-109, 137-139, 209-213</v>
      </c>
    </row>
    <row r="22" spans="1:8" s="11" customFormat="1" x14ac:dyDescent="0.25">
      <c r="A22" s="6" t="s">
        <v>16</v>
      </c>
      <c r="B22" s="93" t="str">
        <f>VLOOKUP(Ueberblick451[[#This Row],[Benutzungsstunden / 
Auslastung]],Dropdown!$A$2:$D$4,4,FALSE)</f>
        <v>-</v>
      </c>
      <c r="C22" s="93" t="str">
        <f>VLOOKUP(Ueberblick451[[#This Row],[Saisonalität]],Dropdown!$A$2:$D$4,4,FALSE)</f>
        <v>-</v>
      </c>
      <c r="D22" s="93" t="str">
        <f>VLOOKUP(Ueberblick451[[#This Row],[Tageszeit]],Dropdown!$A$2:$D$4,4,FALSE)</f>
        <v>-</v>
      </c>
      <c r="E22" s="93" t="str">
        <f>VLOOKUP(Ueberblick451[[#This Row],[Temperaturabhängigkeit]],Dropdown!$A$2:$D$4,4,FALSE)</f>
        <v>-</v>
      </c>
      <c r="F22" s="93" t="str">
        <f>VLOOKUP(Ueberblick451[[#This Row],[Lastgänge / Lastblöcke]],Dropdown!$A$2:$D$4,4,FALSE)</f>
        <v>-</v>
      </c>
      <c r="G22" s="93" t="str">
        <f>VLOOKUP(Ueberblick451[[#This Row],[Zeitverfügbarkeitszeitreihen]],Dropdown!$A$2:$D$4,4,FALSE)</f>
        <v>-</v>
      </c>
      <c r="H22" s="93" t="str">
        <f>Ueberblick[[#This Row],[Quellen Zeitverfügbarkeit]]</f>
        <v>keine (i.e.S.)</v>
      </c>
    </row>
    <row r="23" spans="1:8" ht="25.5" x14ac:dyDescent="0.25">
      <c r="A23" s="6" t="s">
        <v>7</v>
      </c>
      <c r="B23" s="93" t="str">
        <f>VLOOKUP(Ueberblick451[[#This Row],[Benutzungsstunden / 
Auslastung]],Dropdown!$A$2:$D$4,4,FALSE)</f>
        <v>-</v>
      </c>
      <c r="C23" s="93" t="str">
        <f>VLOOKUP(Ueberblick451[[#This Row],[Saisonalität]],Dropdown!$A$2:$D$4,4,FALSE)</f>
        <v>-</v>
      </c>
      <c r="D23" s="93" t="str">
        <f>VLOOKUP(Ueberblick451[[#This Row],[Tageszeit]],Dropdown!$A$2:$D$4,4,FALSE)</f>
        <v>-</v>
      </c>
      <c r="E23" s="93" t="str">
        <f>VLOOKUP(Ueberblick451[[#This Row],[Temperaturabhängigkeit]],Dropdown!$A$2:$D$4,4,FALSE)</f>
        <v>-</v>
      </c>
      <c r="F23" s="93" t="str">
        <f>VLOOKUP(Ueberblick451[[#This Row],[Lastgänge / Lastblöcke]],Dropdown!$A$2:$D$4,4,FALSE)</f>
        <v>-</v>
      </c>
      <c r="G23" s="93" t="str">
        <f>VLOOKUP(Ueberblick451[[#This Row],[Zeitverfügbarkeitszeitreihen]],Dropdown!$A$2:$D$4,4,FALSE)</f>
        <v>-</v>
      </c>
      <c r="H23" s="93" t="str">
        <f>Ueberblick[[#This Row],[Quellen Zeitverfügbarkeit]]</f>
        <v>keine (i.e.S.)</v>
      </c>
    </row>
    <row r="24" spans="1:8" s="11" customFormat="1" ht="25.5" x14ac:dyDescent="0.25">
      <c r="A24" s="6" t="s">
        <v>18</v>
      </c>
      <c r="B24" s="93" t="str">
        <f>VLOOKUP(Ueberblick451[[#This Row],[Benutzungsstunden / 
Auslastung]],Dropdown!$A$2:$D$4,4,FALSE)</f>
        <v>X</v>
      </c>
      <c r="C24" s="93" t="str">
        <f>VLOOKUP(Ueberblick451[[#This Row],[Saisonalität]],Dropdown!$A$2:$D$4,4,FALSE)</f>
        <v>X</v>
      </c>
      <c r="D24" s="93" t="str">
        <f>VLOOKUP(Ueberblick451[[#This Row],[Tageszeit]],Dropdown!$A$2:$D$4,4,FALSE)</f>
        <v>X</v>
      </c>
      <c r="E24" s="93" t="str">
        <f>VLOOKUP(Ueberblick451[[#This Row],[Temperaturabhängigkeit]],Dropdown!$A$2:$D$4,4,FALSE)</f>
        <v>X</v>
      </c>
      <c r="F24" s="93" t="str">
        <f>VLOOKUP(Ueberblick451[[#This Row],[Lastgänge / Lastblöcke]],Dropdown!$A$2:$D$4,4,FALSE)</f>
        <v>X</v>
      </c>
      <c r="G24" s="93" t="str">
        <f>VLOOKUP(Ueberblick451[[#This Row],[Zeitverfügbarkeitszeitreihen]],Dropdown!$A$2:$D$4,4,FALSE)</f>
        <v>X</v>
      </c>
      <c r="H24" s="93" t="str">
        <f>Ueberblick[[#This Row],[Quellen Zeitverfügbarkeit]]</f>
        <v>S. 50-55</v>
      </c>
    </row>
    <row r="25" spans="1:8" ht="38.25" x14ac:dyDescent="0.25">
      <c r="A25" s="6" t="s">
        <v>338</v>
      </c>
      <c r="B25" s="93" t="str">
        <f>VLOOKUP(Ueberblick451[[#This Row],[Benutzungsstunden / 
Auslastung]],Dropdown!$A$2:$D$4,4,FALSE)</f>
        <v>-</v>
      </c>
      <c r="C25" s="93" t="str">
        <f>VLOOKUP(Ueberblick451[[#This Row],[Saisonalität]],Dropdown!$A$2:$D$4,4,FALSE)</f>
        <v>X</v>
      </c>
      <c r="D25" s="93" t="str">
        <f>VLOOKUP(Ueberblick451[[#This Row],[Tageszeit]],Dropdown!$A$2:$D$4,4,FALSE)</f>
        <v>X</v>
      </c>
      <c r="E25" s="93" t="str">
        <f>VLOOKUP(Ueberblick451[[#This Row],[Temperaturabhängigkeit]],Dropdown!$A$2:$D$4,4,FALSE)</f>
        <v>X</v>
      </c>
      <c r="F25" s="93" t="str">
        <f>VLOOKUP(Ueberblick451[[#This Row],[Lastgänge / Lastblöcke]],Dropdown!$A$2:$D$4,4,FALSE)</f>
        <v>X</v>
      </c>
      <c r="G25" s="93" t="str">
        <f>VLOOKUP(Ueberblick451[[#This Row],[Zeitverfügbarkeitszeitreihen]],Dropdown!$A$2:$D$4,4,FALSE)</f>
        <v>-</v>
      </c>
      <c r="H25" s="93" t="str">
        <f>Ueberblick[[#This Row],[Quellen Zeitverfügbarkeit]]</f>
        <v>S. 49-53, 66, 92, 96-97, 114, 168-170</v>
      </c>
    </row>
    <row r="26" spans="1:8" s="11" customFormat="1" ht="38.25" x14ac:dyDescent="0.25">
      <c r="A26" s="6" t="s">
        <v>351</v>
      </c>
      <c r="B26" s="93" t="str">
        <f>VLOOKUP(Ueberblick451[[#This Row],[Benutzungsstunden / 
Auslastung]],Dropdown!$A$2:$D$4,4,FALSE)</f>
        <v>X</v>
      </c>
      <c r="C26" s="93" t="str">
        <f>VLOOKUP(Ueberblick451[[#This Row],[Saisonalität]],Dropdown!$A$2:$D$4,4,FALSE)</f>
        <v>X</v>
      </c>
      <c r="D26" s="93" t="str">
        <f>VLOOKUP(Ueberblick451[[#This Row],[Tageszeit]],Dropdown!$A$2:$D$4,4,FALSE)</f>
        <v>X</v>
      </c>
      <c r="E26" s="93" t="str">
        <f>VLOOKUP(Ueberblick451[[#This Row],[Temperaturabhängigkeit]],Dropdown!$A$2:$D$4,4,FALSE)</f>
        <v>X</v>
      </c>
      <c r="F26" s="93" t="str">
        <f>VLOOKUP(Ueberblick451[[#This Row],[Lastgänge / Lastblöcke]],Dropdown!$A$2:$D$4,4,FALSE)</f>
        <v>X</v>
      </c>
      <c r="G26" s="93" t="str">
        <f>VLOOKUP(Ueberblick451[[#This Row],[Zeitverfügbarkeitszeitreihen]],Dropdown!$A$2:$D$4,4,FALSE)</f>
        <v>X</v>
      </c>
      <c r="H26" s="93" t="str">
        <f>Ueberblick[[#This Row],[Quellen Zeitverfügbarkeit]]</f>
        <v>S. 71-73, 164-213</v>
      </c>
    </row>
    <row r="27" spans="1:8" s="11" customFormat="1" ht="51" x14ac:dyDescent="0.25">
      <c r="A27" s="6" t="s">
        <v>24</v>
      </c>
      <c r="B27" s="93" t="str">
        <f>VLOOKUP(Ueberblick451[[#This Row],[Benutzungsstunden / 
Auslastung]],Dropdown!$A$2:$D$4,4,FALSE)</f>
        <v>X</v>
      </c>
      <c r="C27" s="93" t="str">
        <f>VLOOKUP(Ueberblick451[[#This Row],[Saisonalität]],Dropdown!$A$2:$D$4,4,FALSE)</f>
        <v>X</v>
      </c>
      <c r="D27" s="93" t="str">
        <f>VLOOKUP(Ueberblick451[[#This Row],[Tageszeit]],Dropdown!$A$2:$D$4,4,FALSE)</f>
        <v>X</v>
      </c>
      <c r="E27" s="93" t="str">
        <f>VLOOKUP(Ueberblick451[[#This Row],[Temperaturabhängigkeit]],Dropdown!$A$2:$D$4,4,FALSE)</f>
        <v>-</v>
      </c>
      <c r="F27" s="93" t="str">
        <f>VLOOKUP(Ueberblick451[[#This Row],[Lastgänge / Lastblöcke]],Dropdown!$A$2:$D$4,4,FALSE)</f>
        <v>-</v>
      </c>
      <c r="G27" s="93" t="str">
        <f>VLOOKUP(Ueberblick451[[#This Row],[Zeitverfügbarkeitszeitreihen]],Dropdown!$A$2:$D$4,4,FALSE)</f>
        <v>-</v>
      </c>
      <c r="H27" s="93" t="str">
        <f>Ueberblick[[#This Row],[Quellen Zeitverfügbarkeit]]</f>
        <v>S. 13-22, 31-37</v>
      </c>
    </row>
    <row r="28" spans="1:8" x14ac:dyDescent="0.25">
      <c r="A28" s="56" t="s">
        <v>854</v>
      </c>
      <c r="B28" s="94">
        <f>Ueberblick451[[#Totals],[Benutzungsstunden / 
Auslastung]]</f>
        <v>14</v>
      </c>
      <c r="C28" s="94">
        <f>Ueberblick451[[#Totals],[Saisonalität]]</f>
        <v>13.5</v>
      </c>
      <c r="D28" s="94">
        <f>Ueberblick451[[#Totals],[Tageszeit]]</f>
        <v>14</v>
      </c>
      <c r="E28" s="94">
        <f>Ueberblick451[[#Totals],[Temperaturabhängigkeit]]</f>
        <v>12</v>
      </c>
      <c r="F28" s="94">
        <f>Ueberblick451[[#Totals],[Lastgänge / Lastblöcke]]</f>
        <v>11</v>
      </c>
      <c r="G28" s="94">
        <f>Ueberblick451[[#Totals],[Zeitverfügbarkeitszeitreihen]]</f>
        <v>7.5</v>
      </c>
      <c r="H28" s="17">
        <f t="shared" ref="H28" si="0">SUM(H3:H27)</f>
        <v>0</v>
      </c>
    </row>
    <row r="29" spans="1:8" ht="25.5" x14ac:dyDescent="0.25">
      <c r="A29" s="100" t="s">
        <v>1200</v>
      </c>
      <c r="B29" s="101" t="s">
        <v>1443</v>
      </c>
      <c r="C29" s="102" t="s">
        <v>1442</v>
      </c>
      <c r="D29" s="102" t="s">
        <v>1444</v>
      </c>
      <c r="E29" s="101" t="s">
        <v>1445</v>
      </c>
      <c r="F29" s="101" t="s">
        <v>1446</v>
      </c>
      <c r="G29" s="101" t="s">
        <v>1447</v>
      </c>
      <c r="H29" s="101"/>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A7528-9A12-468C-A2EC-64F91A368A25}">
  <sheetPr codeName="Tabelle5">
    <tabColor theme="9" tint="0.79998168889431442"/>
  </sheetPr>
  <dimension ref="A1:F30"/>
  <sheetViews>
    <sheetView workbookViewId="0">
      <selection activeCell="F6" sqref="F6"/>
    </sheetView>
  </sheetViews>
  <sheetFormatPr baseColWidth="10" defaultColWidth="11" defaultRowHeight="15.75" x14ac:dyDescent="0.25"/>
  <cols>
    <col min="1" max="1" width="24.625" style="33" bestFit="1" customWidth="1"/>
    <col min="2" max="2" width="35.375" style="33" customWidth="1"/>
    <col min="3" max="3" width="23" style="33" bestFit="1" customWidth="1"/>
    <col min="4" max="4" width="13.125" style="33" customWidth="1"/>
    <col min="5" max="5" width="14.875" style="33" bestFit="1" customWidth="1"/>
    <col min="6" max="6" width="18.5" style="7" customWidth="1"/>
    <col min="7" max="16384" width="11" style="33"/>
  </cols>
  <sheetData>
    <row r="1" spans="1:6" ht="25.5" x14ac:dyDescent="0.25">
      <c r="A1" s="37" t="s">
        <v>1</v>
      </c>
      <c r="B1" s="38" t="s">
        <v>57</v>
      </c>
      <c r="C1" s="38" t="s">
        <v>132</v>
      </c>
      <c r="D1" s="38" t="s">
        <v>130</v>
      </c>
      <c r="E1" s="39" t="s">
        <v>58</v>
      </c>
      <c r="F1" s="38" t="s">
        <v>843</v>
      </c>
    </row>
    <row r="2" spans="1:6" ht="25.5" x14ac:dyDescent="0.25">
      <c r="A2" s="35" t="s">
        <v>12</v>
      </c>
      <c r="B2" s="8" t="s">
        <v>11</v>
      </c>
      <c r="C2" s="8" t="s">
        <v>67</v>
      </c>
      <c r="D2" s="8" t="s">
        <v>131</v>
      </c>
      <c r="E2" s="36" t="s">
        <v>0</v>
      </c>
      <c r="F2" s="41" t="s">
        <v>531</v>
      </c>
    </row>
    <row r="3" spans="1:6" ht="51" x14ac:dyDescent="0.25">
      <c r="A3" s="35" t="s">
        <v>347</v>
      </c>
      <c r="B3" s="8" t="s">
        <v>824</v>
      </c>
      <c r="C3" s="8" t="s">
        <v>825</v>
      </c>
      <c r="D3" s="8" t="s">
        <v>131</v>
      </c>
      <c r="E3" s="36" t="s">
        <v>60</v>
      </c>
      <c r="F3" s="8" t="s">
        <v>531</v>
      </c>
    </row>
    <row r="4" spans="1:6" ht="38.25" x14ac:dyDescent="0.25">
      <c r="A4" s="35" t="s">
        <v>348</v>
      </c>
      <c r="B4" s="34" t="s">
        <v>349</v>
      </c>
      <c r="C4" s="8" t="s">
        <v>826</v>
      </c>
      <c r="D4" s="8" t="s">
        <v>131</v>
      </c>
      <c r="E4" s="36" t="s">
        <v>350</v>
      </c>
      <c r="F4" s="8" t="s">
        <v>531</v>
      </c>
    </row>
    <row r="5" spans="1:6" ht="38.25" x14ac:dyDescent="0.25">
      <c r="A5" s="35" t="s">
        <v>183</v>
      </c>
      <c r="B5" s="8" t="s">
        <v>184</v>
      </c>
      <c r="C5" s="8" t="s">
        <v>303</v>
      </c>
      <c r="D5" s="8" t="s">
        <v>304</v>
      </c>
      <c r="E5" s="36" t="s">
        <v>0</v>
      </c>
      <c r="F5" s="8" t="s">
        <v>531</v>
      </c>
    </row>
    <row r="6" spans="1:6" ht="25.5" x14ac:dyDescent="0.25">
      <c r="A6" s="35" t="s">
        <v>831</v>
      </c>
      <c r="B6" s="8" t="s">
        <v>842</v>
      </c>
      <c r="C6" s="8" t="s">
        <v>62</v>
      </c>
      <c r="D6" s="8" t="s">
        <v>131</v>
      </c>
      <c r="E6" s="36" t="s">
        <v>839</v>
      </c>
      <c r="F6" s="8" t="s">
        <v>531</v>
      </c>
    </row>
    <row r="7" spans="1:6" ht="38.25" x14ac:dyDescent="0.25">
      <c r="A7" s="35" t="s">
        <v>818</v>
      </c>
      <c r="B7" s="8" t="s">
        <v>822</v>
      </c>
      <c r="C7" s="8" t="s">
        <v>827</v>
      </c>
      <c r="D7" s="8" t="s">
        <v>200</v>
      </c>
      <c r="E7" s="36" t="s">
        <v>60</v>
      </c>
      <c r="F7" s="8" t="s">
        <v>531</v>
      </c>
    </row>
    <row r="8" spans="1:6" ht="38.25" x14ac:dyDescent="0.25">
      <c r="A8" s="35" t="s">
        <v>820</v>
      </c>
      <c r="B8" s="8" t="s">
        <v>821</v>
      </c>
      <c r="C8" s="8" t="s">
        <v>827</v>
      </c>
      <c r="D8" s="8" t="s">
        <v>131</v>
      </c>
      <c r="E8" s="36" t="s">
        <v>59</v>
      </c>
      <c r="F8" s="8" t="s">
        <v>845</v>
      </c>
    </row>
    <row r="9" spans="1:6" ht="51" x14ac:dyDescent="0.25">
      <c r="A9" s="18" t="s">
        <v>819</v>
      </c>
      <c r="B9" s="17" t="s">
        <v>823</v>
      </c>
      <c r="C9" s="8" t="s">
        <v>827</v>
      </c>
      <c r="D9" s="8" t="s">
        <v>200</v>
      </c>
      <c r="E9" s="36" t="s">
        <v>60</v>
      </c>
      <c r="F9" s="8" t="s">
        <v>531</v>
      </c>
    </row>
    <row r="10" spans="1:6" ht="38.25" x14ac:dyDescent="0.25">
      <c r="A10" s="18" t="s">
        <v>355</v>
      </c>
      <c r="B10" s="17" t="s">
        <v>356</v>
      </c>
      <c r="C10" s="17" t="s">
        <v>62</v>
      </c>
      <c r="D10" s="8" t="s">
        <v>357</v>
      </c>
      <c r="E10" s="36" t="s">
        <v>0</v>
      </c>
      <c r="F10" s="8" t="s">
        <v>846</v>
      </c>
    </row>
    <row r="11" spans="1:6" ht="25.5" x14ac:dyDescent="0.25">
      <c r="A11" s="18" t="s">
        <v>431</v>
      </c>
      <c r="B11" s="17" t="s">
        <v>413</v>
      </c>
      <c r="C11" s="17" t="s">
        <v>828</v>
      </c>
      <c r="D11" s="8" t="s">
        <v>131</v>
      </c>
      <c r="E11" s="36" t="s">
        <v>414</v>
      </c>
      <c r="F11" s="8" t="s">
        <v>531</v>
      </c>
    </row>
    <row r="12" spans="1:6" ht="63.75" x14ac:dyDescent="0.25">
      <c r="A12" s="35" t="s">
        <v>410</v>
      </c>
      <c r="B12" s="8" t="s">
        <v>346</v>
      </c>
      <c r="C12" s="8" t="s">
        <v>62</v>
      </c>
      <c r="D12" s="8" t="s">
        <v>131</v>
      </c>
      <c r="E12" s="36" t="s">
        <v>59</v>
      </c>
      <c r="F12" s="8" t="s">
        <v>531</v>
      </c>
    </row>
    <row r="13" spans="1:6" ht="76.5" x14ac:dyDescent="0.25">
      <c r="A13" s="35" t="s">
        <v>393</v>
      </c>
      <c r="B13" s="8" t="s">
        <v>394</v>
      </c>
      <c r="C13" s="8" t="s">
        <v>61</v>
      </c>
      <c r="D13" s="8"/>
      <c r="E13" s="36" t="s">
        <v>59</v>
      </c>
      <c r="F13" s="8" t="s">
        <v>531</v>
      </c>
    </row>
    <row r="14" spans="1:6" ht="51" x14ac:dyDescent="0.25">
      <c r="A14" s="35" t="s">
        <v>380</v>
      </c>
      <c r="B14" s="8" t="s">
        <v>381</v>
      </c>
      <c r="C14" s="8" t="s">
        <v>382</v>
      </c>
      <c r="D14" s="8" t="s">
        <v>244</v>
      </c>
      <c r="E14" s="36" t="s">
        <v>0</v>
      </c>
      <c r="F14" s="8" t="s">
        <v>531</v>
      </c>
    </row>
    <row r="15" spans="1:6" ht="63.75" x14ac:dyDescent="0.25">
      <c r="A15" s="35" t="s">
        <v>95</v>
      </c>
      <c r="B15" s="8" t="s">
        <v>32</v>
      </c>
      <c r="C15" s="8" t="s">
        <v>70</v>
      </c>
      <c r="D15" s="8" t="s">
        <v>131</v>
      </c>
      <c r="E15" s="36" t="s">
        <v>829</v>
      </c>
      <c r="F15" s="8" t="s">
        <v>531</v>
      </c>
    </row>
    <row r="16" spans="1:6" ht="51" x14ac:dyDescent="0.25">
      <c r="A16" s="35" t="s">
        <v>1709</v>
      </c>
      <c r="B16" s="8" t="s">
        <v>220</v>
      </c>
      <c r="C16" s="8" t="s">
        <v>66</v>
      </c>
      <c r="D16" s="8" t="s">
        <v>222</v>
      </c>
      <c r="E16" s="36" t="s">
        <v>221</v>
      </c>
      <c r="F16" s="8" t="s">
        <v>531</v>
      </c>
    </row>
    <row r="17" spans="1:6" ht="25.5" x14ac:dyDescent="0.25">
      <c r="A17" s="35" t="s">
        <v>179</v>
      </c>
      <c r="B17" s="8" t="s">
        <v>180</v>
      </c>
      <c r="C17" s="8" t="s">
        <v>64</v>
      </c>
      <c r="D17" s="8" t="s">
        <v>317</v>
      </c>
      <c r="E17" s="36" t="s">
        <v>0</v>
      </c>
      <c r="F17" s="8" t="s">
        <v>846</v>
      </c>
    </row>
    <row r="18" spans="1:6" ht="25.5" x14ac:dyDescent="0.25">
      <c r="A18" s="35" t="s">
        <v>341</v>
      </c>
      <c r="B18" s="8" t="s">
        <v>342</v>
      </c>
      <c r="C18" s="8" t="s">
        <v>433</v>
      </c>
      <c r="D18" s="8" t="s">
        <v>131</v>
      </c>
      <c r="E18" s="36" t="s">
        <v>59</v>
      </c>
      <c r="F18" s="8" t="s">
        <v>531</v>
      </c>
    </row>
    <row r="19" spans="1:6" ht="38.25" x14ac:dyDescent="0.25">
      <c r="A19" s="35" t="s">
        <v>22</v>
      </c>
      <c r="B19" s="8" t="s">
        <v>21</v>
      </c>
      <c r="C19" s="8" t="s">
        <v>830</v>
      </c>
      <c r="D19" s="8" t="s">
        <v>235</v>
      </c>
      <c r="E19" s="36" t="s">
        <v>0</v>
      </c>
      <c r="F19" s="8" t="s">
        <v>531</v>
      </c>
    </row>
    <row r="20" spans="1:6" ht="38.25" x14ac:dyDescent="0.25">
      <c r="A20" s="35" t="s">
        <v>188</v>
      </c>
      <c r="B20" s="8" t="s">
        <v>189</v>
      </c>
      <c r="C20" s="8" t="s">
        <v>190</v>
      </c>
      <c r="D20" s="8" t="s">
        <v>327</v>
      </c>
      <c r="E20" s="36" t="s">
        <v>0</v>
      </c>
      <c r="F20" s="8" t="s">
        <v>531</v>
      </c>
    </row>
    <row r="21" spans="1:6" ht="38.25" x14ac:dyDescent="0.25">
      <c r="A21" s="35" t="s">
        <v>133</v>
      </c>
      <c r="B21" s="8" t="s">
        <v>54</v>
      </c>
      <c r="C21" s="8" t="s">
        <v>134</v>
      </c>
      <c r="D21" s="8" t="s">
        <v>69</v>
      </c>
      <c r="E21" s="36" t="s">
        <v>0</v>
      </c>
      <c r="F21" s="8" t="s">
        <v>846</v>
      </c>
    </row>
    <row r="22" spans="1:6" ht="38.25" x14ac:dyDescent="0.25">
      <c r="A22" s="35" t="s">
        <v>10</v>
      </c>
      <c r="B22" s="8" t="s">
        <v>9</v>
      </c>
      <c r="C22" s="8" t="s">
        <v>68</v>
      </c>
      <c r="D22" s="8" t="s">
        <v>131</v>
      </c>
      <c r="E22" s="36" t="s">
        <v>60</v>
      </c>
      <c r="F22" s="8" t="s">
        <v>531</v>
      </c>
    </row>
    <row r="23" spans="1:6" ht="51" x14ac:dyDescent="0.25">
      <c r="A23" s="35" t="s">
        <v>832</v>
      </c>
      <c r="B23" s="8" t="s">
        <v>833</v>
      </c>
      <c r="C23" s="8" t="s">
        <v>62</v>
      </c>
      <c r="D23" s="8" t="s">
        <v>200</v>
      </c>
      <c r="E23" s="36" t="s">
        <v>0</v>
      </c>
      <c r="F23" s="8" t="s">
        <v>846</v>
      </c>
    </row>
    <row r="24" spans="1:6" ht="25.5" x14ac:dyDescent="0.25">
      <c r="A24" s="35" t="s">
        <v>16</v>
      </c>
      <c r="B24" s="8" t="s">
        <v>15</v>
      </c>
      <c r="C24" s="8" t="s">
        <v>65</v>
      </c>
      <c r="D24" s="8" t="s">
        <v>200</v>
      </c>
      <c r="E24" s="36" t="s">
        <v>0</v>
      </c>
      <c r="F24" s="8" t="s">
        <v>846</v>
      </c>
    </row>
    <row r="25" spans="1:6" ht="25.5" x14ac:dyDescent="0.25">
      <c r="A25" s="35" t="s">
        <v>7</v>
      </c>
      <c r="B25" s="8" t="s">
        <v>6</v>
      </c>
      <c r="C25" s="8" t="s">
        <v>62</v>
      </c>
      <c r="D25" s="8" t="s">
        <v>131</v>
      </c>
      <c r="E25" s="36" t="s">
        <v>0</v>
      </c>
      <c r="F25" s="8" t="s">
        <v>531</v>
      </c>
    </row>
    <row r="26" spans="1:6" ht="63.75" x14ac:dyDescent="0.25">
      <c r="A26" s="35" t="s">
        <v>18</v>
      </c>
      <c r="B26" s="8" t="s">
        <v>48</v>
      </c>
      <c r="C26" s="8" t="s">
        <v>63</v>
      </c>
      <c r="D26" s="8" t="s">
        <v>200</v>
      </c>
      <c r="E26" s="36" t="s">
        <v>0</v>
      </c>
      <c r="F26" s="8" t="s">
        <v>845</v>
      </c>
    </row>
    <row r="27" spans="1:6" ht="38.25" x14ac:dyDescent="0.25">
      <c r="A27" s="35" t="s">
        <v>338</v>
      </c>
      <c r="B27" s="8" t="s">
        <v>340</v>
      </c>
      <c r="C27" s="8" t="s">
        <v>834</v>
      </c>
      <c r="D27" s="8" t="s">
        <v>131</v>
      </c>
      <c r="E27" s="36" t="s">
        <v>339</v>
      </c>
      <c r="F27" s="8" t="s">
        <v>531</v>
      </c>
    </row>
    <row r="28" spans="1:6" ht="38.25" x14ac:dyDescent="0.25">
      <c r="A28" s="35" t="s">
        <v>835</v>
      </c>
      <c r="B28" s="8" t="s">
        <v>838</v>
      </c>
      <c r="C28" s="8" t="s">
        <v>840</v>
      </c>
      <c r="D28" s="8" t="s">
        <v>131</v>
      </c>
      <c r="E28" s="36" t="s">
        <v>0</v>
      </c>
      <c r="F28" s="8" t="s">
        <v>531</v>
      </c>
    </row>
    <row r="29" spans="1:6" ht="38.25" x14ac:dyDescent="0.25">
      <c r="A29" s="35" t="s">
        <v>836</v>
      </c>
      <c r="B29" s="8" t="s">
        <v>837</v>
      </c>
      <c r="C29" s="8" t="s">
        <v>61</v>
      </c>
      <c r="D29" s="8" t="s">
        <v>131</v>
      </c>
      <c r="E29" s="36" t="s">
        <v>59</v>
      </c>
      <c r="F29" s="8" t="s">
        <v>531</v>
      </c>
    </row>
    <row r="30" spans="1:6" ht="63.75" x14ac:dyDescent="0.25">
      <c r="A30" s="18" t="s">
        <v>24</v>
      </c>
      <c r="B30" s="17" t="s">
        <v>23</v>
      </c>
      <c r="C30" s="17" t="s">
        <v>245</v>
      </c>
      <c r="D30" s="17" t="s">
        <v>244</v>
      </c>
      <c r="E30" s="40" t="s">
        <v>0</v>
      </c>
      <c r="F30" s="17" t="s">
        <v>531</v>
      </c>
    </row>
  </sheetData>
  <pageMargins left="0.7" right="0.7" top="0.78740157499999996" bottom="0.78740157499999996"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84C97287-19CB-4E96-A569-EC8F87BB5CE4}">
          <x14:formula1>
            <xm:f>Dropdown!$A$2:$A$4</xm:f>
          </x14:formula1>
          <xm:sqref>F3:F30</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D656A-6820-40DD-AAAF-6C30D7A77B92}">
  <sheetPr codeName="Tabelle49">
    <tabColor theme="4" tint="0.79998168889431442"/>
  </sheetPr>
  <dimension ref="A1:H29"/>
  <sheetViews>
    <sheetView topLeftCell="A17" workbookViewId="0">
      <selection activeCell="B2" sqref="B2:G2"/>
    </sheetView>
  </sheetViews>
  <sheetFormatPr baseColWidth="10" defaultColWidth="10.875" defaultRowHeight="15.75" x14ac:dyDescent="0.25"/>
  <cols>
    <col min="1" max="1" width="13.625" style="7" customWidth="1"/>
    <col min="2" max="7" width="14" style="7" customWidth="1"/>
    <col min="8" max="8" width="14" style="7" hidden="1" customWidth="1"/>
    <col min="9" max="16384" width="10.875" style="7"/>
  </cols>
  <sheetData>
    <row r="1" spans="1:8" ht="39.75" hidden="1" customHeight="1" x14ac:dyDescent="0.25">
      <c r="A1" s="3" t="s">
        <v>86</v>
      </c>
      <c r="B1" s="4" t="s">
        <v>1404</v>
      </c>
      <c r="C1" s="4" t="s">
        <v>1404</v>
      </c>
      <c r="D1" s="4" t="s">
        <v>1404</v>
      </c>
      <c r="E1" s="4" t="s">
        <v>1404</v>
      </c>
      <c r="F1" s="4" t="s">
        <v>1404</v>
      </c>
      <c r="G1" s="4" t="s">
        <v>1404</v>
      </c>
      <c r="H1" s="4" t="s">
        <v>1404</v>
      </c>
    </row>
    <row r="2" spans="1:8" ht="48" customHeight="1" x14ac:dyDescent="0.25">
      <c r="A2" s="3" t="s">
        <v>1</v>
      </c>
      <c r="B2" s="4" t="s">
        <v>1443</v>
      </c>
      <c r="C2" s="4" t="s">
        <v>1442</v>
      </c>
      <c r="D2" s="4" t="s">
        <v>1444</v>
      </c>
      <c r="E2" s="4" t="s">
        <v>1445</v>
      </c>
      <c r="F2" s="4" t="s">
        <v>1446</v>
      </c>
      <c r="G2" s="4" t="s">
        <v>1447</v>
      </c>
      <c r="H2" s="4" t="s">
        <v>1419</v>
      </c>
    </row>
    <row r="3" spans="1:8" x14ac:dyDescent="0.25">
      <c r="A3" s="6" t="s">
        <v>12</v>
      </c>
      <c r="B3" s="93" t="str">
        <f>Ueberblick45156[[#This Row],[Benutzungsstunden / Auslastung]]</f>
        <v>X</v>
      </c>
      <c r="C3" s="93" t="str">
        <f>Ueberblick45156[[#This Row],[Saisonalität]]</f>
        <v>X</v>
      </c>
      <c r="D3" s="93" t="str">
        <f>Ueberblick45156[[#This Row],[Tageszeit]]</f>
        <v>X</v>
      </c>
      <c r="E3" s="93" t="str">
        <f>Ueberblick45156[[#This Row],[Temperaturabhängigkeit]]</f>
        <v>(X)</v>
      </c>
      <c r="F3" s="93" t="str">
        <f>Ueberblick45156[[#This Row],[Lastgänge / Lastblöcke]]</f>
        <v>X</v>
      </c>
      <c r="G3" s="93" t="str">
        <f>Ueberblick45156[[#This Row],[Zeitverfügbarkeitszeitreihen]]</f>
        <v>-</v>
      </c>
      <c r="H3" s="93" t="str">
        <f>Ueberblick[[#This Row],[Quellen Zeitverfügbarkeit]]</f>
        <v>S. 34-58</v>
      </c>
    </row>
    <row r="4" spans="1:8" ht="63.75" x14ac:dyDescent="0.25">
      <c r="A4" s="6" t="s">
        <v>347</v>
      </c>
      <c r="B4" s="93" t="str">
        <f>Ueberblick45156[[#This Row],[Benutzungsstunden / Auslastung]]</f>
        <v>-</v>
      </c>
      <c r="C4" s="93" t="str">
        <f>Ueberblick45156[[#This Row],[Saisonalität]]</f>
        <v>X</v>
      </c>
      <c r="D4" s="93" t="str">
        <f>Ueberblick45156[[#This Row],[Tageszeit]]</f>
        <v>X</v>
      </c>
      <c r="E4" s="93" t="str">
        <f>Ueberblick45156[[#This Row],[Temperaturabhängigkeit]]</f>
        <v>X</v>
      </c>
      <c r="F4" s="93" t="str">
        <f>Ueberblick45156[[#This Row],[Lastgänge / Lastblöcke]]</f>
        <v>X</v>
      </c>
      <c r="G4" s="93" t="str">
        <f>Ueberblick45156[[#This Row],[Zeitverfügbarkeitszeitreihen]]</f>
        <v>X</v>
      </c>
      <c r="H4" s="93" t="str">
        <f>Ueberblick[[#This Row],[Quellen Zeitverfügbarkeit]]</f>
        <v>im gesamten Artikel; zudem: Zeitreihen im Supplementary Material</v>
      </c>
    </row>
    <row r="5" spans="1:8" s="11" customFormat="1" ht="25.5" x14ac:dyDescent="0.25">
      <c r="A5" s="6" t="s">
        <v>348</v>
      </c>
      <c r="B5" s="93" t="str">
        <f>Ueberblick45156[[#This Row],[Benutzungsstunden / Auslastung]]</f>
        <v>X</v>
      </c>
      <c r="C5" s="93" t="str">
        <f>Ueberblick45156[[#This Row],[Saisonalität]]</f>
        <v>-</v>
      </c>
      <c r="D5" s="93" t="str">
        <f>Ueberblick45156[[#This Row],[Tageszeit]]</f>
        <v>-</v>
      </c>
      <c r="E5" s="93" t="str">
        <f>Ueberblick45156[[#This Row],[Temperaturabhängigkeit]]</f>
        <v>-</v>
      </c>
      <c r="F5" s="93" t="str">
        <f>Ueberblick45156[[#This Row],[Lastgänge / Lastblöcke]]</f>
        <v>-</v>
      </c>
      <c r="G5" s="93" t="str">
        <f>Ueberblick45156[[#This Row],[Zeitverfügbarkeitszeitreihen]]</f>
        <v>-</v>
      </c>
      <c r="H5" s="93">
        <f>Ueberblick[[#This Row],[Quellen Zeitverfügbarkeit]]</f>
        <v>0</v>
      </c>
    </row>
    <row r="6" spans="1:8" s="11" customFormat="1" ht="25.5" x14ac:dyDescent="0.25">
      <c r="A6" s="6" t="s">
        <v>183</v>
      </c>
      <c r="B6" s="93" t="str">
        <f>Ueberblick45156[[#This Row],[Benutzungsstunden / Auslastung]]</f>
        <v>(X)</v>
      </c>
      <c r="C6" s="93" t="str">
        <f>Ueberblick45156[[#This Row],[Saisonalität]]</f>
        <v>(X)</v>
      </c>
      <c r="D6" s="93" t="str">
        <f>Ueberblick45156[[#This Row],[Tageszeit]]</f>
        <v>X</v>
      </c>
      <c r="E6" s="93" t="str">
        <f>Ueberblick45156[[#This Row],[Temperaturabhängigkeit]]</f>
        <v>-</v>
      </c>
      <c r="F6" s="93" t="str">
        <f>Ueberblick45156[[#This Row],[Lastgänge / Lastblöcke]]</f>
        <v>X</v>
      </c>
      <c r="G6" s="93" t="str">
        <f>Ueberblick45156[[#This Row],[Zeitverfügbarkeitszeitreihen]]</f>
        <v>-</v>
      </c>
      <c r="H6" s="93" t="str">
        <f>Ueberblick[[#This Row],[Quellen Zeitverfügbarkeit]]</f>
        <v>S. 59-99</v>
      </c>
    </row>
    <row r="7" spans="1:8" s="11" customFormat="1" ht="25.5" x14ac:dyDescent="0.25">
      <c r="A7" s="6" t="s">
        <v>258</v>
      </c>
      <c r="B7" s="93" t="str">
        <f>Ueberblick45156[[#This Row],[Benutzungsstunden / Auslastung]]</f>
        <v>X</v>
      </c>
      <c r="C7" s="93" t="str">
        <f>Ueberblick45156[[#This Row],[Saisonalität]]</f>
        <v>X</v>
      </c>
      <c r="D7" s="93" t="str">
        <f>Ueberblick45156[[#This Row],[Tageszeit]]</f>
        <v>X</v>
      </c>
      <c r="E7" s="93" t="str">
        <f>Ueberblick45156[[#This Row],[Temperaturabhängigkeit]]</f>
        <v>X</v>
      </c>
      <c r="F7" s="93" t="str">
        <f>Ueberblick45156[[#This Row],[Lastgänge / Lastblöcke]]</f>
        <v>X</v>
      </c>
      <c r="G7" s="93" t="str">
        <f>Ueberblick45156[[#This Row],[Zeitverfügbarkeitszeitreihen]]</f>
        <v>X</v>
      </c>
      <c r="H7" s="93" t="str">
        <f>Ueberblick[[#This Row],[Quellen Zeitverfügbarkeit]]</f>
        <v>S. 13, 16-17</v>
      </c>
    </row>
    <row r="8" spans="1:8" s="11" customFormat="1" ht="25.5" x14ac:dyDescent="0.25">
      <c r="A8" s="18" t="s">
        <v>355</v>
      </c>
      <c r="B8" s="93" t="str">
        <f>Ueberblick45156[[#This Row],[Benutzungsstunden / Auslastung]]</f>
        <v>-</v>
      </c>
      <c r="C8" s="93" t="str">
        <f>Ueberblick45156[[#This Row],[Saisonalität]]</f>
        <v>-</v>
      </c>
      <c r="D8" s="93" t="str">
        <f>Ueberblick45156[[#This Row],[Tageszeit]]</f>
        <v>-</v>
      </c>
      <c r="E8" s="93" t="str">
        <f>Ueberblick45156[[#This Row],[Temperaturabhängigkeit]]</f>
        <v>-</v>
      </c>
      <c r="F8" s="93" t="str">
        <f>Ueberblick45156[[#This Row],[Lastgänge / Lastblöcke]]</f>
        <v>-</v>
      </c>
      <c r="G8" s="93" t="str">
        <f>Ueberblick45156[[#This Row],[Zeitverfügbarkeitszeitreihen]]</f>
        <v>-</v>
      </c>
      <c r="H8" s="93" t="str">
        <f>Ueberblick[[#This Row],[Quellen Zeitverfügbarkeit]]</f>
        <v>keine (i.e.S.)</v>
      </c>
    </row>
    <row r="9" spans="1:8" ht="25.5" x14ac:dyDescent="0.25">
      <c r="A9" s="18" t="s">
        <v>431</v>
      </c>
      <c r="B9" s="93" t="str">
        <f>Ueberblick45156[[#This Row],[Benutzungsstunden / Auslastung]]</f>
        <v>-</v>
      </c>
      <c r="C9" s="93" t="str">
        <f>Ueberblick45156[[#This Row],[Saisonalität]]</f>
        <v>-</v>
      </c>
      <c r="D9" s="93" t="str">
        <f>Ueberblick45156[[#This Row],[Tageszeit]]</f>
        <v>-</v>
      </c>
      <c r="E9" s="93" t="str">
        <f>Ueberblick45156[[#This Row],[Temperaturabhängigkeit]]</f>
        <v>X</v>
      </c>
      <c r="F9" s="93" t="str">
        <f>Ueberblick45156[[#This Row],[Lastgänge / Lastblöcke]]</f>
        <v>-</v>
      </c>
      <c r="G9" s="93" t="str">
        <f>Ueberblick45156[[#This Row],[Zeitverfügbarkeitszeitreihen]]</f>
        <v>X</v>
      </c>
      <c r="H9" s="93" t="str">
        <f>Ueberblick[[#This Row],[Quellen Zeitverfügbarkeit]]</f>
        <v>S. 34</v>
      </c>
    </row>
    <row r="10" spans="1:8" ht="25.5" x14ac:dyDescent="0.25">
      <c r="A10" s="6" t="s">
        <v>410</v>
      </c>
      <c r="B10" s="93" t="str">
        <f>Ueberblick45156[[#This Row],[Benutzungsstunden / Auslastung]]</f>
        <v>X</v>
      </c>
      <c r="C10" s="93" t="str">
        <f>Ueberblick45156[[#This Row],[Saisonalität]]</f>
        <v>X</v>
      </c>
      <c r="D10" s="93" t="str">
        <f>Ueberblick45156[[#This Row],[Tageszeit]]</f>
        <v>X</v>
      </c>
      <c r="E10" s="93" t="str">
        <f>Ueberblick45156[[#This Row],[Temperaturabhängigkeit]]</f>
        <v>-</v>
      </c>
      <c r="F10" s="93" t="str">
        <f>Ueberblick45156[[#This Row],[Lastgänge / Lastblöcke]]</f>
        <v>(X)</v>
      </c>
      <c r="G10" s="93" t="str">
        <f>Ueberblick45156[[#This Row],[Zeitverfügbarkeitszeitreihen]]</f>
        <v>-</v>
      </c>
      <c r="H10" s="93" t="str">
        <f>Ueberblick[[#This Row],[Quellen Zeitverfügbarkeit]]</f>
        <v>S. 22, 63-64, 100-104</v>
      </c>
    </row>
    <row r="11" spans="1:8" s="11" customFormat="1" x14ac:dyDescent="0.25">
      <c r="A11" s="6" t="s">
        <v>393</v>
      </c>
      <c r="B11" s="93" t="str">
        <f>Ueberblick45156[[#This Row],[Benutzungsstunden / Auslastung]]</f>
        <v>-</v>
      </c>
      <c r="C11" s="93" t="str">
        <f>Ueberblick45156[[#This Row],[Saisonalität]]</f>
        <v>X</v>
      </c>
      <c r="D11" s="93" t="str">
        <f>Ueberblick45156[[#This Row],[Tageszeit]]</f>
        <v>-</v>
      </c>
      <c r="E11" s="93" t="str">
        <f>Ueberblick45156[[#This Row],[Temperaturabhängigkeit]]</f>
        <v>X</v>
      </c>
      <c r="F11" s="93" t="str">
        <f>Ueberblick45156[[#This Row],[Lastgänge / Lastblöcke]]</f>
        <v>X</v>
      </c>
      <c r="G11" s="93" t="str">
        <f>Ueberblick45156[[#This Row],[Zeitverfügbarkeitszeitreihen]]</f>
        <v>(X)</v>
      </c>
      <c r="H11" s="93" t="str">
        <f>Ueberblick[[#This Row],[Quellen Zeitverfügbarkeit]]</f>
        <v>S. 65-81</v>
      </c>
    </row>
    <row r="12" spans="1:8" s="11" customFormat="1" ht="51" x14ac:dyDescent="0.25">
      <c r="A12" s="21" t="s">
        <v>380</v>
      </c>
      <c r="B12" s="93" t="str">
        <f>Ueberblick45156[[#This Row],[Benutzungsstunden / Auslastung]]</f>
        <v>X</v>
      </c>
      <c r="C12" s="93" t="str">
        <f>Ueberblick45156[[#This Row],[Saisonalität]]</f>
        <v>(X)</v>
      </c>
      <c r="D12" s="93" t="str">
        <f>Ueberblick45156[[#This Row],[Tageszeit]]</f>
        <v>-</v>
      </c>
      <c r="E12" s="93" t="str">
        <f>Ueberblick45156[[#This Row],[Temperaturabhängigkeit]]</f>
        <v>-</v>
      </c>
      <c r="F12" s="93" t="str">
        <f>Ueberblick45156[[#This Row],[Lastgänge / Lastblöcke]]</f>
        <v>-</v>
      </c>
      <c r="G12" s="93" t="str">
        <f>Ueberblick45156[[#This Row],[Zeitverfügbarkeitszeitreihen]]</f>
        <v>-</v>
      </c>
      <c r="H12" s="93">
        <f>Ueberblick[[#This Row],[Quellen Zeitverfügbarkeit]]</f>
        <v>0</v>
      </c>
    </row>
    <row r="13" spans="1:8" ht="25.5" x14ac:dyDescent="0.25">
      <c r="A13" s="6" t="s">
        <v>95</v>
      </c>
      <c r="B13" s="93" t="str">
        <f>Ueberblick45156[[#This Row],[Benutzungsstunden / Auslastung]]</f>
        <v>-</v>
      </c>
      <c r="C13" s="93" t="str">
        <f>Ueberblick45156[[#This Row],[Saisonalität]]</f>
        <v>(X)</v>
      </c>
      <c r="D13" s="93" t="str">
        <f>Ueberblick45156[[#This Row],[Tageszeit]]</f>
        <v>(X)</v>
      </c>
      <c r="E13" s="93" t="str">
        <f>Ueberblick45156[[#This Row],[Temperaturabhängigkeit]]</f>
        <v>-</v>
      </c>
      <c r="F13" s="93" t="str">
        <f>Ueberblick45156[[#This Row],[Lastgänge / Lastblöcke]]</f>
        <v>-</v>
      </c>
      <c r="G13" s="93" t="str">
        <f>Ueberblick45156[[#This Row],[Zeitverfügbarkeitszeitreihen]]</f>
        <v>-</v>
      </c>
      <c r="H13" s="93" t="str">
        <f>Ueberblick[[#This Row],[Quellen Zeitverfügbarkeit]]</f>
        <v>S. 52-66</v>
      </c>
    </row>
    <row r="14" spans="1:8" s="11" customFormat="1" ht="63.75" x14ac:dyDescent="0.25">
      <c r="A14" s="6" t="s">
        <v>1709</v>
      </c>
      <c r="B14" s="93" t="str">
        <f>Ueberblick45156[[#This Row],[Benutzungsstunden / Auslastung]]</f>
        <v>-</v>
      </c>
      <c r="C14" s="93" t="str">
        <f>Ueberblick45156[[#This Row],[Saisonalität]]</f>
        <v>-</v>
      </c>
      <c r="D14" s="93" t="str">
        <f>Ueberblick45156[[#This Row],[Tageszeit]]</f>
        <v>X</v>
      </c>
      <c r="E14" s="93" t="str">
        <f>Ueberblick45156[[#This Row],[Temperaturabhängigkeit]]</f>
        <v>X</v>
      </c>
      <c r="F14" s="93" t="str">
        <f>Ueberblick45156[[#This Row],[Lastgänge / Lastblöcke]]</f>
        <v>(X)</v>
      </c>
      <c r="G14" s="93" t="str">
        <f>Ueberblick45156[[#This Row],[Zeitverfügbarkeitszeitreihen]]</f>
        <v>-</v>
      </c>
      <c r="H14" s="93" t="str">
        <f>Ueberblick[[#This Row],[Quellen Zeitverfügbarkeit]]</f>
        <v>S. 41, 44-50</v>
      </c>
    </row>
    <row r="15" spans="1:8" ht="25.5" x14ac:dyDescent="0.25">
      <c r="A15" s="6" t="s">
        <v>179</v>
      </c>
      <c r="B15" s="93" t="str">
        <f>Ueberblick45156[[#This Row],[Benutzungsstunden / Auslastung]]</f>
        <v>-</v>
      </c>
      <c r="C15" s="93" t="str">
        <f>Ueberblick45156[[#This Row],[Saisonalität]]</f>
        <v>-</v>
      </c>
      <c r="D15" s="93" t="str">
        <f>Ueberblick45156[[#This Row],[Tageszeit]]</f>
        <v>-</v>
      </c>
      <c r="E15" s="93" t="str">
        <f>Ueberblick45156[[#This Row],[Temperaturabhängigkeit]]</f>
        <v>-</v>
      </c>
      <c r="F15" s="93" t="str">
        <f>Ueberblick45156[[#This Row],[Lastgänge / Lastblöcke]]</f>
        <v>-</v>
      </c>
      <c r="G15" s="93" t="str">
        <f>Ueberblick45156[[#This Row],[Zeitverfügbarkeitszeitreihen]]</f>
        <v>-</v>
      </c>
      <c r="H15" s="93" t="str">
        <f>Ueberblick[[#This Row],[Quellen Zeitverfügbarkeit]]</f>
        <v>keine (i.e.S.)</v>
      </c>
    </row>
    <row r="16" spans="1:8" s="11" customFormat="1" ht="25.5" x14ac:dyDescent="0.25">
      <c r="A16" s="6" t="s">
        <v>341</v>
      </c>
      <c r="B16" s="93" t="str">
        <f>Ueberblick45156[[#This Row],[Benutzungsstunden / Auslastung]]</f>
        <v>X</v>
      </c>
      <c r="C16" s="93" t="str">
        <f>Ueberblick45156[[#This Row],[Saisonalität]]</f>
        <v>X</v>
      </c>
      <c r="D16" s="93" t="str">
        <f>Ueberblick45156[[#This Row],[Tageszeit]]</f>
        <v>X</v>
      </c>
      <c r="E16" s="93" t="str">
        <f>Ueberblick45156[[#This Row],[Temperaturabhängigkeit]]</f>
        <v>X</v>
      </c>
      <c r="F16" s="93" t="str">
        <f>Ueberblick45156[[#This Row],[Lastgänge / Lastblöcke]]</f>
        <v>X</v>
      </c>
      <c r="G16" s="93" t="str">
        <f>Ueberblick45156[[#This Row],[Zeitverfügbarkeitszeitreihen]]</f>
        <v>X</v>
      </c>
      <c r="H16" s="93" t="str">
        <f>Ueberblick[[#This Row],[Quellen Zeitverfügbarkeit]]</f>
        <v>S. 23, 44-59, 65-67, 197-208</v>
      </c>
    </row>
    <row r="17" spans="1:8" ht="25.5" x14ac:dyDescent="0.25">
      <c r="A17" s="6" t="s">
        <v>22</v>
      </c>
      <c r="B17" s="93" t="str">
        <f>Ueberblick45156[[#This Row],[Benutzungsstunden / Auslastung]]</f>
        <v>X</v>
      </c>
      <c r="C17" s="93" t="str">
        <f>Ueberblick45156[[#This Row],[Saisonalität]]</f>
        <v>-</v>
      </c>
      <c r="D17" s="93" t="str">
        <f>Ueberblick45156[[#This Row],[Tageszeit]]</f>
        <v>-</v>
      </c>
      <c r="E17" s="93" t="str">
        <f>Ueberblick45156[[#This Row],[Temperaturabhängigkeit]]</f>
        <v>-</v>
      </c>
      <c r="F17" s="93" t="str">
        <f>Ueberblick45156[[#This Row],[Lastgänge / Lastblöcke]]</f>
        <v>-</v>
      </c>
      <c r="G17" s="93" t="str">
        <f>Ueberblick45156[[#This Row],[Zeitverfügbarkeitszeitreihen]]</f>
        <v>-</v>
      </c>
      <c r="H17" s="93" t="str">
        <f>Ueberblick[[#This Row],[Quellen Zeitverfügbarkeit]]</f>
        <v>S. 17, 103-153</v>
      </c>
    </row>
    <row r="18" spans="1:8" s="11" customFormat="1" ht="25.5" x14ac:dyDescent="0.25">
      <c r="A18" s="6" t="s">
        <v>188</v>
      </c>
      <c r="B18" s="93" t="str">
        <f>Ueberblick45156[[#This Row],[Benutzungsstunden / Auslastung]]</f>
        <v>(X)</v>
      </c>
      <c r="C18" s="93" t="str">
        <f>Ueberblick45156[[#This Row],[Saisonalität]]</f>
        <v>-</v>
      </c>
      <c r="D18" s="93" t="str">
        <f>Ueberblick45156[[#This Row],[Tageszeit]]</f>
        <v>(X)</v>
      </c>
      <c r="E18" s="93" t="str">
        <f>Ueberblick45156[[#This Row],[Temperaturabhängigkeit]]</f>
        <v>(X)</v>
      </c>
      <c r="F18" s="93" t="str">
        <f>Ueberblick45156[[#This Row],[Lastgänge / Lastblöcke]]</f>
        <v>-</v>
      </c>
      <c r="G18" s="93" t="str">
        <f>Ueberblick45156[[#This Row],[Zeitverfügbarkeitszeitreihen]]</f>
        <v>-</v>
      </c>
      <c r="H18" s="93" t="str">
        <f>Ueberblick[[#This Row],[Quellen Zeitverfügbarkeit]]</f>
        <v>S. 19-20, 22-23, 25, 27, 34-35</v>
      </c>
    </row>
    <row r="19" spans="1:8" ht="38.25" x14ac:dyDescent="0.25">
      <c r="A19" s="6" t="s">
        <v>133</v>
      </c>
      <c r="B19" s="93" t="str">
        <f>Ueberblick45156[[#This Row],[Benutzungsstunden / Auslastung]]</f>
        <v>X</v>
      </c>
      <c r="C19" s="93" t="str">
        <f>Ueberblick45156[[#This Row],[Saisonalität]]</f>
        <v>X</v>
      </c>
      <c r="D19" s="93" t="str">
        <f>Ueberblick45156[[#This Row],[Tageszeit]]</f>
        <v>X</v>
      </c>
      <c r="E19" s="93" t="str">
        <f>Ueberblick45156[[#This Row],[Temperaturabhängigkeit]]</f>
        <v>X</v>
      </c>
      <c r="F19" s="93" t="str">
        <f>Ueberblick45156[[#This Row],[Lastgänge / Lastblöcke]]</f>
        <v>-</v>
      </c>
      <c r="G19" s="93" t="str">
        <f>Ueberblick45156[[#This Row],[Zeitverfügbarkeitszeitreihen]]</f>
        <v>(X)</v>
      </c>
      <c r="H19" s="93" t="str">
        <f>Ueberblick[[#This Row],[Quellen Zeitverfügbarkeit]]</f>
        <v>S. 412-425</v>
      </c>
    </row>
    <row r="20" spans="1:8" s="11" customFormat="1" ht="25.5" x14ac:dyDescent="0.25">
      <c r="A20" s="6" t="s">
        <v>10</v>
      </c>
      <c r="B20" s="93" t="str">
        <f>Ueberblick45156[[#This Row],[Benutzungsstunden / Auslastung]]</f>
        <v>X</v>
      </c>
      <c r="C20" s="93" t="str">
        <f>Ueberblick45156[[#This Row],[Saisonalität]]</f>
        <v>-</v>
      </c>
      <c r="D20" s="93" t="str">
        <f>Ueberblick45156[[#This Row],[Tageszeit]]</f>
        <v>-</v>
      </c>
      <c r="E20" s="93" t="str">
        <f>Ueberblick45156[[#This Row],[Temperaturabhängigkeit]]</f>
        <v>-</v>
      </c>
      <c r="F20" s="93" t="str">
        <f>Ueberblick45156[[#This Row],[Lastgänge / Lastblöcke]]</f>
        <v>-</v>
      </c>
      <c r="G20" s="93" t="str">
        <f>Ueberblick45156[[#This Row],[Zeitverfügbarkeitszeitreihen]]</f>
        <v>(X)</v>
      </c>
      <c r="H20" s="93" t="str">
        <f>Ueberblick[[#This Row],[Quellen Zeitverfügbarkeit]]</f>
        <v>S. 434-435, 437</v>
      </c>
    </row>
    <row r="21" spans="1:8" ht="51" x14ac:dyDescent="0.25">
      <c r="A21" s="6" t="s">
        <v>832</v>
      </c>
      <c r="B21" s="93" t="str">
        <f>Ueberblick45156[[#This Row],[Benutzungsstunden / Auslastung]]</f>
        <v>X</v>
      </c>
      <c r="C21" s="93" t="str">
        <f>Ueberblick45156[[#This Row],[Saisonalität]]</f>
        <v>X</v>
      </c>
      <c r="D21" s="93" t="str">
        <f>Ueberblick45156[[#This Row],[Tageszeit]]</f>
        <v>X</v>
      </c>
      <c r="E21" s="93" t="str">
        <f>Ueberblick45156[[#This Row],[Temperaturabhängigkeit]]</f>
        <v>X</v>
      </c>
      <c r="F21" s="93" t="str">
        <f>Ueberblick45156[[#This Row],[Lastgänge / Lastblöcke]]</f>
        <v>X</v>
      </c>
      <c r="G21" s="93" t="str">
        <f>Ueberblick45156[[#This Row],[Zeitverfügbarkeitszeitreihen]]</f>
        <v>-</v>
      </c>
      <c r="H21" s="93" t="str">
        <f>Ueberblick[[#This Row],[Quellen Zeitverfügbarkeit]]</f>
        <v>S. 88-93, 97-98, 101, 103, 108-109, 137-139, 209-213</v>
      </c>
    </row>
    <row r="22" spans="1:8" s="11" customFormat="1" x14ac:dyDescent="0.25">
      <c r="A22" s="6" t="s">
        <v>16</v>
      </c>
      <c r="B22" s="93" t="str">
        <f>Ueberblick45156[[#This Row],[Benutzungsstunden / Auslastung]]</f>
        <v>-</v>
      </c>
      <c r="C22" s="93" t="str">
        <f>Ueberblick45156[[#This Row],[Saisonalität]]</f>
        <v>-</v>
      </c>
      <c r="D22" s="93" t="str">
        <f>Ueberblick45156[[#This Row],[Tageszeit]]</f>
        <v>-</v>
      </c>
      <c r="E22" s="93" t="str">
        <f>Ueberblick45156[[#This Row],[Temperaturabhängigkeit]]</f>
        <v>-</v>
      </c>
      <c r="F22" s="93" t="str">
        <f>Ueberblick45156[[#This Row],[Lastgänge / Lastblöcke]]</f>
        <v>-</v>
      </c>
      <c r="G22" s="93" t="str">
        <f>Ueberblick45156[[#This Row],[Zeitverfügbarkeitszeitreihen]]</f>
        <v>-</v>
      </c>
      <c r="H22" s="93" t="str">
        <f>Ueberblick[[#This Row],[Quellen Zeitverfügbarkeit]]</f>
        <v>keine (i.e.S.)</v>
      </c>
    </row>
    <row r="23" spans="1:8" ht="25.5" x14ac:dyDescent="0.25">
      <c r="A23" s="6" t="s">
        <v>7</v>
      </c>
      <c r="B23" s="93" t="str">
        <f>Ueberblick45156[[#This Row],[Benutzungsstunden / Auslastung]]</f>
        <v>-</v>
      </c>
      <c r="C23" s="93" t="str">
        <f>Ueberblick45156[[#This Row],[Saisonalität]]</f>
        <v>-</v>
      </c>
      <c r="D23" s="93" t="str">
        <f>Ueberblick45156[[#This Row],[Tageszeit]]</f>
        <v>-</v>
      </c>
      <c r="E23" s="93" t="str">
        <f>Ueberblick45156[[#This Row],[Temperaturabhängigkeit]]</f>
        <v>-</v>
      </c>
      <c r="F23" s="93" t="str">
        <f>Ueberblick45156[[#This Row],[Lastgänge / Lastblöcke]]</f>
        <v>-</v>
      </c>
      <c r="G23" s="93" t="str">
        <f>Ueberblick45156[[#This Row],[Zeitverfügbarkeitszeitreihen]]</f>
        <v>-</v>
      </c>
      <c r="H23" s="93" t="str">
        <f>Ueberblick[[#This Row],[Quellen Zeitverfügbarkeit]]</f>
        <v>keine (i.e.S.)</v>
      </c>
    </row>
    <row r="24" spans="1:8" s="11" customFormat="1" ht="25.5" x14ac:dyDescent="0.25">
      <c r="A24" s="6" t="s">
        <v>18</v>
      </c>
      <c r="B24" s="93" t="str">
        <f>Ueberblick45156[[#This Row],[Benutzungsstunden / Auslastung]]</f>
        <v>X</v>
      </c>
      <c r="C24" s="93" t="str">
        <f>Ueberblick45156[[#This Row],[Saisonalität]]</f>
        <v>X</v>
      </c>
      <c r="D24" s="93" t="str">
        <f>Ueberblick45156[[#This Row],[Tageszeit]]</f>
        <v>X</v>
      </c>
      <c r="E24" s="93" t="str">
        <f>Ueberblick45156[[#This Row],[Temperaturabhängigkeit]]</f>
        <v>X</v>
      </c>
      <c r="F24" s="93" t="str">
        <f>Ueberblick45156[[#This Row],[Lastgänge / Lastblöcke]]</f>
        <v>X</v>
      </c>
      <c r="G24" s="93" t="str">
        <f>Ueberblick45156[[#This Row],[Zeitverfügbarkeitszeitreihen]]</f>
        <v>X</v>
      </c>
      <c r="H24" s="93" t="str">
        <f>Ueberblick[[#This Row],[Quellen Zeitverfügbarkeit]]</f>
        <v>S. 50-55</v>
      </c>
    </row>
    <row r="25" spans="1:8" ht="38.25" x14ac:dyDescent="0.25">
      <c r="A25" s="6" t="s">
        <v>338</v>
      </c>
      <c r="B25" s="93" t="str">
        <f>Ueberblick45156[[#This Row],[Benutzungsstunden / Auslastung]]</f>
        <v>-</v>
      </c>
      <c r="C25" s="93" t="str">
        <f>Ueberblick45156[[#This Row],[Saisonalität]]</f>
        <v>X</v>
      </c>
      <c r="D25" s="93" t="str">
        <f>Ueberblick45156[[#This Row],[Tageszeit]]</f>
        <v>X</v>
      </c>
      <c r="E25" s="93" t="str">
        <f>Ueberblick45156[[#This Row],[Temperaturabhängigkeit]]</f>
        <v>X</v>
      </c>
      <c r="F25" s="93" t="str">
        <f>Ueberblick45156[[#This Row],[Lastgänge / Lastblöcke]]</f>
        <v>X</v>
      </c>
      <c r="G25" s="93" t="str">
        <f>Ueberblick45156[[#This Row],[Zeitverfügbarkeitszeitreihen]]</f>
        <v>-</v>
      </c>
      <c r="H25" s="93" t="str">
        <f>Ueberblick[[#This Row],[Quellen Zeitverfügbarkeit]]</f>
        <v>S. 49-53, 66, 92, 96-97, 114, 168-170</v>
      </c>
    </row>
    <row r="26" spans="1:8" s="11" customFormat="1" ht="38.25" x14ac:dyDescent="0.25">
      <c r="A26" s="6" t="s">
        <v>351</v>
      </c>
      <c r="B26" s="93" t="str">
        <f>Ueberblick45156[[#This Row],[Benutzungsstunden / Auslastung]]</f>
        <v>X</v>
      </c>
      <c r="C26" s="93" t="str">
        <f>Ueberblick45156[[#This Row],[Saisonalität]]</f>
        <v>X</v>
      </c>
      <c r="D26" s="93" t="str">
        <f>Ueberblick45156[[#This Row],[Tageszeit]]</f>
        <v>X</v>
      </c>
      <c r="E26" s="93" t="str">
        <f>Ueberblick45156[[#This Row],[Temperaturabhängigkeit]]</f>
        <v>X</v>
      </c>
      <c r="F26" s="93" t="str">
        <f>Ueberblick45156[[#This Row],[Lastgänge / Lastblöcke]]</f>
        <v>X</v>
      </c>
      <c r="G26" s="93" t="str">
        <f>Ueberblick45156[[#This Row],[Zeitverfügbarkeitszeitreihen]]</f>
        <v>X</v>
      </c>
      <c r="H26" s="93" t="str">
        <f>Ueberblick[[#This Row],[Quellen Zeitverfügbarkeit]]</f>
        <v>S. 71-73, 164-213</v>
      </c>
    </row>
    <row r="27" spans="1:8" s="11" customFormat="1" ht="51" x14ac:dyDescent="0.25">
      <c r="A27" s="6" t="s">
        <v>24</v>
      </c>
      <c r="B27" s="93" t="str">
        <f>Ueberblick45156[[#This Row],[Benutzungsstunden / Auslastung]]</f>
        <v>X</v>
      </c>
      <c r="C27" s="93" t="str">
        <f>Ueberblick45156[[#This Row],[Saisonalität]]</f>
        <v>X</v>
      </c>
      <c r="D27" s="93" t="str">
        <f>Ueberblick45156[[#This Row],[Tageszeit]]</f>
        <v>X</v>
      </c>
      <c r="E27" s="93" t="str">
        <f>Ueberblick45156[[#This Row],[Temperaturabhängigkeit]]</f>
        <v>-</v>
      </c>
      <c r="F27" s="93" t="str">
        <f>Ueberblick45156[[#This Row],[Lastgänge / Lastblöcke]]</f>
        <v>-</v>
      </c>
      <c r="G27" s="93" t="str">
        <f>Ueberblick45156[[#This Row],[Zeitverfügbarkeitszeitreihen]]</f>
        <v>-</v>
      </c>
      <c r="H27" s="93" t="str">
        <f>Ueberblick[[#This Row],[Quellen Zeitverfügbarkeit]]</f>
        <v>S. 13-22, 31-37</v>
      </c>
    </row>
    <row r="28" spans="1:8" x14ac:dyDescent="0.25">
      <c r="A28" s="56" t="s">
        <v>854</v>
      </c>
      <c r="B28" s="94">
        <f>Ueberblick45156[[#Totals],[Benutzungsstunden / Auslastung]]</f>
        <v>14</v>
      </c>
      <c r="C28" s="94">
        <f>Ueberblick45156[[#Totals],[Saisonalität]]</f>
        <v>13.5</v>
      </c>
      <c r="D28" s="94">
        <f>Ueberblick45156[[#Totals],[Tageszeit]]</f>
        <v>14</v>
      </c>
      <c r="E28" s="94">
        <f>Ueberblick45156[[#Totals],[Temperaturabhängigkeit]]</f>
        <v>12</v>
      </c>
      <c r="F28" s="94">
        <f>Ueberblick45156[[#Totals],[Lastgänge / Lastblöcke]]</f>
        <v>11</v>
      </c>
      <c r="G28" s="94">
        <f>Ueberblick45156[[#Totals],[Saisonalität]]</f>
        <v>13.5</v>
      </c>
      <c r="H28" s="94">
        <f>Ueberblick45156[[#Totals],[Tageszeit]]</f>
        <v>14</v>
      </c>
    </row>
    <row r="29" spans="1:8" x14ac:dyDescent="0.25">
      <c r="A29" s="7" t="s">
        <v>1200</v>
      </c>
    </row>
  </sheetData>
  <pageMargins left="0.7" right="0.7" top="0.78740157499999996" bottom="0.78740157499999996"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72817B88-FB02-40D5-8ED8-E1A8AB287DE5}">
          <x14:formula1>
            <xm:f>Dropdown!$A$2:$A$4</xm:f>
          </x14:formula1>
          <xm:sqref>H3:H27</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3760A-5F09-47D5-848F-1B99226E7A5D}">
  <sheetPr codeName="Tabelle50">
    <tabColor theme="7" tint="-0.499984740745262"/>
  </sheetPr>
  <dimension ref="A1:G28"/>
  <sheetViews>
    <sheetView topLeftCell="A11" workbookViewId="0">
      <selection activeCell="D14" sqref="D14"/>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50" t="s">
        <v>1</v>
      </c>
      <c r="B2" s="53" t="s">
        <v>1190</v>
      </c>
      <c r="C2" s="53" t="s">
        <v>33</v>
      </c>
      <c r="D2" s="53" t="s">
        <v>1192</v>
      </c>
      <c r="E2" s="53" t="s">
        <v>1193</v>
      </c>
      <c r="F2" s="53" t="s">
        <v>1194</v>
      </c>
      <c r="G2" s="54" t="s">
        <v>1195</v>
      </c>
    </row>
    <row r="3" spans="1:7" ht="25.5" x14ac:dyDescent="0.25">
      <c r="A3" s="6" t="s">
        <v>12</v>
      </c>
      <c r="B3" s="8">
        <f>Ueberblick[[#This Row],[Angaben zum theoretischen Potenzial]]</f>
        <v>0</v>
      </c>
      <c r="C3" s="8">
        <f>Ueberblick[[#This Row],[Angaben zum technischen Potenzial]]</f>
        <v>1</v>
      </c>
      <c r="D3" s="8">
        <f>Ueberblick[[#This Row],[Angaben zum soziotechnischen Potenzial]]</f>
        <v>0</v>
      </c>
      <c r="E3" s="8">
        <f>Ueberblick[[#This Row],[Angaben zum ökonomischen Potenzial]]</f>
        <v>0</v>
      </c>
      <c r="F3" s="8">
        <f>Ueberblick[[#This Row],[Angaben zum sozialen Potenzial]]</f>
        <v>0</v>
      </c>
      <c r="G3" s="8">
        <f>Ueberblick[[#This Row],[Angaben zum realisierbaren Potenzial]]</f>
        <v>0</v>
      </c>
    </row>
    <row r="4" spans="1:7" ht="25.5" x14ac:dyDescent="0.25">
      <c r="A4" s="6" t="s">
        <v>347</v>
      </c>
      <c r="B4" s="8">
        <f>Ueberblick[[#This Row],[Angaben zum theoretischen Potenzial]]</f>
        <v>0</v>
      </c>
      <c r="C4" s="8">
        <f>Ueberblick[[#This Row],[Angaben zum technischen Potenzial]]</f>
        <v>1</v>
      </c>
      <c r="D4" s="8">
        <f>Ueberblick[[#This Row],[Angaben zum soziotechnischen Potenzial]]</f>
        <v>1</v>
      </c>
      <c r="E4" s="8">
        <f>Ueberblick[[#This Row],[Angaben zum ökonomischen Potenzial]]</f>
        <v>0</v>
      </c>
      <c r="F4" s="8">
        <f>Ueberblick[[#This Row],[Angaben zum sozialen Potenzial]]</f>
        <v>0</v>
      </c>
      <c r="G4" s="8">
        <f>Ueberblick[[#This Row],[Angaben zum realisierbaren Potenzial]]</f>
        <v>0</v>
      </c>
    </row>
    <row r="5" spans="1:7" ht="25.5" x14ac:dyDescent="0.25">
      <c r="A5" s="6" t="s">
        <v>348</v>
      </c>
      <c r="B5" s="8">
        <f>Ueberblick[[#This Row],[Angaben zum theoretischen Potenzial]]</f>
        <v>1</v>
      </c>
      <c r="C5" s="8">
        <f>Ueberblick[[#This Row],[Angaben zum technischen Potenzial]]</f>
        <v>1</v>
      </c>
      <c r="D5" s="8">
        <f>Ueberblick[[#This Row],[Angaben zum soziotechnischen Potenzial]]</f>
        <v>0</v>
      </c>
      <c r="E5" s="8">
        <f>Ueberblick[[#This Row],[Angaben zum ökonomischen Potenzial]]</f>
        <v>1</v>
      </c>
      <c r="F5" s="8">
        <f>Ueberblick[[#This Row],[Angaben zum sozialen Potenzial]]</f>
        <v>0</v>
      </c>
      <c r="G5" s="8">
        <f>Ueberblick[[#This Row],[Angaben zum realisierbaren Potenzial]]</f>
        <v>1</v>
      </c>
    </row>
    <row r="6" spans="1:7" ht="25.5" x14ac:dyDescent="0.25">
      <c r="A6" s="6" t="s">
        <v>183</v>
      </c>
      <c r="B6" s="8">
        <f>Ueberblick[[#This Row],[Angaben zum theoretischen Potenzial]]</f>
        <v>0.5</v>
      </c>
      <c r="C6" s="8">
        <f>Ueberblick[[#This Row],[Angaben zum technischen Potenzial]]</f>
        <v>0.5</v>
      </c>
      <c r="D6" s="8">
        <f>Ueberblick[[#This Row],[Angaben zum soziotechnischen Potenzial]]</f>
        <v>0</v>
      </c>
      <c r="E6" s="8">
        <f>Ueberblick[[#This Row],[Angaben zum ökonomischen Potenzial]]</f>
        <v>0</v>
      </c>
      <c r="F6" s="8">
        <f>Ueberblick[[#This Row],[Angaben zum sozialen Potenzial]]</f>
        <v>0</v>
      </c>
      <c r="G6" s="8">
        <f>Ueberblick[[#This Row],[Angaben zum realisierbaren Potenzial]]</f>
        <v>0</v>
      </c>
    </row>
    <row r="7" spans="1:7" ht="38.25" x14ac:dyDescent="0.25">
      <c r="A7" s="6" t="s">
        <v>258</v>
      </c>
      <c r="B7" s="8">
        <f>Ueberblick[[#This Row],[Angaben zum theoretischen Potenzial]]</f>
        <v>0</v>
      </c>
      <c r="C7" s="8">
        <f>Ueberblick[[#This Row],[Angaben zum technischen Potenzial]]</f>
        <v>1</v>
      </c>
      <c r="D7" s="8">
        <f>Ueberblick[[#This Row],[Angaben zum soziotechnischen Potenzial]]</f>
        <v>1</v>
      </c>
      <c r="E7" s="8">
        <f>Ueberblick[[#This Row],[Angaben zum ökonomischen Potenzial]]</f>
        <v>1</v>
      </c>
      <c r="F7" s="8">
        <f>Ueberblick[[#This Row],[Angaben zum sozialen Potenzial]]</f>
        <v>0</v>
      </c>
      <c r="G7" s="8">
        <f>Ueberblick[[#This Row],[Angaben zum realisierbaren Potenzial]]</f>
        <v>0</v>
      </c>
    </row>
    <row r="8" spans="1:7" ht="25.5" x14ac:dyDescent="0.25">
      <c r="A8" s="18" t="s">
        <v>355</v>
      </c>
      <c r="B8" s="8">
        <f>Ueberblick[[#This Row],[Angaben zum theoretischen Potenzial]]</f>
        <v>0</v>
      </c>
      <c r="C8" s="8">
        <f>Ueberblick[[#This Row],[Angaben zum technischen Potenzial]]</f>
        <v>1</v>
      </c>
      <c r="D8" s="8">
        <f>Ueberblick[[#This Row],[Angaben zum soziotechnischen Potenzial]]</f>
        <v>0</v>
      </c>
      <c r="E8" s="8">
        <f>Ueberblick[[#This Row],[Angaben zum ökonomischen Potenzial]]</f>
        <v>0</v>
      </c>
      <c r="F8" s="8">
        <f>Ueberblick[[#This Row],[Angaben zum sozialen Potenzial]]</f>
        <v>0</v>
      </c>
      <c r="G8" s="8">
        <f>Ueberblick[[#This Row],[Angaben zum realisierbaren Potenzial]]</f>
        <v>0</v>
      </c>
    </row>
    <row r="9" spans="1:7" ht="25.5" x14ac:dyDescent="0.25">
      <c r="A9" s="18" t="s">
        <v>431</v>
      </c>
      <c r="B9" s="8">
        <f>Ueberblick[[#This Row],[Angaben zum theoretischen Potenzial]]</f>
        <v>0</v>
      </c>
      <c r="C9" s="8">
        <f>Ueberblick[[#This Row],[Angaben zum technischen Potenzial]]</f>
        <v>1</v>
      </c>
      <c r="D9" s="8">
        <f>Ueberblick[[#This Row],[Angaben zum soziotechnischen Potenzial]]</f>
        <v>0</v>
      </c>
      <c r="E9" s="8">
        <f>Ueberblick[[#This Row],[Angaben zum ökonomischen Potenzial]]</f>
        <v>1</v>
      </c>
      <c r="F9" s="8">
        <f>Ueberblick[[#This Row],[Angaben zum sozialen Potenzial]]</f>
        <v>0</v>
      </c>
      <c r="G9" s="8">
        <f>Ueberblick[[#This Row],[Angaben zum realisierbaren Potenzial]]</f>
        <v>0</v>
      </c>
    </row>
    <row r="10" spans="1:7" x14ac:dyDescent="0.25">
      <c r="A10" s="6" t="s">
        <v>410</v>
      </c>
      <c r="B10" s="8">
        <f>Ueberblick[[#This Row],[Angaben zum theoretischen Potenzial]]</f>
        <v>0</v>
      </c>
      <c r="C10" s="8">
        <f>Ueberblick[[#This Row],[Angaben zum technischen Potenzial]]</f>
        <v>1</v>
      </c>
      <c r="D10" s="8">
        <f>Ueberblick[[#This Row],[Angaben zum soziotechnischen Potenzial]]</f>
        <v>0</v>
      </c>
      <c r="E10" s="8">
        <f>Ueberblick[[#This Row],[Angaben zum ökonomischen Potenzial]]</f>
        <v>0</v>
      </c>
      <c r="F10" s="8">
        <f>Ueberblick[[#This Row],[Angaben zum sozialen Potenzial]]</f>
        <v>0</v>
      </c>
      <c r="G10" s="8">
        <f>Ueberblick[[#This Row],[Angaben zum realisierbaren Potenzial]]</f>
        <v>0</v>
      </c>
    </row>
    <row r="11" spans="1:7" x14ac:dyDescent="0.25">
      <c r="A11" s="6" t="s">
        <v>393</v>
      </c>
      <c r="B11" s="8">
        <f>Ueberblick[[#This Row],[Angaben zum theoretischen Potenzial]]</f>
        <v>0</v>
      </c>
      <c r="C11" s="8">
        <f>Ueberblick[[#This Row],[Angaben zum technischen Potenzial]]</f>
        <v>1</v>
      </c>
      <c r="D11" s="8">
        <f>Ueberblick[[#This Row],[Angaben zum soziotechnischen Potenzial]]</f>
        <v>0.5</v>
      </c>
      <c r="E11" s="8">
        <f>Ueberblick[[#This Row],[Angaben zum ökonomischen Potenzial]]</f>
        <v>1</v>
      </c>
      <c r="F11" s="8">
        <f>Ueberblick[[#This Row],[Angaben zum sozialen Potenzial]]</f>
        <v>0</v>
      </c>
      <c r="G11" s="8">
        <f>Ueberblick[[#This Row],[Angaben zum realisierbaren Potenzial]]</f>
        <v>0</v>
      </c>
    </row>
    <row r="12" spans="1:7" ht="51" x14ac:dyDescent="0.25">
      <c r="A12" s="21" t="s">
        <v>380</v>
      </c>
      <c r="B12" s="8">
        <f>Ueberblick[[#This Row],[Angaben zum theoretischen Potenzial]]</f>
        <v>0</v>
      </c>
      <c r="C12" s="8">
        <f>Ueberblick[[#This Row],[Angaben zum technischen Potenzial]]</f>
        <v>1</v>
      </c>
      <c r="D12" s="8">
        <f>Ueberblick[[#This Row],[Angaben zum soziotechnischen Potenzial]]</f>
        <v>0</v>
      </c>
      <c r="E12" s="8">
        <f>Ueberblick[[#This Row],[Angaben zum ökonomischen Potenzial]]</f>
        <v>0</v>
      </c>
      <c r="F12" s="8">
        <f>Ueberblick[[#This Row],[Angaben zum sozialen Potenzial]]</f>
        <v>0</v>
      </c>
      <c r="G12" s="8">
        <f>Ueberblick[[#This Row],[Angaben zum realisierbaren Potenzial]]</f>
        <v>0</v>
      </c>
    </row>
    <row r="13" spans="1:7" ht="51" x14ac:dyDescent="0.25">
      <c r="A13" s="6" t="s">
        <v>95</v>
      </c>
      <c r="B13" s="8">
        <f>Ueberblick[[#This Row],[Angaben zum theoretischen Potenzial]]</f>
        <v>0</v>
      </c>
      <c r="C13" s="8">
        <f>Ueberblick[[#This Row],[Angaben zum technischen Potenzial]]</f>
        <v>1</v>
      </c>
      <c r="D13" s="8">
        <f>Ueberblick[[#This Row],[Angaben zum soziotechnischen Potenzial]]</f>
        <v>0</v>
      </c>
      <c r="E13" s="8">
        <f>Ueberblick[[#This Row],[Angaben zum ökonomischen Potenzial]]</f>
        <v>0.5</v>
      </c>
      <c r="F13" s="8">
        <f>Ueberblick[[#This Row],[Angaben zum sozialen Potenzial]]</f>
        <v>0</v>
      </c>
      <c r="G13" s="8">
        <f>Ueberblick[[#This Row],[Angaben zum realisierbaren Potenzial]]</f>
        <v>0</v>
      </c>
    </row>
    <row r="14" spans="1:7" ht="63.75" x14ac:dyDescent="0.25">
      <c r="A14" s="6" t="s">
        <v>1709</v>
      </c>
      <c r="B14" s="8">
        <f>Ueberblick[[#This Row],[Angaben zum theoretischen Potenzial]]</f>
        <v>0</v>
      </c>
      <c r="C14" s="8">
        <f>Ueberblick[[#This Row],[Angaben zum technischen Potenzial]]</f>
        <v>1</v>
      </c>
      <c r="D14" s="8">
        <f>Ueberblick[[#This Row],[Angaben zum soziotechnischen Potenzial]]</f>
        <v>1</v>
      </c>
      <c r="E14" s="8">
        <f>Ueberblick[[#This Row],[Angaben zum ökonomischen Potenzial]]</f>
        <v>0.5</v>
      </c>
      <c r="F14" s="8">
        <f>Ueberblick[[#This Row],[Angaben zum sozialen Potenzial]]</f>
        <v>0</v>
      </c>
      <c r="G14" s="8">
        <f>Ueberblick[[#This Row],[Angaben zum realisierbaren Potenzial]]</f>
        <v>0</v>
      </c>
    </row>
    <row r="15" spans="1:7" ht="25.5" x14ac:dyDescent="0.25">
      <c r="A15" s="6" t="s">
        <v>179</v>
      </c>
      <c r="B15" s="8">
        <f>Ueberblick[[#This Row],[Angaben zum theoretischen Potenzial]]</f>
        <v>0</v>
      </c>
      <c r="C15" s="8">
        <f>Ueberblick[[#This Row],[Angaben zum technischen Potenzial]]</f>
        <v>1</v>
      </c>
      <c r="D15" s="8">
        <f>Ueberblick[[#This Row],[Angaben zum soziotechnischen Potenzial]]</f>
        <v>0</v>
      </c>
      <c r="E15" s="8">
        <f>Ueberblick[[#This Row],[Angaben zum ökonomischen Potenzial]]</f>
        <v>0</v>
      </c>
      <c r="F15" s="8">
        <f>Ueberblick[[#This Row],[Angaben zum sozialen Potenzial]]</f>
        <v>0</v>
      </c>
      <c r="G15" s="8">
        <f>Ueberblick[[#This Row],[Angaben zum realisierbaren Potenzial]]</f>
        <v>0</v>
      </c>
    </row>
    <row r="16" spans="1:7" x14ac:dyDescent="0.25">
      <c r="A16" s="6" t="s">
        <v>341</v>
      </c>
      <c r="B16" s="8">
        <f>Ueberblick[[#This Row],[Angaben zum theoretischen Potenzial]]</f>
        <v>1</v>
      </c>
      <c r="C16" s="8">
        <f>Ueberblick[[#This Row],[Angaben zum technischen Potenzial]]</f>
        <v>1</v>
      </c>
      <c r="D16" s="8">
        <f>Ueberblick[[#This Row],[Angaben zum soziotechnischen Potenzial]]</f>
        <v>0</v>
      </c>
      <c r="E16" s="8">
        <f>Ueberblick[[#This Row],[Angaben zum ökonomischen Potenzial]]</f>
        <v>1</v>
      </c>
      <c r="F16" s="8">
        <f>Ueberblick[[#This Row],[Angaben zum sozialen Potenzial]]</f>
        <v>0</v>
      </c>
      <c r="G16" s="8">
        <f>Ueberblick[[#This Row],[Angaben zum realisierbaren Potenzial]]</f>
        <v>0</v>
      </c>
    </row>
    <row r="17" spans="1:7" ht="25.5" x14ac:dyDescent="0.25">
      <c r="A17" s="6" t="s">
        <v>22</v>
      </c>
      <c r="B17" s="8">
        <f>Ueberblick[[#This Row],[Angaben zum theoretischen Potenzial]]</f>
        <v>0</v>
      </c>
      <c r="C17" s="8">
        <f>Ueberblick[[#This Row],[Angaben zum technischen Potenzial]]</f>
        <v>1</v>
      </c>
      <c r="D17" s="8">
        <f>Ueberblick[[#This Row],[Angaben zum soziotechnischen Potenzial]]</f>
        <v>0</v>
      </c>
      <c r="E17" s="8">
        <f>Ueberblick[[#This Row],[Angaben zum ökonomischen Potenzial]]</f>
        <v>0</v>
      </c>
      <c r="F17" s="8">
        <f>Ueberblick[[#This Row],[Angaben zum sozialen Potenzial]]</f>
        <v>0</v>
      </c>
      <c r="G17" s="8">
        <f>Ueberblick[[#This Row],[Angaben zum realisierbaren Potenzial]]</f>
        <v>0</v>
      </c>
    </row>
    <row r="18" spans="1:7" ht="38.25" x14ac:dyDescent="0.25">
      <c r="A18" s="6" t="s">
        <v>188</v>
      </c>
      <c r="B18" s="8">
        <f>Ueberblick[[#This Row],[Angaben zum theoretischen Potenzial]]</f>
        <v>0</v>
      </c>
      <c r="C18" s="8">
        <f>Ueberblick[[#This Row],[Angaben zum technischen Potenzial]]</f>
        <v>1</v>
      </c>
      <c r="D18" s="8">
        <f>Ueberblick[[#This Row],[Angaben zum soziotechnischen Potenzial]]</f>
        <v>0</v>
      </c>
      <c r="E18" s="8">
        <f>Ueberblick[[#This Row],[Angaben zum ökonomischen Potenzial]]</f>
        <v>1</v>
      </c>
      <c r="F18" s="8">
        <f>Ueberblick[[#This Row],[Angaben zum sozialen Potenzial]]</f>
        <v>0</v>
      </c>
      <c r="G18" s="8">
        <f>Ueberblick[[#This Row],[Angaben zum realisierbaren Potenzial]]</f>
        <v>0</v>
      </c>
    </row>
    <row r="19" spans="1:7" ht="38.25" x14ac:dyDescent="0.25">
      <c r="A19" s="6" t="s">
        <v>133</v>
      </c>
      <c r="B19" s="8">
        <f>Ueberblick[[#This Row],[Angaben zum theoretischen Potenzial]]</f>
        <v>0</v>
      </c>
      <c r="C19" s="8">
        <f>Ueberblick[[#This Row],[Angaben zum technischen Potenzial]]</f>
        <v>1</v>
      </c>
      <c r="D19" s="8">
        <f>Ueberblick[[#This Row],[Angaben zum soziotechnischen Potenzial]]</f>
        <v>0</v>
      </c>
      <c r="E19" s="8">
        <f>Ueberblick[[#This Row],[Angaben zum ökonomischen Potenzial]]</f>
        <v>1</v>
      </c>
      <c r="F19" s="8">
        <f>Ueberblick[[#This Row],[Angaben zum sozialen Potenzial]]</f>
        <v>0</v>
      </c>
      <c r="G19" s="8">
        <f>Ueberblick[[#This Row],[Angaben zum realisierbaren Potenzial]]</f>
        <v>0</v>
      </c>
    </row>
    <row r="20" spans="1:7" ht="38.25" x14ac:dyDescent="0.25">
      <c r="A20" s="6" t="s">
        <v>10</v>
      </c>
      <c r="B20" s="8">
        <f>Ueberblick[[#This Row],[Angaben zum theoretischen Potenzial]]</f>
        <v>0</v>
      </c>
      <c r="C20" s="8">
        <f>Ueberblick[[#This Row],[Angaben zum technischen Potenzial]]</f>
        <v>1</v>
      </c>
      <c r="D20" s="8">
        <f>Ueberblick[[#This Row],[Angaben zum soziotechnischen Potenzial]]</f>
        <v>0</v>
      </c>
      <c r="E20" s="8">
        <f>Ueberblick[[#This Row],[Angaben zum ökonomischen Potenzial]]</f>
        <v>1</v>
      </c>
      <c r="F20" s="8">
        <f>Ueberblick[[#This Row],[Angaben zum sozialen Potenzial]]</f>
        <v>0</v>
      </c>
      <c r="G20" s="8">
        <f>Ueberblick[[#This Row],[Angaben zum realisierbaren Potenzial]]</f>
        <v>0</v>
      </c>
    </row>
    <row r="21" spans="1:7" ht="51" x14ac:dyDescent="0.25">
      <c r="A21" s="6" t="s">
        <v>832</v>
      </c>
      <c r="B21" s="8">
        <f>Ueberblick[[#This Row],[Angaben zum theoretischen Potenzial]]</f>
        <v>0</v>
      </c>
      <c r="C21" s="8">
        <f>Ueberblick[[#This Row],[Angaben zum technischen Potenzial]]</f>
        <v>1</v>
      </c>
      <c r="D21" s="8">
        <f>Ueberblick[[#This Row],[Angaben zum soziotechnischen Potenzial]]</f>
        <v>0.5</v>
      </c>
      <c r="E21" s="8">
        <f>Ueberblick[[#This Row],[Angaben zum ökonomischen Potenzial]]</f>
        <v>1</v>
      </c>
      <c r="F21" s="8">
        <f>Ueberblick[[#This Row],[Angaben zum sozialen Potenzial]]</f>
        <v>0</v>
      </c>
      <c r="G21" s="8">
        <f>Ueberblick[[#This Row],[Angaben zum realisierbaren Potenzial]]</f>
        <v>0.5</v>
      </c>
    </row>
    <row r="22" spans="1:7" x14ac:dyDescent="0.25">
      <c r="A22" s="6" t="s">
        <v>16</v>
      </c>
      <c r="B22" s="8">
        <f>Ueberblick[[#This Row],[Angaben zum theoretischen Potenzial]]</f>
        <v>0</v>
      </c>
      <c r="C22" s="8">
        <f>Ueberblick[[#This Row],[Angaben zum technischen Potenzial]]</f>
        <v>1</v>
      </c>
      <c r="D22" s="8">
        <f>Ueberblick[[#This Row],[Angaben zum soziotechnischen Potenzial]]</f>
        <v>0</v>
      </c>
      <c r="E22" s="8">
        <f>Ueberblick[[#This Row],[Angaben zum ökonomischen Potenzial]]</f>
        <v>1</v>
      </c>
      <c r="F22" s="8">
        <f>Ueberblick[[#This Row],[Angaben zum sozialen Potenzial]]</f>
        <v>0</v>
      </c>
      <c r="G22" s="8">
        <f>Ueberblick[[#This Row],[Angaben zum realisierbaren Potenzial]]</f>
        <v>0</v>
      </c>
    </row>
    <row r="23" spans="1:7" ht="38.25" x14ac:dyDescent="0.25">
      <c r="A23" s="6" t="s">
        <v>7</v>
      </c>
      <c r="B23" s="8">
        <f>Ueberblick[[#This Row],[Angaben zum theoretischen Potenzial]]</f>
        <v>0</v>
      </c>
      <c r="C23" s="8">
        <f>Ueberblick[[#This Row],[Angaben zum technischen Potenzial]]</f>
        <v>1</v>
      </c>
      <c r="D23" s="8">
        <f>Ueberblick[[#This Row],[Angaben zum soziotechnischen Potenzial]]</f>
        <v>0</v>
      </c>
      <c r="E23" s="8">
        <f>Ueberblick[[#This Row],[Angaben zum ökonomischen Potenzial]]</f>
        <v>0</v>
      </c>
      <c r="F23" s="8">
        <f>Ueberblick[[#This Row],[Angaben zum sozialen Potenzial]]</f>
        <v>0</v>
      </c>
      <c r="G23" s="8">
        <f>Ueberblick[[#This Row],[Angaben zum realisierbaren Potenzial]]</f>
        <v>0</v>
      </c>
    </row>
    <row r="24" spans="1:7" ht="25.5" x14ac:dyDescent="0.25">
      <c r="A24" s="6" t="s">
        <v>18</v>
      </c>
      <c r="B24" s="8">
        <f>Ueberblick[[#This Row],[Angaben zum theoretischen Potenzial]]</f>
        <v>0</v>
      </c>
      <c r="C24" s="8">
        <f>Ueberblick[[#This Row],[Angaben zum technischen Potenzial]]</f>
        <v>1</v>
      </c>
      <c r="D24" s="8">
        <f>Ueberblick[[#This Row],[Angaben zum soziotechnischen Potenzial]]</f>
        <v>0</v>
      </c>
      <c r="E24" s="8">
        <f>Ueberblick[[#This Row],[Angaben zum ökonomischen Potenzial]]</f>
        <v>1</v>
      </c>
      <c r="F24" s="8">
        <f>Ueberblick[[#This Row],[Angaben zum sozialen Potenzial]]</f>
        <v>0</v>
      </c>
      <c r="G24" s="8">
        <f>Ueberblick[[#This Row],[Angaben zum realisierbaren Potenzial]]</f>
        <v>0</v>
      </c>
    </row>
    <row r="25" spans="1:7" x14ac:dyDescent="0.25">
      <c r="A25" s="6" t="s">
        <v>338</v>
      </c>
      <c r="B25" s="8">
        <f>Ueberblick[[#This Row],[Angaben zum theoretischen Potenzial]]</f>
        <v>0</v>
      </c>
      <c r="C25" s="8">
        <f>Ueberblick[[#This Row],[Angaben zum technischen Potenzial]]</f>
        <v>1</v>
      </c>
      <c r="D25" s="8">
        <f>Ueberblick[[#This Row],[Angaben zum soziotechnischen Potenzial]]</f>
        <v>0</v>
      </c>
      <c r="E25" s="8">
        <f>Ueberblick[[#This Row],[Angaben zum ökonomischen Potenzial]]</f>
        <v>0</v>
      </c>
      <c r="F25" s="8">
        <f>Ueberblick[[#This Row],[Angaben zum sozialen Potenzial]]</f>
        <v>0</v>
      </c>
      <c r="G25" s="8">
        <f>Ueberblick[[#This Row],[Angaben zum realisierbaren Potenzial]]</f>
        <v>0</v>
      </c>
    </row>
    <row r="26" spans="1:7" ht="38.25" x14ac:dyDescent="0.25">
      <c r="A26" s="6" t="s">
        <v>351</v>
      </c>
      <c r="B26" s="8">
        <f>Ueberblick[[#This Row],[Angaben zum theoretischen Potenzial]]</f>
        <v>1</v>
      </c>
      <c r="C26" s="8">
        <f>Ueberblick[[#This Row],[Angaben zum technischen Potenzial]]</f>
        <v>1</v>
      </c>
      <c r="D26" s="8">
        <f>Ueberblick[[#This Row],[Angaben zum soziotechnischen Potenzial]]</f>
        <v>1</v>
      </c>
      <c r="E26" s="8">
        <f>Ueberblick[[#This Row],[Angaben zum ökonomischen Potenzial]]</f>
        <v>0</v>
      </c>
      <c r="F26" s="8">
        <f>Ueberblick[[#This Row],[Angaben zum sozialen Potenzial]]</f>
        <v>0</v>
      </c>
      <c r="G26" s="8">
        <f>Ueberblick[[#This Row],[Angaben zum realisierbaren Potenzial]]</f>
        <v>0</v>
      </c>
    </row>
    <row r="27" spans="1:7" ht="63.75" x14ac:dyDescent="0.25">
      <c r="A27" s="6" t="s">
        <v>24</v>
      </c>
      <c r="B27" s="8">
        <f>Ueberblick[[#This Row],[Angaben zum theoretischen Potenzial]]</f>
        <v>0</v>
      </c>
      <c r="C27" s="8">
        <f>Ueberblick[[#This Row],[Angaben zum technischen Potenzial]]</f>
        <v>1</v>
      </c>
      <c r="D27" s="8">
        <f>Ueberblick[[#This Row],[Angaben zum soziotechnischen Potenzial]]</f>
        <v>0</v>
      </c>
      <c r="E27" s="8">
        <f>Ueberblick[[#This Row],[Angaben zum ökonomischen Potenzial]]</f>
        <v>0</v>
      </c>
      <c r="F27" s="8">
        <f>Ueberblick[[#This Row],[Angaben zum sozialen Potenzial]]</f>
        <v>0</v>
      </c>
      <c r="G27" s="8">
        <f>Ueberblick[[#This Row],[Angaben zum realisierbaren Potenzial]]</f>
        <v>1</v>
      </c>
    </row>
    <row r="28" spans="1:7" x14ac:dyDescent="0.25">
      <c r="A28" s="18" t="s">
        <v>854</v>
      </c>
      <c r="B28" s="60">
        <f>SUM(B3:B27)</f>
        <v>3.5</v>
      </c>
      <c r="C28" s="60">
        <f t="shared" ref="C28:G28" si="0">SUM(C3:C27)</f>
        <v>24.5</v>
      </c>
      <c r="D28" s="60">
        <f t="shared" si="0"/>
        <v>5</v>
      </c>
      <c r="E28" s="60">
        <f t="shared" si="0"/>
        <v>12</v>
      </c>
      <c r="F28" s="60">
        <f t="shared" si="0"/>
        <v>0</v>
      </c>
      <c r="G28" s="60">
        <f t="shared" si="0"/>
        <v>2.5</v>
      </c>
    </row>
  </sheetData>
  <pageMargins left="0.7" right="0.7" top="0.78740157499999996" bottom="0.78740157499999996" header="0.3" footer="0.3"/>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D7A34-D885-4838-A01C-6AF68564E4AF}">
  <sheetPr codeName="Tabelle51">
    <tabColor theme="7" tint="-0.499984740745262"/>
  </sheetPr>
  <dimension ref="A1:G28"/>
  <sheetViews>
    <sheetView topLeftCell="A2" workbookViewId="0">
      <selection activeCell="B2" sqref="B2:G2"/>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50" t="s">
        <v>1</v>
      </c>
      <c r="B2" s="53" t="s">
        <v>1190</v>
      </c>
      <c r="C2" s="53" t="s">
        <v>33</v>
      </c>
      <c r="D2" s="53" t="s">
        <v>1192</v>
      </c>
      <c r="E2" s="53" t="s">
        <v>1193</v>
      </c>
      <c r="F2" s="53" t="s">
        <v>1194</v>
      </c>
      <c r="G2" s="54" t="s">
        <v>1195</v>
      </c>
    </row>
    <row r="3" spans="1:7" ht="25.5" x14ac:dyDescent="0.25">
      <c r="A3" s="6" t="s">
        <v>12</v>
      </c>
      <c r="B3" s="42" t="str">
        <f>VLOOKUP(Tabelle32[[#This Row],[theoretisch]],Dropdown!$A$2:$D$4,4,FALSE)</f>
        <v>-</v>
      </c>
      <c r="C3" s="42" t="str">
        <f>VLOOKUP(Tabelle32[[#This Row],[technisch]],Dropdown!$A$2:$D$4,4,FALSE)</f>
        <v>X</v>
      </c>
      <c r="D3" s="42" t="str">
        <f>VLOOKUP(Tabelle32[[#This Row],[soziotechnisch]],Dropdown!$A$2:$D$4,4,FALSE)</f>
        <v>-</v>
      </c>
      <c r="E3" s="42" t="str">
        <f>VLOOKUP(Tabelle32[[#This Row],[ökonomisch]],Dropdown!$A$2:$D$4,4,FALSE)</f>
        <v>-</v>
      </c>
      <c r="F3" s="42" t="str">
        <f>VLOOKUP(Tabelle32[[#This Row],[sozial]],Dropdown!$A$2:$D$4,4,FALSE)</f>
        <v>-</v>
      </c>
      <c r="G3" s="42" t="str">
        <f>VLOOKUP(Tabelle32[[#This Row],[realisiert]],Dropdown!$A$2:$D$4,4,FALSE)</f>
        <v>-</v>
      </c>
    </row>
    <row r="4" spans="1:7" ht="25.5" x14ac:dyDescent="0.25">
      <c r="A4" s="6" t="s">
        <v>347</v>
      </c>
      <c r="B4" s="42" t="str">
        <f>VLOOKUP(Tabelle32[[#This Row],[theoretisch]],Dropdown!$A$2:$D$4,4,FALSE)</f>
        <v>-</v>
      </c>
      <c r="C4" s="42" t="str">
        <f>VLOOKUP(Tabelle32[[#This Row],[technisch]],Dropdown!$A$2:$D$4,4,FALSE)</f>
        <v>X</v>
      </c>
      <c r="D4" s="42" t="str">
        <f>VLOOKUP(Tabelle32[[#This Row],[soziotechnisch]],Dropdown!$A$2:$D$4,4,FALSE)</f>
        <v>X</v>
      </c>
      <c r="E4" s="42" t="str">
        <f>VLOOKUP(Tabelle32[[#This Row],[ökonomisch]],Dropdown!$A$2:$D$4,4,FALSE)</f>
        <v>-</v>
      </c>
      <c r="F4" s="42" t="str">
        <f>VLOOKUP(Tabelle32[[#This Row],[sozial]],Dropdown!$A$2:$D$4,4,FALSE)</f>
        <v>-</v>
      </c>
      <c r="G4" s="42" t="str">
        <f>VLOOKUP(Tabelle32[[#This Row],[realisiert]],Dropdown!$A$2:$D$4,4,FALSE)</f>
        <v>-</v>
      </c>
    </row>
    <row r="5" spans="1:7" ht="25.5" x14ac:dyDescent="0.25">
      <c r="A5" s="6" t="s">
        <v>348</v>
      </c>
      <c r="B5" s="42" t="str">
        <f>VLOOKUP(Tabelle32[[#This Row],[theoretisch]],Dropdown!$A$2:$D$4,4,FALSE)</f>
        <v>X</v>
      </c>
      <c r="C5" s="42" t="str">
        <f>VLOOKUP(Tabelle32[[#This Row],[technisch]],Dropdown!$A$2:$D$4,4,FALSE)</f>
        <v>X</v>
      </c>
      <c r="D5" s="42" t="str">
        <f>VLOOKUP(Tabelle32[[#This Row],[soziotechnisch]],Dropdown!$A$2:$D$4,4,FALSE)</f>
        <v>-</v>
      </c>
      <c r="E5" s="42" t="str">
        <f>VLOOKUP(Tabelle32[[#This Row],[ökonomisch]],Dropdown!$A$2:$D$4,4,FALSE)</f>
        <v>X</v>
      </c>
      <c r="F5" s="42" t="str">
        <f>VLOOKUP(Tabelle32[[#This Row],[sozial]],Dropdown!$A$2:$D$4,4,FALSE)</f>
        <v>-</v>
      </c>
      <c r="G5" s="42" t="str">
        <f>VLOOKUP(Tabelle32[[#This Row],[realisiert]],Dropdown!$A$2:$D$4,4,FALSE)</f>
        <v>X</v>
      </c>
    </row>
    <row r="6" spans="1:7" ht="25.5" x14ac:dyDescent="0.25">
      <c r="A6" s="6" t="s">
        <v>183</v>
      </c>
      <c r="B6" s="42" t="str">
        <f>VLOOKUP(Tabelle32[[#This Row],[theoretisch]],Dropdown!$A$2:$D$4,4,FALSE)</f>
        <v>(X)</v>
      </c>
      <c r="C6" s="42" t="str">
        <f>VLOOKUP(Tabelle32[[#This Row],[technisch]],Dropdown!$A$2:$D$4,4,FALSE)</f>
        <v>(X)</v>
      </c>
      <c r="D6" s="42" t="str">
        <f>VLOOKUP(Tabelle32[[#This Row],[soziotechnisch]],Dropdown!$A$2:$D$4,4,FALSE)</f>
        <v>-</v>
      </c>
      <c r="E6" s="42" t="str">
        <f>VLOOKUP(Tabelle32[[#This Row],[ökonomisch]],Dropdown!$A$2:$D$4,4,FALSE)</f>
        <v>-</v>
      </c>
      <c r="F6" s="42" t="str">
        <f>VLOOKUP(Tabelle32[[#This Row],[sozial]],Dropdown!$A$2:$D$4,4,FALSE)</f>
        <v>-</v>
      </c>
      <c r="G6" s="42" t="str">
        <f>VLOOKUP(Tabelle32[[#This Row],[realisiert]],Dropdown!$A$2:$D$4,4,FALSE)</f>
        <v>-</v>
      </c>
    </row>
    <row r="7" spans="1:7" ht="38.25" x14ac:dyDescent="0.25">
      <c r="A7" s="6" t="s">
        <v>258</v>
      </c>
      <c r="B7" s="42" t="str">
        <f>VLOOKUP(Tabelle32[[#This Row],[theoretisch]],Dropdown!$A$2:$D$4,4,FALSE)</f>
        <v>-</v>
      </c>
      <c r="C7" s="42" t="str">
        <f>VLOOKUP(Tabelle32[[#This Row],[technisch]],Dropdown!$A$2:$D$4,4,FALSE)</f>
        <v>X</v>
      </c>
      <c r="D7" s="42" t="str">
        <f>VLOOKUP(Tabelle32[[#This Row],[soziotechnisch]],Dropdown!$A$2:$D$4,4,FALSE)</f>
        <v>X</v>
      </c>
      <c r="E7" s="42" t="str">
        <f>VLOOKUP(Tabelle32[[#This Row],[ökonomisch]],Dropdown!$A$2:$D$4,4,FALSE)</f>
        <v>X</v>
      </c>
      <c r="F7" s="42" t="str">
        <f>VLOOKUP(Tabelle32[[#This Row],[sozial]],Dropdown!$A$2:$D$4,4,FALSE)</f>
        <v>-</v>
      </c>
      <c r="G7" s="42" t="str">
        <f>VLOOKUP(Tabelle32[[#This Row],[realisiert]],Dropdown!$A$2:$D$4,4,FALSE)</f>
        <v>-</v>
      </c>
    </row>
    <row r="8" spans="1:7" ht="25.5" x14ac:dyDescent="0.25">
      <c r="A8" s="18" t="s">
        <v>355</v>
      </c>
      <c r="B8" s="42" t="str">
        <f>VLOOKUP(Tabelle32[[#This Row],[theoretisch]],Dropdown!$A$2:$D$4,4,FALSE)</f>
        <v>-</v>
      </c>
      <c r="C8" s="42" t="str">
        <f>VLOOKUP(Tabelle32[[#This Row],[technisch]],Dropdown!$A$2:$D$4,4,FALSE)</f>
        <v>X</v>
      </c>
      <c r="D8" s="42" t="str">
        <f>VLOOKUP(Tabelle32[[#This Row],[soziotechnisch]],Dropdown!$A$2:$D$4,4,FALSE)</f>
        <v>-</v>
      </c>
      <c r="E8" s="42" t="str">
        <f>VLOOKUP(Tabelle32[[#This Row],[ökonomisch]],Dropdown!$A$2:$D$4,4,FALSE)</f>
        <v>-</v>
      </c>
      <c r="F8" s="42" t="str">
        <f>VLOOKUP(Tabelle32[[#This Row],[sozial]],Dropdown!$A$2:$D$4,4,FALSE)</f>
        <v>-</v>
      </c>
      <c r="G8" s="42" t="str">
        <f>VLOOKUP(Tabelle32[[#This Row],[realisiert]],Dropdown!$A$2:$D$4,4,FALSE)</f>
        <v>-</v>
      </c>
    </row>
    <row r="9" spans="1:7" ht="25.5" x14ac:dyDescent="0.25">
      <c r="A9" s="18" t="s">
        <v>431</v>
      </c>
      <c r="B9" s="42" t="str">
        <f>VLOOKUP(Tabelle32[[#This Row],[theoretisch]],Dropdown!$A$2:$D$4,4,FALSE)</f>
        <v>-</v>
      </c>
      <c r="C9" s="42" t="str">
        <f>VLOOKUP(Tabelle32[[#This Row],[technisch]],Dropdown!$A$2:$D$4,4,FALSE)</f>
        <v>X</v>
      </c>
      <c r="D9" s="42" t="str">
        <f>VLOOKUP(Tabelle32[[#This Row],[soziotechnisch]],Dropdown!$A$2:$D$4,4,FALSE)</f>
        <v>-</v>
      </c>
      <c r="E9" s="42" t="str">
        <f>VLOOKUP(Tabelle32[[#This Row],[ökonomisch]],Dropdown!$A$2:$D$4,4,FALSE)</f>
        <v>X</v>
      </c>
      <c r="F9" s="42" t="str">
        <f>VLOOKUP(Tabelle32[[#This Row],[sozial]],Dropdown!$A$2:$D$4,4,FALSE)</f>
        <v>-</v>
      </c>
      <c r="G9" s="42" t="str">
        <f>VLOOKUP(Tabelle32[[#This Row],[realisiert]],Dropdown!$A$2:$D$4,4,FALSE)</f>
        <v>-</v>
      </c>
    </row>
    <row r="10" spans="1:7" x14ac:dyDescent="0.25">
      <c r="A10" s="6" t="s">
        <v>410</v>
      </c>
      <c r="B10" s="42" t="str">
        <f>VLOOKUP(Tabelle32[[#This Row],[theoretisch]],Dropdown!$A$2:$D$4,4,FALSE)</f>
        <v>-</v>
      </c>
      <c r="C10" s="42" t="str">
        <f>VLOOKUP(Tabelle32[[#This Row],[technisch]],Dropdown!$A$2:$D$4,4,FALSE)</f>
        <v>X</v>
      </c>
      <c r="D10" s="42" t="str">
        <f>VLOOKUP(Tabelle32[[#This Row],[soziotechnisch]],Dropdown!$A$2:$D$4,4,FALSE)</f>
        <v>-</v>
      </c>
      <c r="E10" s="42" t="str">
        <f>VLOOKUP(Tabelle32[[#This Row],[ökonomisch]],Dropdown!$A$2:$D$4,4,FALSE)</f>
        <v>-</v>
      </c>
      <c r="F10" s="42" t="str">
        <f>VLOOKUP(Tabelle32[[#This Row],[sozial]],Dropdown!$A$2:$D$4,4,FALSE)</f>
        <v>-</v>
      </c>
      <c r="G10" s="42" t="str">
        <f>VLOOKUP(Tabelle32[[#This Row],[realisiert]],Dropdown!$A$2:$D$4,4,FALSE)</f>
        <v>-</v>
      </c>
    </row>
    <row r="11" spans="1:7" x14ac:dyDescent="0.25">
      <c r="A11" s="6" t="s">
        <v>393</v>
      </c>
      <c r="B11" s="42" t="str">
        <f>VLOOKUP(Tabelle32[[#This Row],[theoretisch]],Dropdown!$A$2:$D$4,4,FALSE)</f>
        <v>-</v>
      </c>
      <c r="C11" s="42" t="str">
        <f>VLOOKUP(Tabelle32[[#This Row],[technisch]],Dropdown!$A$2:$D$4,4,FALSE)</f>
        <v>X</v>
      </c>
      <c r="D11" s="42" t="str">
        <f>VLOOKUP(Tabelle32[[#This Row],[soziotechnisch]],Dropdown!$A$2:$D$4,4,FALSE)</f>
        <v>(X)</v>
      </c>
      <c r="E11" s="42" t="str">
        <f>VLOOKUP(Tabelle32[[#This Row],[ökonomisch]],Dropdown!$A$2:$D$4,4,FALSE)</f>
        <v>X</v>
      </c>
      <c r="F11" s="42" t="str">
        <f>VLOOKUP(Tabelle32[[#This Row],[sozial]],Dropdown!$A$2:$D$4,4,FALSE)</f>
        <v>-</v>
      </c>
      <c r="G11" s="42" t="str">
        <f>VLOOKUP(Tabelle32[[#This Row],[realisiert]],Dropdown!$A$2:$D$4,4,FALSE)</f>
        <v>-</v>
      </c>
    </row>
    <row r="12" spans="1:7" ht="51" x14ac:dyDescent="0.25">
      <c r="A12" s="21" t="s">
        <v>380</v>
      </c>
      <c r="B12" s="42" t="str">
        <f>VLOOKUP(Tabelle32[[#This Row],[theoretisch]],Dropdown!$A$2:$D$4,4,FALSE)</f>
        <v>-</v>
      </c>
      <c r="C12" s="42" t="str">
        <f>VLOOKUP(Tabelle32[[#This Row],[technisch]],Dropdown!$A$2:$D$4,4,FALSE)</f>
        <v>X</v>
      </c>
      <c r="D12" s="42" t="str">
        <f>VLOOKUP(Tabelle32[[#This Row],[soziotechnisch]],Dropdown!$A$2:$D$4,4,FALSE)</f>
        <v>-</v>
      </c>
      <c r="E12" s="42" t="str">
        <f>VLOOKUP(Tabelle32[[#This Row],[ökonomisch]],Dropdown!$A$2:$D$4,4,FALSE)</f>
        <v>-</v>
      </c>
      <c r="F12" s="42" t="str">
        <f>VLOOKUP(Tabelle32[[#This Row],[sozial]],Dropdown!$A$2:$D$4,4,FALSE)</f>
        <v>-</v>
      </c>
      <c r="G12" s="42" t="str">
        <f>VLOOKUP(Tabelle32[[#This Row],[realisiert]],Dropdown!$A$2:$D$4,4,FALSE)</f>
        <v>-</v>
      </c>
    </row>
    <row r="13" spans="1:7" ht="51" x14ac:dyDescent="0.25">
      <c r="A13" s="6" t="s">
        <v>95</v>
      </c>
      <c r="B13" s="42" t="str">
        <f>VLOOKUP(Tabelle32[[#This Row],[theoretisch]],Dropdown!$A$2:$D$4,4,FALSE)</f>
        <v>-</v>
      </c>
      <c r="C13" s="42" t="str">
        <f>VLOOKUP(Tabelle32[[#This Row],[technisch]],Dropdown!$A$2:$D$4,4,FALSE)</f>
        <v>X</v>
      </c>
      <c r="D13" s="42" t="str">
        <f>VLOOKUP(Tabelle32[[#This Row],[soziotechnisch]],Dropdown!$A$2:$D$4,4,FALSE)</f>
        <v>-</v>
      </c>
      <c r="E13" s="42" t="str">
        <f>VLOOKUP(Tabelle32[[#This Row],[ökonomisch]],Dropdown!$A$2:$D$4,4,FALSE)</f>
        <v>(X)</v>
      </c>
      <c r="F13" s="42" t="str">
        <f>VLOOKUP(Tabelle32[[#This Row],[sozial]],Dropdown!$A$2:$D$4,4,FALSE)</f>
        <v>-</v>
      </c>
      <c r="G13" s="42" t="str">
        <f>VLOOKUP(Tabelle32[[#This Row],[realisiert]],Dropdown!$A$2:$D$4,4,FALSE)</f>
        <v>-</v>
      </c>
    </row>
    <row r="14" spans="1:7" ht="63.75" x14ac:dyDescent="0.25">
      <c r="A14" s="6" t="s">
        <v>1709</v>
      </c>
      <c r="B14" s="42" t="str">
        <f>VLOOKUP(Tabelle32[[#This Row],[theoretisch]],Dropdown!$A$2:$D$4,4,FALSE)</f>
        <v>-</v>
      </c>
      <c r="C14" s="42" t="str">
        <f>VLOOKUP(Tabelle32[[#This Row],[technisch]],Dropdown!$A$2:$D$4,4,FALSE)</f>
        <v>X</v>
      </c>
      <c r="D14" s="42" t="str">
        <f>VLOOKUP(Tabelle32[[#This Row],[soziotechnisch]],Dropdown!$A$2:$D$4,4,FALSE)</f>
        <v>X</v>
      </c>
      <c r="E14" s="42" t="str">
        <f>VLOOKUP(Tabelle32[[#This Row],[ökonomisch]],Dropdown!$A$2:$D$4,4,FALSE)</f>
        <v>(X)</v>
      </c>
      <c r="F14" s="42" t="str">
        <f>VLOOKUP(Tabelle32[[#This Row],[sozial]],Dropdown!$A$2:$D$4,4,FALSE)</f>
        <v>-</v>
      </c>
      <c r="G14" s="42" t="str">
        <f>VLOOKUP(Tabelle32[[#This Row],[realisiert]],Dropdown!$A$2:$D$4,4,FALSE)</f>
        <v>-</v>
      </c>
    </row>
    <row r="15" spans="1:7" ht="25.5" x14ac:dyDescent="0.25">
      <c r="A15" s="6" t="s">
        <v>179</v>
      </c>
      <c r="B15" s="42" t="str">
        <f>VLOOKUP(Tabelle32[[#This Row],[theoretisch]],Dropdown!$A$2:$D$4,4,FALSE)</f>
        <v>-</v>
      </c>
      <c r="C15" s="42" t="str">
        <f>VLOOKUP(Tabelle32[[#This Row],[technisch]],Dropdown!$A$2:$D$4,4,FALSE)</f>
        <v>X</v>
      </c>
      <c r="D15" s="42" t="str">
        <f>VLOOKUP(Tabelle32[[#This Row],[soziotechnisch]],Dropdown!$A$2:$D$4,4,FALSE)</f>
        <v>-</v>
      </c>
      <c r="E15" s="42" t="str">
        <f>VLOOKUP(Tabelle32[[#This Row],[ökonomisch]],Dropdown!$A$2:$D$4,4,FALSE)</f>
        <v>-</v>
      </c>
      <c r="F15" s="42" t="str">
        <f>VLOOKUP(Tabelle32[[#This Row],[sozial]],Dropdown!$A$2:$D$4,4,FALSE)</f>
        <v>-</v>
      </c>
      <c r="G15" s="42" t="str">
        <f>VLOOKUP(Tabelle32[[#This Row],[realisiert]],Dropdown!$A$2:$D$4,4,FALSE)</f>
        <v>-</v>
      </c>
    </row>
    <row r="16" spans="1:7" x14ac:dyDescent="0.25">
      <c r="A16" s="6" t="s">
        <v>341</v>
      </c>
      <c r="B16" s="42" t="str">
        <f>VLOOKUP(Tabelle32[[#This Row],[theoretisch]],Dropdown!$A$2:$D$4,4,FALSE)</f>
        <v>X</v>
      </c>
      <c r="C16" s="42" t="str">
        <f>VLOOKUP(Tabelle32[[#This Row],[technisch]],Dropdown!$A$2:$D$4,4,FALSE)</f>
        <v>X</v>
      </c>
      <c r="D16" s="42" t="str">
        <f>VLOOKUP(Tabelle32[[#This Row],[soziotechnisch]],Dropdown!$A$2:$D$4,4,FALSE)</f>
        <v>-</v>
      </c>
      <c r="E16" s="42" t="str">
        <f>VLOOKUP(Tabelle32[[#This Row],[ökonomisch]],Dropdown!$A$2:$D$4,4,FALSE)</f>
        <v>X</v>
      </c>
      <c r="F16" s="42" t="str">
        <f>VLOOKUP(Tabelle32[[#This Row],[sozial]],Dropdown!$A$2:$D$4,4,FALSE)</f>
        <v>-</v>
      </c>
      <c r="G16" s="42" t="str">
        <f>VLOOKUP(Tabelle32[[#This Row],[realisiert]],Dropdown!$A$2:$D$4,4,FALSE)</f>
        <v>-</v>
      </c>
    </row>
    <row r="17" spans="1:7" ht="25.5" x14ac:dyDescent="0.25">
      <c r="A17" s="6" t="s">
        <v>22</v>
      </c>
      <c r="B17" s="42" t="str">
        <f>VLOOKUP(Tabelle32[[#This Row],[theoretisch]],Dropdown!$A$2:$D$4,4,FALSE)</f>
        <v>-</v>
      </c>
      <c r="C17" s="42" t="str">
        <f>VLOOKUP(Tabelle32[[#This Row],[technisch]],Dropdown!$A$2:$D$4,4,FALSE)</f>
        <v>X</v>
      </c>
      <c r="D17" s="42" t="str">
        <f>VLOOKUP(Tabelle32[[#This Row],[soziotechnisch]],Dropdown!$A$2:$D$4,4,FALSE)</f>
        <v>-</v>
      </c>
      <c r="E17" s="42" t="str">
        <f>VLOOKUP(Tabelle32[[#This Row],[ökonomisch]],Dropdown!$A$2:$D$4,4,FALSE)</f>
        <v>-</v>
      </c>
      <c r="F17" s="42" t="str">
        <f>VLOOKUP(Tabelle32[[#This Row],[sozial]],Dropdown!$A$2:$D$4,4,FALSE)</f>
        <v>-</v>
      </c>
      <c r="G17" s="42" t="str">
        <f>VLOOKUP(Tabelle32[[#This Row],[realisiert]],Dropdown!$A$2:$D$4,4,FALSE)</f>
        <v>-</v>
      </c>
    </row>
    <row r="18" spans="1:7" ht="38.25" x14ac:dyDescent="0.25">
      <c r="A18" s="6" t="s">
        <v>188</v>
      </c>
      <c r="B18" s="42" t="str">
        <f>VLOOKUP(Tabelle32[[#This Row],[theoretisch]],Dropdown!$A$2:$D$4,4,FALSE)</f>
        <v>-</v>
      </c>
      <c r="C18" s="42" t="str">
        <f>VLOOKUP(Tabelle32[[#This Row],[technisch]],Dropdown!$A$2:$D$4,4,FALSE)</f>
        <v>X</v>
      </c>
      <c r="D18" s="42" t="str">
        <f>VLOOKUP(Tabelle32[[#This Row],[soziotechnisch]],Dropdown!$A$2:$D$4,4,FALSE)</f>
        <v>-</v>
      </c>
      <c r="E18" s="42" t="str">
        <f>VLOOKUP(Tabelle32[[#This Row],[ökonomisch]],Dropdown!$A$2:$D$4,4,FALSE)</f>
        <v>X</v>
      </c>
      <c r="F18" s="42" t="str">
        <f>VLOOKUP(Tabelle32[[#This Row],[sozial]],Dropdown!$A$2:$D$4,4,FALSE)</f>
        <v>-</v>
      </c>
      <c r="G18" s="42" t="str">
        <f>VLOOKUP(Tabelle32[[#This Row],[realisiert]],Dropdown!$A$2:$D$4,4,FALSE)</f>
        <v>-</v>
      </c>
    </row>
    <row r="19" spans="1:7" ht="38.25" x14ac:dyDescent="0.25">
      <c r="A19" s="6" t="s">
        <v>133</v>
      </c>
      <c r="B19" s="42" t="str">
        <f>VLOOKUP(Tabelle32[[#This Row],[theoretisch]],Dropdown!$A$2:$D$4,4,FALSE)</f>
        <v>-</v>
      </c>
      <c r="C19" s="42" t="str">
        <f>VLOOKUP(Tabelle32[[#This Row],[technisch]],Dropdown!$A$2:$D$4,4,FALSE)</f>
        <v>X</v>
      </c>
      <c r="D19" s="42" t="str">
        <f>VLOOKUP(Tabelle32[[#This Row],[soziotechnisch]],Dropdown!$A$2:$D$4,4,FALSE)</f>
        <v>-</v>
      </c>
      <c r="E19" s="42" t="str">
        <f>VLOOKUP(Tabelle32[[#This Row],[ökonomisch]],Dropdown!$A$2:$D$4,4,FALSE)</f>
        <v>X</v>
      </c>
      <c r="F19" s="42" t="str">
        <f>VLOOKUP(Tabelle32[[#This Row],[sozial]],Dropdown!$A$2:$D$4,4,FALSE)</f>
        <v>-</v>
      </c>
      <c r="G19" s="42" t="str">
        <f>VLOOKUP(Tabelle32[[#This Row],[realisiert]],Dropdown!$A$2:$D$4,4,FALSE)</f>
        <v>-</v>
      </c>
    </row>
    <row r="20" spans="1:7" ht="38.25" x14ac:dyDescent="0.25">
      <c r="A20" s="6" t="s">
        <v>10</v>
      </c>
      <c r="B20" s="42" t="str">
        <f>VLOOKUP(Tabelle32[[#This Row],[theoretisch]],Dropdown!$A$2:$D$4,4,FALSE)</f>
        <v>-</v>
      </c>
      <c r="C20" s="42" t="str">
        <f>VLOOKUP(Tabelle32[[#This Row],[technisch]],Dropdown!$A$2:$D$4,4,FALSE)</f>
        <v>X</v>
      </c>
      <c r="D20" s="42" t="str">
        <f>VLOOKUP(Tabelle32[[#This Row],[soziotechnisch]],Dropdown!$A$2:$D$4,4,FALSE)</f>
        <v>-</v>
      </c>
      <c r="E20" s="42" t="str">
        <f>VLOOKUP(Tabelle32[[#This Row],[ökonomisch]],Dropdown!$A$2:$D$4,4,FALSE)</f>
        <v>X</v>
      </c>
      <c r="F20" s="42" t="str">
        <f>VLOOKUP(Tabelle32[[#This Row],[sozial]],Dropdown!$A$2:$D$4,4,FALSE)</f>
        <v>-</v>
      </c>
      <c r="G20" s="42" t="str">
        <f>VLOOKUP(Tabelle32[[#This Row],[realisiert]],Dropdown!$A$2:$D$4,4,FALSE)</f>
        <v>-</v>
      </c>
    </row>
    <row r="21" spans="1:7" ht="51" x14ac:dyDescent="0.25">
      <c r="A21" s="6" t="s">
        <v>832</v>
      </c>
      <c r="B21" s="42" t="str">
        <f>VLOOKUP(Tabelle32[[#This Row],[theoretisch]],Dropdown!$A$2:$D$4,4,FALSE)</f>
        <v>-</v>
      </c>
      <c r="C21" s="42" t="str">
        <f>VLOOKUP(Tabelle32[[#This Row],[technisch]],Dropdown!$A$2:$D$4,4,FALSE)</f>
        <v>X</v>
      </c>
      <c r="D21" s="42" t="str">
        <f>VLOOKUP(Tabelle32[[#This Row],[soziotechnisch]],Dropdown!$A$2:$D$4,4,FALSE)</f>
        <v>(X)</v>
      </c>
      <c r="E21" s="42" t="str">
        <f>VLOOKUP(Tabelle32[[#This Row],[ökonomisch]],Dropdown!$A$2:$D$4,4,FALSE)</f>
        <v>X</v>
      </c>
      <c r="F21" s="42" t="str">
        <f>VLOOKUP(Tabelle32[[#This Row],[sozial]],Dropdown!$A$2:$D$4,4,FALSE)</f>
        <v>-</v>
      </c>
      <c r="G21" s="42" t="str">
        <f>VLOOKUP(Tabelle32[[#This Row],[realisiert]],Dropdown!$A$2:$D$4,4,FALSE)</f>
        <v>(X)</v>
      </c>
    </row>
    <row r="22" spans="1:7" x14ac:dyDescent="0.25">
      <c r="A22" s="6" t="s">
        <v>16</v>
      </c>
      <c r="B22" s="42" t="str">
        <f>VLOOKUP(Tabelle32[[#This Row],[theoretisch]],Dropdown!$A$2:$D$4,4,FALSE)</f>
        <v>-</v>
      </c>
      <c r="C22" s="42" t="str">
        <f>VLOOKUP(Tabelle32[[#This Row],[technisch]],Dropdown!$A$2:$D$4,4,FALSE)</f>
        <v>X</v>
      </c>
      <c r="D22" s="42" t="str">
        <f>VLOOKUP(Tabelle32[[#This Row],[soziotechnisch]],Dropdown!$A$2:$D$4,4,FALSE)</f>
        <v>-</v>
      </c>
      <c r="E22" s="42" t="str">
        <f>VLOOKUP(Tabelle32[[#This Row],[ökonomisch]],Dropdown!$A$2:$D$4,4,FALSE)</f>
        <v>X</v>
      </c>
      <c r="F22" s="42" t="str">
        <f>VLOOKUP(Tabelle32[[#This Row],[sozial]],Dropdown!$A$2:$D$4,4,FALSE)</f>
        <v>-</v>
      </c>
      <c r="G22" s="42" t="str">
        <f>VLOOKUP(Tabelle32[[#This Row],[realisiert]],Dropdown!$A$2:$D$4,4,FALSE)</f>
        <v>-</v>
      </c>
    </row>
    <row r="23" spans="1:7" ht="38.25" x14ac:dyDescent="0.25">
      <c r="A23" s="6" t="s">
        <v>7</v>
      </c>
      <c r="B23" s="42" t="str">
        <f>VLOOKUP(Tabelle32[[#This Row],[theoretisch]],Dropdown!$A$2:$D$4,4,FALSE)</f>
        <v>-</v>
      </c>
      <c r="C23" s="42" t="str">
        <f>VLOOKUP(Tabelle32[[#This Row],[technisch]],Dropdown!$A$2:$D$4,4,FALSE)</f>
        <v>X</v>
      </c>
      <c r="D23" s="42" t="str">
        <f>VLOOKUP(Tabelle32[[#This Row],[soziotechnisch]],Dropdown!$A$2:$D$4,4,FALSE)</f>
        <v>-</v>
      </c>
      <c r="E23" s="42" t="str">
        <f>VLOOKUP(Tabelle32[[#This Row],[ökonomisch]],Dropdown!$A$2:$D$4,4,FALSE)</f>
        <v>-</v>
      </c>
      <c r="F23" s="42" t="str">
        <f>VLOOKUP(Tabelle32[[#This Row],[sozial]],Dropdown!$A$2:$D$4,4,FALSE)</f>
        <v>-</v>
      </c>
      <c r="G23" s="42" t="str">
        <f>VLOOKUP(Tabelle32[[#This Row],[realisiert]],Dropdown!$A$2:$D$4,4,FALSE)</f>
        <v>-</v>
      </c>
    </row>
    <row r="24" spans="1:7" ht="25.5" x14ac:dyDescent="0.25">
      <c r="A24" s="6" t="s">
        <v>18</v>
      </c>
      <c r="B24" s="42" t="str">
        <f>VLOOKUP(Tabelle32[[#This Row],[theoretisch]],Dropdown!$A$2:$D$4,4,FALSE)</f>
        <v>-</v>
      </c>
      <c r="C24" s="42" t="str">
        <f>VLOOKUP(Tabelle32[[#This Row],[technisch]],Dropdown!$A$2:$D$4,4,FALSE)</f>
        <v>X</v>
      </c>
      <c r="D24" s="42" t="str">
        <f>VLOOKUP(Tabelle32[[#This Row],[soziotechnisch]],Dropdown!$A$2:$D$4,4,FALSE)</f>
        <v>-</v>
      </c>
      <c r="E24" s="42" t="str">
        <f>VLOOKUP(Tabelle32[[#This Row],[ökonomisch]],Dropdown!$A$2:$D$4,4,FALSE)</f>
        <v>X</v>
      </c>
      <c r="F24" s="42" t="str">
        <f>VLOOKUP(Tabelle32[[#This Row],[sozial]],Dropdown!$A$2:$D$4,4,FALSE)</f>
        <v>-</v>
      </c>
      <c r="G24" s="42" t="str">
        <f>VLOOKUP(Tabelle32[[#This Row],[realisiert]],Dropdown!$A$2:$D$4,4,FALSE)</f>
        <v>-</v>
      </c>
    </row>
    <row r="25" spans="1:7" x14ac:dyDescent="0.25">
      <c r="A25" s="6" t="s">
        <v>338</v>
      </c>
      <c r="B25" s="42" t="str">
        <f>VLOOKUP(Tabelle32[[#This Row],[theoretisch]],Dropdown!$A$2:$D$4,4,FALSE)</f>
        <v>-</v>
      </c>
      <c r="C25" s="42" t="str">
        <f>VLOOKUP(Tabelle32[[#This Row],[technisch]],Dropdown!$A$2:$D$4,4,FALSE)</f>
        <v>X</v>
      </c>
      <c r="D25" s="42" t="str">
        <f>VLOOKUP(Tabelle32[[#This Row],[soziotechnisch]],Dropdown!$A$2:$D$4,4,FALSE)</f>
        <v>-</v>
      </c>
      <c r="E25" s="42" t="str">
        <f>VLOOKUP(Tabelle32[[#This Row],[ökonomisch]],Dropdown!$A$2:$D$4,4,FALSE)</f>
        <v>-</v>
      </c>
      <c r="F25" s="42" t="str">
        <f>VLOOKUP(Tabelle32[[#This Row],[sozial]],Dropdown!$A$2:$D$4,4,FALSE)</f>
        <v>-</v>
      </c>
      <c r="G25" s="42" t="str">
        <f>VLOOKUP(Tabelle32[[#This Row],[realisiert]],Dropdown!$A$2:$D$4,4,FALSE)</f>
        <v>-</v>
      </c>
    </row>
    <row r="26" spans="1:7" ht="38.25" x14ac:dyDescent="0.25">
      <c r="A26" s="6" t="s">
        <v>351</v>
      </c>
      <c r="B26" s="42" t="str">
        <f>VLOOKUP(Tabelle32[[#This Row],[theoretisch]],Dropdown!$A$2:$D$4,4,FALSE)</f>
        <v>X</v>
      </c>
      <c r="C26" s="42" t="str">
        <f>VLOOKUP(Tabelle32[[#This Row],[technisch]],Dropdown!$A$2:$D$4,4,FALSE)</f>
        <v>X</v>
      </c>
      <c r="D26" s="42" t="str">
        <f>VLOOKUP(Tabelle32[[#This Row],[soziotechnisch]],Dropdown!$A$2:$D$4,4,FALSE)</f>
        <v>X</v>
      </c>
      <c r="E26" s="42" t="str">
        <f>VLOOKUP(Tabelle32[[#This Row],[ökonomisch]],Dropdown!$A$2:$D$4,4,FALSE)</f>
        <v>-</v>
      </c>
      <c r="F26" s="42" t="str">
        <f>VLOOKUP(Tabelle32[[#This Row],[sozial]],Dropdown!$A$2:$D$4,4,FALSE)</f>
        <v>-</v>
      </c>
      <c r="G26" s="42" t="str">
        <f>VLOOKUP(Tabelle32[[#This Row],[realisiert]],Dropdown!$A$2:$D$4,4,FALSE)</f>
        <v>-</v>
      </c>
    </row>
    <row r="27" spans="1:7" ht="63.75" x14ac:dyDescent="0.25">
      <c r="A27" s="6" t="s">
        <v>24</v>
      </c>
      <c r="B27" s="42" t="str">
        <f>VLOOKUP(Tabelle32[[#This Row],[theoretisch]],Dropdown!$A$2:$D$4,4,FALSE)</f>
        <v>-</v>
      </c>
      <c r="C27" s="42" t="str">
        <f>VLOOKUP(Tabelle32[[#This Row],[technisch]],Dropdown!$A$2:$D$4,4,FALSE)</f>
        <v>X</v>
      </c>
      <c r="D27" s="42" t="str">
        <f>VLOOKUP(Tabelle32[[#This Row],[soziotechnisch]],Dropdown!$A$2:$D$4,4,FALSE)</f>
        <v>-</v>
      </c>
      <c r="E27" s="42" t="str">
        <f>VLOOKUP(Tabelle32[[#This Row],[ökonomisch]],Dropdown!$A$2:$D$4,4,FALSE)</f>
        <v>-</v>
      </c>
      <c r="F27" s="42" t="str">
        <f>VLOOKUP(Tabelle32[[#This Row],[sozial]],Dropdown!$A$2:$D$4,4,FALSE)</f>
        <v>-</v>
      </c>
      <c r="G27" s="42" t="str">
        <f>VLOOKUP(Tabelle32[[#This Row],[realisiert]],Dropdown!$A$2:$D$4,4,FALSE)</f>
        <v>X</v>
      </c>
    </row>
    <row r="28" spans="1:7" x14ac:dyDescent="0.25">
      <c r="A28" s="18" t="s">
        <v>854</v>
      </c>
      <c r="B28" s="60">
        <f>Tabelle32[[#This Row],[theoretisch]]</f>
        <v>3.5</v>
      </c>
      <c r="C28" s="60">
        <f>Tabelle32[[#This Row],[technisch]]</f>
        <v>24.5</v>
      </c>
      <c r="D28" s="60">
        <f>Tabelle32[[#This Row],[soziotechnisch]]</f>
        <v>5</v>
      </c>
      <c r="E28" s="60">
        <f>Tabelle32[[#This Row],[ökonomisch]]</f>
        <v>12</v>
      </c>
      <c r="F28" s="60">
        <f>Tabelle32[[#This Row],[sozial]]</f>
        <v>0</v>
      </c>
      <c r="G28" s="60">
        <f>Tabelle32[[#This Row],[realisiert]]</f>
        <v>2.5</v>
      </c>
    </row>
  </sheetData>
  <pageMargins left="0.7" right="0.7" top="0.78740157499999996" bottom="0.78740157499999996" header="0.3" footer="0.3"/>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A7B97-5BF4-4E8E-A9C2-BE1C2BAC2043}">
  <sheetPr codeName="Tabelle52">
    <tabColor theme="7" tint="-0.499984740745262"/>
  </sheetPr>
  <dimension ref="A1:G29"/>
  <sheetViews>
    <sheetView topLeftCell="A2" workbookViewId="0">
      <selection activeCell="B2" sqref="B2:G2"/>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50" t="s">
        <v>1</v>
      </c>
      <c r="B2" s="53" t="s">
        <v>1190</v>
      </c>
      <c r="C2" s="53" t="s">
        <v>33</v>
      </c>
      <c r="D2" s="53" t="s">
        <v>1192</v>
      </c>
      <c r="E2" s="53" t="s">
        <v>1193</v>
      </c>
      <c r="F2" s="53" t="s">
        <v>1194</v>
      </c>
      <c r="G2" s="54" t="s">
        <v>1195</v>
      </c>
    </row>
    <row r="3" spans="1:7" x14ac:dyDescent="0.25">
      <c r="A3" s="6">
        <v>1</v>
      </c>
      <c r="B3" s="42" t="str">
        <f>VLOOKUP(Tabelle32[[#This Row],[theoretisch]],Dropdown!$A$2:$D$4,4,FALSE)</f>
        <v>-</v>
      </c>
      <c r="C3" s="42" t="str">
        <f>VLOOKUP(Tabelle32[[#This Row],[technisch]],Dropdown!$A$2:$D$4,4,FALSE)</f>
        <v>X</v>
      </c>
      <c r="D3" s="42" t="str">
        <f>VLOOKUP(Tabelle32[[#This Row],[soziotechnisch]],Dropdown!$A$2:$D$4,4,FALSE)</f>
        <v>-</v>
      </c>
      <c r="E3" s="42" t="str">
        <f>VLOOKUP(Tabelle32[[#This Row],[ökonomisch]],Dropdown!$A$2:$D$4,4,FALSE)</f>
        <v>-</v>
      </c>
      <c r="F3" s="42" t="str">
        <f>VLOOKUP(Tabelle32[[#This Row],[sozial]],Dropdown!$A$2:$D$4,4,FALSE)</f>
        <v>-</v>
      </c>
      <c r="G3" s="42" t="str">
        <f>VLOOKUP(Tabelle32[[#This Row],[realisiert]],Dropdown!$A$2:$D$4,4,FALSE)</f>
        <v>-</v>
      </c>
    </row>
    <row r="4" spans="1:7" x14ac:dyDescent="0.25">
      <c r="A4" s="6">
        <v>2</v>
      </c>
      <c r="B4" s="42" t="str">
        <f>VLOOKUP(Tabelle32[[#This Row],[theoretisch]],Dropdown!$A$2:$D$4,4,FALSE)</f>
        <v>-</v>
      </c>
      <c r="C4" s="42" t="str">
        <f>VLOOKUP(Tabelle32[[#This Row],[technisch]],Dropdown!$A$2:$D$4,4,FALSE)</f>
        <v>X</v>
      </c>
      <c r="D4" s="42" t="str">
        <f>VLOOKUP(Tabelle32[[#This Row],[soziotechnisch]],Dropdown!$A$2:$D$4,4,FALSE)</f>
        <v>X</v>
      </c>
      <c r="E4" s="42" t="str">
        <f>VLOOKUP(Tabelle32[[#This Row],[ökonomisch]],Dropdown!$A$2:$D$4,4,FALSE)</f>
        <v>-</v>
      </c>
      <c r="F4" s="42" t="str">
        <f>VLOOKUP(Tabelle32[[#This Row],[sozial]],Dropdown!$A$2:$D$4,4,FALSE)</f>
        <v>-</v>
      </c>
      <c r="G4" s="42" t="str">
        <f>VLOOKUP(Tabelle32[[#This Row],[realisiert]],Dropdown!$A$2:$D$4,4,FALSE)</f>
        <v>-</v>
      </c>
    </row>
    <row r="5" spans="1:7" x14ac:dyDescent="0.25">
      <c r="A5" s="6">
        <v>3</v>
      </c>
      <c r="B5" s="42" t="str">
        <f>VLOOKUP(Tabelle32[[#This Row],[theoretisch]],Dropdown!$A$2:$D$4,4,FALSE)</f>
        <v>X</v>
      </c>
      <c r="C5" s="42" t="str">
        <f>VLOOKUP(Tabelle32[[#This Row],[technisch]],Dropdown!$A$2:$D$4,4,FALSE)</f>
        <v>X</v>
      </c>
      <c r="D5" s="42" t="str">
        <f>VLOOKUP(Tabelle32[[#This Row],[soziotechnisch]],Dropdown!$A$2:$D$4,4,FALSE)</f>
        <v>-</v>
      </c>
      <c r="E5" s="42" t="str">
        <f>VLOOKUP(Tabelle32[[#This Row],[ökonomisch]],Dropdown!$A$2:$D$4,4,FALSE)</f>
        <v>X</v>
      </c>
      <c r="F5" s="42" t="str">
        <f>VLOOKUP(Tabelle32[[#This Row],[sozial]],Dropdown!$A$2:$D$4,4,FALSE)</f>
        <v>-</v>
      </c>
      <c r="G5" s="42" t="str">
        <f>VLOOKUP(Tabelle32[[#This Row],[realisiert]],Dropdown!$A$2:$D$4,4,FALSE)</f>
        <v>X</v>
      </c>
    </row>
    <row r="6" spans="1:7" x14ac:dyDescent="0.25">
      <c r="A6" s="6">
        <v>4</v>
      </c>
      <c r="B6" s="42" t="str">
        <f>VLOOKUP(Tabelle32[[#This Row],[theoretisch]],Dropdown!$A$2:$D$4,4,FALSE)</f>
        <v>(X)</v>
      </c>
      <c r="C6" s="42" t="str">
        <f>VLOOKUP(Tabelle32[[#This Row],[technisch]],Dropdown!$A$2:$D$4,4,FALSE)</f>
        <v>(X)</v>
      </c>
      <c r="D6" s="42" t="str">
        <f>VLOOKUP(Tabelle32[[#This Row],[soziotechnisch]],Dropdown!$A$2:$D$4,4,FALSE)</f>
        <v>-</v>
      </c>
      <c r="E6" s="42" t="str">
        <f>VLOOKUP(Tabelle32[[#This Row],[ökonomisch]],Dropdown!$A$2:$D$4,4,FALSE)</f>
        <v>-</v>
      </c>
      <c r="F6" s="42" t="str">
        <f>VLOOKUP(Tabelle32[[#This Row],[sozial]],Dropdown!$A$2:$D$4,4,FALSE)</f>
        <v>-</v>
      </c>
      <c r="G6" s="42" t="str">
        <f>VLOOKUP(Tabelle32[[#This Row],[realisiert]],Dropdown!$A$2:$D$4,4,FALSE)</f>
        <v>-</v>
      </c>
    </row>
    <row r="7" spans="1:7" x14ac:dyDescent="0.25">
      <c r="A7" s="6">
        <v>5</v>
      </c>
      <c r="B7" s="42" t="str">
        <f>VLOOKUP(Tabelle32[[#This Row],[theoretisch]],Dropdown!$A$2:$D$4,4,FALSE)</f>
        <v>-</v>
      </c>
      <c r="C7" s="42" t="str">
        <f>VLOOKUP(Tabelle32[[#This Row],[technisch]],Dropdown!$A$2:$D$4,4,FALSE)</f>
        <v>X</v>
      </c>
      <c r="D7" s="42" t="str">
        <f>VLOOKUP(Tabelle32[[#This Row],[soziotechnisch]],Dropdown!$A$2:$D$4,4,FALSE)</f>
        <v>X</v>
      </c>
      <c r="E7" s="42" t="str">
        <f>VLOOKUP(Tabelle32[[#This Row],[ökonomisch]],Dropdown!$A$2:$D$4,4,FALSE)</f>
        <v>X</v>
      </c>
      <c r="F7" s="42" t="str">
        <f>VLOOKUP(Tabelle32[[#This Row],[sozial]],Dropdown!$A$2:$D$4,4,FALSE)</f>
        <v>-</v>
      </c>
      <c r="G7" s="42" t="str">
        <f>VLOOKUP(Tabelle32[[#This Row],[realisiert]],Dropdown!$A$2:$D$4,4,FALSE)</f>
        <v>-</v>
      </c>
    </row>
    <row r="8" spans="1:7" x14ac:dyDescent="0.25">
      <c r="A8" s="6">
        <v>6</v>
      </c>
      <c r="B8" s="42" t="str">
        <f>VLOOKUP(Tabelle32[[#This Row],[theoretisch]],Dropdown!$A$2:$D$4,4,FALSE)</f>
        <v>-</v>
      </c>
      <c r="C8" s="42" t="str">
        <f>VLOOKUP(Tabelle32[[#This Row],[technisch]],Dropdown!$A$2:$D$4,4,FALSE)</f>
        <v>X</v>
      </c>
      <c r="D8" s="42" t="str">
        <f>VLOOKUP(Tabelle32[[#This Row],[soziotechnisch]],Dropdown!$A$2:$D$4,4,FALSE)</f>
        <v>-</v>
      </c>
      <c r="E8" s="42" t="str">
        <f>VLOOKUP(Tabelle32[[#This Row],[ökonomisch]],Dropdown!$A$2:$D$4,4,FALSE)</f>
        <v>-</v>
      </c>
      <c r="F8" s="42" t="str">
        <f>VLOOKUP(Tabelle32[[#This Row],[sozial]],Dropdown!$A$2:$D$4,4,FALSE)</f>
        <v>-</v>
      </c>
      <c r="G8" s="42" t="str">
        <f>VLOOKUP(Tabelle32[[#This Row],[realisiert]],Dropdown!$A$2:$D$4,4,FALSE)</f>
        <v>-</v>
      </c>
    </row>
    <row r="9" spans="1:7" x14ac:dyDescent="0.25">
      <c r="A9" s="6">
        <v>7</v>
      </c>
      <c r="B9" s="42" t="str">
        <f>VLOOKUP(Tabelle32[[#This Row],[theoretisch]],Dropdown!$A$2:$D$4,4,FALSE)</f>
        <v>-</v>
      </c>
      <c r="C9" s="42" t="str">
        <f>VLOOKUP(Tabelle32[[#This Row],[technisch]],Dropdown!$A$2:$D$4,4,FALSE)</f>
        <v>X</v>
      </c>
      <c r="D9" s="42" t="str">
        <f>VLOOKUP(Tabelle32[[#This Row],[soziotechnisch]],Dropdown!$A$2:$D$4,4,FALSE)</f>
        <v>-</v>
      </c>
      <c r="E9" s="42" t="str">
        <f>VLOOKUP(Tabelle32[[#This Row],[ökonomisch]],Dropdown!$A$2:$D$4,4,FALSE)</f>
        <v>X</v>
      </c>
      <c r="F9" s="42" t="str">
        <f>VLOOKUP(Tabelle32[[#This Row],[sozial]],Dropdown!$A$2:$D$4,4,FALSE)</f>
        <v>-</v>
      </c>
      <c r="G9" s="42" t="str">
        <f>VLOOKUP(Tabelle32[[#This Row],[realisiert]],Dropdown!$A$2:$D$4,4,FALSE)</f>
        <v>-</v>
      </c>
    </row>
    <row r="10" spans="1:7" x14ac:dyDescent="0.25">
      <c r="A10" s="6">
        <v>8</v>
      </c>
      <c r="B10" s="42" t="str">
        <f>VLOOKUP(Tabelle32[[#This Row],[theoretisch]],Dropdown!$A$2:$D$4,4,FALSE)</f>
        <v>-</v>
      </c>
      <c r="C10" s="42" t="str">
        <f>VLOOKUP(Tabelle32[[#This Row],[technisch]],Dropdown!$A$2:$D$4,4,FALSE)</f>
        <v>X</v>
      </c>
      <c r="D10" s="42" t="str">
        <f>VLOOKUP(Tabelle32[[#This Row],[soziotechnisch]],Dropdown!$A$2:$D$4,4,FALSE)</f>
        <v>-</v>
      </c>
      <c r="E10" s="42" t="str">
        <f>VLOOKUP(Tabelle32[[#This Row],[ökonomisch]],Dropdown!$A$2:$D$4,4,FALSE)</f>
        <v>-</v>
      </c>
      <c r="F10" s="42" t="str">
        <f>VLOOKUP(Tabelle32[[#This Row],[sozial]],Dropdown!$A$2:$D$4,4,FALSE)</f>
        <v>-</v>
      </c>
      <c r="G10" s="42" t="str">
        <f>VLOOKUP(Tabelle32[[#This Row],[realisiert]],Dropdown!$A$2:$D$4,4,FALSE)</f>
        <v>-</v>
      </c>
    </row>
    <row r="11" spans="1:7" x14ac:dyDescent="0.25">
      <c r="A11" s="6">
        <v>9</v>
      </c>
      <c r="B11" s="42" t="str">
        <f>VLOOKUP(Tabelle32[[#This Row],[theoretisch]],Dropdown!$A$2:$D$4,4,FALSE)</f>
        <v>-</v>
      </c>
      <c r="C11" s="42" t="str">
        <f>VLOOKUP(Tabelle32[[#This Row],[technisch]],Dropdown!$A$2:$D$4,4,FALSE)</f>
        <v>X</v>
      </c>
      <c r="D11" s="42" t="str">
        <f>VLOOKUP(Tabelle32[[#This Row],[soziotechnisch]],Dropdown!$A$2:$D$4,4,FALSE)</f>
        <v>(X)</v>
      </c>
      <c r="E11" s="42" t="str">
        <f>VLOOKUP(Tabelle32[[#This Row],[ökonomisch]],Dropdown!$A$2:$D$4,4,FALSE)</f>
        <v>X</v>
      </c>
      <c r="F11" s="42" t="str">
        <f>VLOOKUP(Tabelle32[[#This Row],[sozial]],Dropdown!$A$2:$D$4,4,FALSE)</f>
        <v>-</v>
      </c>
      <c r="G11" s="42" t="str">
        <f>VLOOKUP(Tabelle32[[#This Row],[realisiert]],Dropdown!$A$2:$D$4,4,FALSE)</f>
        <v>-</v>
      </c>
    </row>
    <row r="12" spans="1:7" x14ac:dyDescent="0.25">
      <c r="A12" s="6">
        <v>10</v>
      </c>
      <c r="B12" s="42" t="str">
        <f>VLOOKUP(Tabelle32[[#This Row],[theoretisch]],Dropdown!$A$2:$D$4,4,FALSE)</f>
        <v>-</v>
      </c>
      <c r="C12" s="42" t="str">
        <f>VLOOKUP(Tabelle32[[#This Row],[technisch]],Dropdown!$A$2:$D$4,4,FALSE)</f>
        <v>X</v>
      </c>
      <c r="D12" s="42" t="str">
        <f>VLOOKUP(Tabelle32[[#This Row],[soziotechnisch]],Dropdown!$A$2:$D$4,4,FALSE)</f>
        <v>-</v>
      </c>
      <c r="E12" s="42" t="str">
        <f>VLOOKUP(Tabelle32[[#This Row],[ökonomisch]],Dropdown!$A$2:$D$4,4,FALSE)</f>
        <v>-</v>
      </c>
      <c r="F12" s="42" t="str">
        <f>VLOOKUP(Tabelle32[[#This Row],[sozial]],Dropdown!$A$2:$D$4,4,FALSE)</f>
        <v>-</v>
      </c>
      <c r="G12" s="42" t="str">
        <f>VLOOKUP(Tabelle32[[#This Row],[realisiert]],Dropdown!$A$2:$D$4,4,FALSE)</f>
        <v>-</v>
      </c>
    </row>
    <row r="13" spans="1:7" x14ac:dyDescent="0.25">
      <c r="A13" s="6">
        <v>11</v>
      </c>
      <c r="B13" s="42" t="str">
        <f>VLOOKUP(Tabelle32[[#This Row],[theoretisch]],Dropdown!$A$2:$D$4,4,FALSE)</f>
        <v>-</v>
      </c>
      <c r="C13" s="42" t="str">
        <f>VLOOKUP(Tabelle32[[#This Row],[technisch]],Dropdown!$A$2:$D$4,4,FALSE)</f>
        <v>X</v>
      </c>
      <c r="D13" s="42" t="str">
        <f>VLOOKUP(Tabelle32[[#This Row],[soziotechnisch]],Dropdown!$A$2:$D$4,4,FALSE)</f>
        <v>-</v>
      </c>
      <c r="E13" s="42" t="str">
        <f>VLOOKUP(Tabelle32[[#This Row],[ökonomisch]],Dropdown!$A$2:$D$4,4,FALSE)</f>
        <v>(X)</v>
      </c>
      <c r="F13" s="42" t="str">
        <f>VLOOKUP(Tabelle32[[#This Row],[sozial]],Dropdown!$A$2:$D$4,4,FALSE)</f>
        <v>-</v>
      </c>
      <c r="G13" s="42" t="str">
        <f>VLOOKUP(Tabelle32[[#This Row],[realisiert]],Dropdown!$A$2:$D$4,4,FALSE)</f>
        <v>-</v>
      </c>
    </row>
    <row r="14" spans="1:7" x14ac:dyDescent="0.25">
      <c r="A14" s="6">
        <v>12</v>
      </c>
      <c r="B14" s="42" t="str">
        <f>VLOOKUP(Tabelle32[[#This Row],[theoretisch]],Dropdown!$A$2:$D$4,4,FALSE)</f>
        <v>-</v>
      </c>
      <c r="C14" s="42" t="str">
        <f>VLOOKUP(Tabelle32[[#This Row],[technisch]],Dropdown!$A$2:$D$4,4,FALSE)</f>
        <v>X</v>
      </c>
      <c r="D14" s="42" t="str">
        <f>VLOOKUP(Tabelle32[[#This Row],[soziotechnisch]],Dropdown!$A$2:$D$4,4,FALSE)</f>
        <v>X</v>
      </c>
      <c r="E14" s="42" t="str">
        <f>VLOOKUP(Tabelle32[[#This Row],[ökonomisch]],Dropdown!$A$2:$D$4,4,FALSE)</f>
        <v>(X)</v>
      </c>
      <c r="F14" s="42" t="str">
        <f>VLOOKUP(Tabelle32[[#This Row],[sozial]],Dropdown!$A$2:$D$4,4,FALSE)</f>
        <v>-</v>
      </c>
      <c r="G14" s="42" t="str">
        <f>VLOOKUP(Tabelle32[[#This Row],[realisiert]],Dropdown!$A$2:$D$4,4,FALSE)</f>
        <v>-</v>
      </c>
    </row>
    <row r="15" spans="1:7" x14ac:dyDescent="0.25">
      <c r="A15" s="6">
        <v>13</v>
      </c>
      <c r="B15" s="42" t="str">
        <f>VLOOKUP(Tabelle32[[#This Row],[theoretisch]],Dropdown!$A$2:$D$4,4,FALSE)</f>
        <v>-</v>
      </c>
      <c r="C15" s="42" t="str">
        <f>VLOOKUP(Tabelle32[[#This Row],[technisch]],Dropdown!$A$2:$D$4,4,FALSE)</f>
        <v>X</v>
      </c>
      <c r="D15" s="42" t="str">
        <f>VLOOKUP(Tabelle32[[#This Row],[soziotechnisch]],Dropdown!$A$2:$D$4,4,FALSE)</f>
        <v>-</v>
      </c>
      <c r="E15" s="42" t="str">
        <f>VLOOKUP(Tabelle32[[#This Row],[ökonomisch]],Dropdown!$A$2:$D$4,4,FALSE)</f>
        <v>-</v>
      </c>
      <c r="F15" s="42" t="str">
        <f>VLOOKUP(Tabelle32[[#This Row],[sozial]],Dropdown!$A$2:$D$4,4,FALSE)</f>
        <v>-</v>
      </c>
      <c r="G15" s="42" t="str">
        <f>VLOOKUP(Tabelle32[[#This Row],[realisiert]],Dropdown!$A$2:$D$4,4,FALSE)</f>
        <v>-</v>
      </c>
    </row>
    <row r="16" spans="1:7" x14ac:dyDescent="0.25">
      <c r="A16" s="6">
        <v>14</v>
      </c>
      <c r="B16" s="42" t="str">
        <f>VLOOKUP(Tabelle32[[#This Row],[theoretisch]],Dropdown!$A$2:$D$4,4,FALSE)</f>
        <v>X</v>
      </c>
      <c r="C16" s="42" t="str">
        <f>VLOOKUP(Tabelle32[[#This Row],[technisch]],Dropdown!$A$2:$D$4,4,FALSE)</f>
        <v>X</v>
      </c>
      <c r="D16" s="42" t="str">
        <f>VLOOKUP(Tabelle32[[#This Row],[soziotechnisch]],Dropdown!$A$2:$D$4,4,FALSE)</f>
        <v>-</v>
      </c>
      <c r="E16" s="42" t="str">
        <f>VLOOKUP(Tabelle32[[#This Row],[ökonomisch]],Dropdown!$A$2:$D$4,4,FALSE)</f>
        <v>X</v>
      </c>
      <c r="F16" s="42" t="str">
        <f>VLOOKUP(Tabelle32[[#This Row],[sozial]],Dropdown!$A$2:$D$4,4,FALSE)</f>
        <v>-</v>
      </c>
      <c r="G16" s="42" t="str">
        <f>VLOOKUP(Tabelle32[[#This Row],[realisiert]],Dropdown!$A$2:$D$4,4,FALSE)</f>
        <v>-</v>
      </c>
    </row>
    <row r="17" spans="1:7" x14ac:dyDescent="0.25">
      <c r="A17" s="6">
        <v>15</v>
      </c>
      <c r="B17" s="42" t="str">
        <f>VLOOKUP(Tabelle32[[#This Row],[theoretisch]],Dropdown!$A$2:$D$4,4,FALSE)</f>
        <v>-</v>
      </c>
      <c r="C17" s="42" t="str">
        <f>VLOOKUP(Tabelle32[[#This Row],[technisch]],Dropdown!$A$2:$D$4,4,FALSE)</f>
        <v>X</v>
      </c>
      <c r="D17" s="42" t="str">
        <f>VLOOKUP(Tabelle32[[#This Row],[soziotechnisch]],Dropdown!$A$2:$D$4,4,FALSE)</f>
        <v>-</v>
      </c>
      <c r="E17" s="42" t="str">
        <f>VLOOKUP(Tabelle32[[#This Row],[ökonomisch]],Dropdown!$A$2:$D$4,4,FALSE)</f>
        <v>-</v>
      </c>
      <c r="F17" s="42" t="str">
        <f>VLOOKUP(Tabelle32[[#This Row],[sozial]],Dropdown!$A$2:$D$4,4,FALSE)</f>
        <v>-</v>
      </c>
      <c r="G17" s="42" t="str">
        <f>VLOOKUP(Tabelle32[[#This Row],[realisiert]],Dropdown!$A$2:$D$4,4,FALSE)</f>
        <v>-</v>
      </c>
    </row>
    <row r="18" spans="1:7" x14ac:dyDescent="0.25">
      <c r="A18" s="6">
        <v>16</v>
      </c>
      <c r="B18" s="42" t="str">
        <f>VLOOKUP(Tabelle32[[#This Row],[theoretisch]],Dropdown!$A$2:$D$4,4,FALSE)</f>
        <v>-</v>
      </c>
      <c r="C18" s="42" t="str">
        <f>VLOOKUP(Tabelle32[[#This Row],[technisch]],Dropdown!$A$2:$D$4,4,FALSE)</f>
        <v>X</v>
      </c>
      <c r="D18" s="42" t="str">
        <f>VLOOKUP(Tabelle32[[#This Row],[soziotechnisch]],Dropdown!$A$2:$D$4,4,FALSE)</f>
        <v>-</v>
      </c>
      <c r="E18" s="42" t="str">
        <f>VLOOKUP(Tabelle32[[#This Row],[ökonomisch]],Dropdown!$A$2:$D$4,4,FALSE)</f>
        <v>X</v>
      </c>
      <c r="F18" s="42" t="str">
        <f>VLOOKUP(Tabelle32[[#This Row],[sozial]],Dropdown!$A$2:$D$4,4,FALSE)</f>
        <v>-</v>
      </c>
      <c r="G18" s="42" t="str">
        <f>VLOOKUP(Tabelle32[[#This Row],[realisiert]],Dropdown!$A$2:$D$4,4,FALSE)</f>
        <v>-</v>
      </c>
    </row>
    <row r="19" spans="1:7" x14ac:dyDescent="0.25">
      <c r="A19" s="6">
        <v>17</v>
      </c>
      <c r="B19" s="42" t="str">
        <f>VLOOKUP(Tabelle32[[#This Row],[theoretisch]],Dropdown!$A$2:$D$4,4,FALSE)</f>
        <v>-</v>
      </c>
      <c r="C19" s="42" t="str">
        <f>VLOOKUP(Tabelle32[[#This Row],[technisch]],Dropdown!$A$2:$D$4,4,FALSE)</f>
        <v>X</v>
      </c>
      <c r="D19" s="42" t="str">
        <f>VLOOKUP(Tabelle32[[#This Row],[soziotechnisch]],Dropdown!$A$2:$D$4,4,FALSE)</f>
        <v>-</v>
      </c>
      <c r="E19" s="42" t="str">
        <f>VLOOKUP(Tabelle32[[#This Row],[ökonomisch]],Dropdown!$A$2:$D$4,4,FALSE)</f>
        <v>X</v>
      </c>
      <c r="F19" s="42" t="str">
        <f>VLOOKUP(Tabelle32[[#This Row],[sozial]],Dropdown!$A$2:$D$4,4,FALSE)</f>
        <v>-</v>
      </c>
      <c r="G19" s="42" t="str">
        <f>VLOOKUP(Tabelle32[[#This Row],[realisiert]],Dropdown!$A$2:$D$4,4,FALSE)</f>
        <v>-</v>
      </c>
    </row>
    <row r="20" spans="1:7" x14ac:dyDescent="0.25">
      <c r="A20" s="6">
        <v>18</v>
      </c>
      <c r="B20" s="42" t="str">
        <f>VLOOKUP(Tabelle32[[#This Row],[theoretisch]],Dropdown!$A$2:$D$4,4,FALSE)</f>
        <v>-</v>
      </c>
      <c r="C20" s="42" t="str">
        <f>VLOOKUP(Tabelle32[[#This Row],[technisch]],Dropdown!$A$2:$D$4,4,FALSE)</f>
        <v>X</v>
      </c>
      <c r="D20" s="42" t="str">
        <f>VLOOKUP(Tabelle32[[#This Row],[soziotechnisch]],Dropdown!$A$2:$D$4,4,FALSE)</f>
        <v>-</v>
      </c>
      <c r="E20" s="42" t="str">
        <f>VLOOKUP(Tabelle32[[#This Row],[ökonomisch]],Dropdown!$A$2:$D$4,4,FALSE)</f>
        <v>X</v>
      </c>
      <c r="F20" s="42" t="str">
        <f>VLOOKUP(Tabelle32[[#This Row],[sozial]],Dropdown!$A$2:$D$4,4,FALSE)</f>
        <v>-</v>
      </c>
      <c r="G20" s="42" t="str">
        <f>VLOOKUP(Tabelle32[[#This Row],[realisiert]],Dropdown!$A$2:$D$4,4,FALSE)</f>
        <v>-</v>
      </c>
    </row>
    <row r="21" spans="1:7" x14ac:dyDescent="0.25">
      <c r="A21" s="6">
        <v>19</v>
      </c>
      <c r="B21" s="42" t="str">
        <f>VLOOKUP(Tabelle32[[#This Row],[theoretisch]],Dropdown!$A$2:$D$4,4,FALSE)</f>
        <v>-</v>
      </c>
      <c r="C21" s="42" t="str">
        <f>VLOOKUP(Tabelle32[[#This Row],[technisch]],Dropdown!$A$2:$D$4,4,FALSE)</f>
        <v>X</v>
      </c>
      <c r="D21" s="42" t="str">
        <f>VLOOKUP(Tabelle32[[#This Row],[soziotechnisch]],Dropdown!$A$2:$D$4,4,FALSE)</f>
        <v>(X)</v>
      </c>
      <c r="E21" s="42" t="str">
        <f>VLOOKUP(Tabelle32[[#This Row],[ökonomisch]],Dropdown!$A$2:$D$4,4,FALSE)</f>
        <v>X</v>
      </c>
      <c r="F21" s="42" t="str">
        <f>VLOOKUP(Tabelle32[[#This Row],[sozial]],Dropdown!$A$2:$D$4,4,FALSE)</f>
        <v>-</v>
      </c>
      <c r="G21" s="42" t="str">
        <f>VLOOKUP(Tabelle32[[#This Row],[realisiert]],Dropdown!$A$2:$D$4,4,FALSE)</f>
        <v>(X)</v>
      </c>
    </row>
    <row r="22" spans="1:7" x14ac:dyDescent="0.25">
      <c r="A22" s="6">
        <v>20</v>
      </c>
      <c r="B22" s="42" t="str">
        <f>VLOOKUP(Tabelle32[[#This Row],[theoretisch]],Dropdown!$A$2:$D$4,4,FALSE)</f>
        <v>-</v>
      </c>
      <c r="C22" s="42" t="str">
        <f>VLOOKUP(Tabelle32[[#This Row],[technisch]],Dropdown!$A$2:$D$4,4,FALSE)</f>
        <v>X</v>
      </c>
      <c r="D22" s="42" t="str">
        <f>VLOOKUP(Tabelle32[[#This Row],[soziotechnisch]],Dropdown!$A$2:$D$4,4,FALSE)</f>
        <v>-</v>
      </c>
      <c r="E22" s="42" t="str">
        <f>VLOOKUP(Tabelle32[[#This Row],[ökonomisch]],Dropdown!$A$2:$D$4,4,FALSE)</f>
        <v>X</v>
      </c>
      <c r="F22" s="42" t="str">
        <f>VLOOKUP(Tabelle32[[#This Row],[sozial]],Dropdown!$A$2:$D$4,4,FALSE)</f>
        <v>-</v>
      </c>
      <c r="G22" s="42" t="str">
        <f>VLOOKUP(Tabelle32[[#This Row],[realisiert]],Dropdown!$A$2:$D$4,4,FALSE)</f>
        <v>-</v>
      </c>
    </row>
    <row r="23" spans="1:7" x14ac:dyDescent="0.25">
      <c r="A23" s="6">
        <v>21</v>
      </c>
      <c r="B23" s="42" t="str">
        <f>VLOOKUP(Tabelle32[[#This Row],[theoretisch]],Dropdown!$A$2:$D$4,4,FALSE)</f>
        <v>-</v>
      </c>
      <c r="C23" s="42" t="str">
        <f>VLOOKUP(Tabelle32[[#This Row],[technisch]],Dropdown!$A$2:$D$4,4,FALSE)</f>
        <v>X</v>
      </c>
      <c r="D23" s="42" t="str">
        <f>VLOOKUP(Tabelle32[[#This Row],[soziotechnisch]],Dropdown!$A$2:$D$4,4,FALSE)</f>
        <v>-</v>
      </c>
      <c r="E23" s="42" t="str">
        <f>VLOOKUP(Tabelle32[[#This Row],[ökonomisch]],Dropdown!$A$2:$D$4,4,FALSE)</f>
        <v>-</v>
      </c>
      <c r="F23" s="42" t="str">
        <f>VLOOKUP(Tabelle32[[#This Row],[sozial]],Dropdown!$A$2:$D$4,4,FALSE)</f>
        <v>-</v>
      </c>
      <c r="G23" s="42" t="str">
        <f>VLOOKUP(Tabelle32[[#This Row],[realisiert]],Dropdown!$A$2:$D$4,4,FALSE)</f>
        <v>-</v>
      </c>
    </row>
    <row r="24" spans="1:7" x14ac:dyDescent="0.25">
      <c r="A24" s="6">
        <v>22</v>
      </c>
      <c r="B24" s="42" t="str">
        <f>VLOOKUP(Tabelle32[[#This Row],[theoretisch]],Dropdown!$A$2:$D$4,4,FALSE)</f>
        <v>-</v>
      </c>
      <c r="C24" s="42" t="str">
        <f>VLOOKUP(Tabelle32[[#This Row],[technisch]],Dropdown!$A$2:$D$4,4,FALSE)</f>
        <v>X</v>
      </c>
      <c r="D24" s="42" t="str">
        <f>VLOOKUP(Tabelle32[[#This Row],[soziotechnisch]],Dropdown!$A$2:$D$4,4,FALSE)</f>
        <v>-</v>
      </c>
      <c r="E24" s="42" t="str">
        <f>VLOOKUP(Tabelle32[[#This Row],[ökonomisch]],Dropdown!$A$2:$D$4,4,FALSE)</f>
        <v>X</v>
      </c>
      <c r="F24" s="42" t="str">
        <f>VLOOKUP(Tabelle32[[#This Row],[sozial]],Dropdown!$A$2:$D$4,4,FALSE)</f>
        <v>-</v>
      </c>
      <c r="G24" s="42" t="str">
        <f>VLOOKUP(Tabelle32[[#This Row],[realisiert]],Dropdown!$A$2:$D$4,4,FALSE)</f>
        <v>-</v>
      </c>
    </row>
    <row r="25" spans="1:7" x14ac:dyDescent="0.25">
      <c r="A25" s="6">
        <v>23</v>
      </c>
      <c r="B25" s="42" t="str">
        <f>VLOOKUP(Tabelle32[[#This Row],[theoretisch]],Dropdown!$A$2:$D$4,4,FALSE)</f>
        <v>-</v>
      </c>
      <c r="C25" s="42" t="str">
        <f>VLOOKUP(Tabelle32[[#This Row],[technisch]],Dropdown!$A$2:$D$4,4,FALSE)</f>
        <v>X</v>
      </c>
      <c r="D25" s="42" t="str">
        <f>VLOOKUP(Tabelle32[[#This Row],[soziotechnisch]],Dropdown!$A$2:$D$4,4,FALSE)</f>
        <v>-</v>
      </c>
      <c r="E25" s="42" t="str">
        <f>VLOOKUP(Tabelle32[[#This Row],[ökonomisch]],Dropdown!$A$2:$D$4,4,FALSE)</f>
        <v>-</v>
      </c>
      <c r="F25" s="42" t="str">
        <f>VLOOKUP(Tabelle32[[#This Row],[sozial]],Dropdown!$A$2:$D$4,4,FALSE)</f>
        <v>-</v>
      </c>
      <c r="G25" s="42" t="str">
        <f>VLOOKUP(Tabelle32[[#This Row],[realisiert]],Dropdown!$A$2:$D$4,4,FALSE)</f>
        <v>-</v>
      </c>
    </row>
    <row r="26" spans="1:7" x14ac:dyDescent="0.25">
      <c r="A26" s="6">
        <v>24</v>
      </c>
      <c r="B26" s="42" t="str">
        <f>VLOOKUP(Tabelle32[[#This Row],[theoretisch]],Dropdown!$A$2:$D$4,4,FALSE)</f>
        <v>X</v>
      </c>
      <c r="C26" s="42" t="str">
        <f>VLOOKUP(Tabelle32[[#This Row],[technisch]],Dropdown!$A$2:$D$4,4,FALSE)</f>
        <v>X</v>
      </c>
      <c r="D26" s="42" t="str">
        <f>VLOOKUP(Tabelle32[[#This Row],[soziotechnisch]],Dropdown!$A$2:$D$4,4,FALSE)</f>
        <v>X</v>
      </c>
      <c r="E26" s="42" t="str">
        <f>VLOOKUP(Tabelle32[[#This Row],[ökonomisch]],Dropdown!$A$2:$D$4,4,FALSE)</f>
        <v>-</v>
      </c>
      <c r="F26" s="42" t="str">
        <f>VLOOKUP(Tabelle32[[#This Row],[sozial]],Dropdown!$A$2:$D$4,4,FALSE)</f>
        <v>-</v>
      </c>
      <c r="G26" s="42" t="str">
        <f>VLOOKUP(Tabelle32[[#This Row],[realisiert]],Dropdown!$A$2:$D$4,4,FALSE)</f>
        <v>-</v>
      </c>
    </row>
    <row r="27" spans="1:7" x14ac:dyDescent="0.25">
      <c r="A27" s="6">
        <v>25</v>
      </c>
      <c r="B27" s="42" t="str">
        <f>VLOOKUP(Tabelle32[[#This Row],[theoretisch]],Dropdown!$A$2:$D$4,4,FALSE)</f>
        <v>-</v>
      </c>
      <c r="C27" s="42" t="str">
        <f>VLOOKUP(Tabelle32[[#This Row],[technisch]],Dropdown!$A$2:$D$4,4,FALSE)</f>
        <v>X</v>
      </c>
      <c r="D27" s="42" t="str">
        <f>VLOOKUP(Tabelle32[[#This Row],[soziotechnisch]],Dropdown!$A$2:$D$4,4,FALSE)</f>
        <v>-</v>
      </c>
      <c r="E27" s="42" t="str">
        <f>VLOOKUP(Tabelle32[[#This Row],[ökonomisch]],Dropdown!$A$2:$D$4,4,FALSE)</f>
        <v>-</v>
      </c>
      <c r="F27" s="42" t="str">
        <f>VLOOKUP(Tabelle32[[#This Row],[sozial]],Dropdown!$A$2:$D$4,4,FALSE)</f>
        <v>-</v>
      </c>
      <c r="G27" s="42" t="str">
        <f>VLOOKUP(Tabelle32[[#This Row],[realisiert]],Dropdown!$A$2:$D$4,4,FALSE)</f>
        <v>X</v>
      </c>
    </row>
    <row r="28" spans="1:7" x14ac:dyDescent="0.25">
      <c r="A28" s="18" t="s">
        <v>854</v>
      </c>
      <c r="B28" s="60">
        <f>Tabelle32[[#This Row],[theoretisch]]</f>
        <v>3.5</v>
      </c>
      <c r="C28" s="60">
        <f>Tabelle32[[#This Row],[technisch]]</f>
        <v>24.5</v>
      </c>
      <c r="D28" s="60">
        <f>Tabelle32[[#This Row],[soziotechnisch]]</f>
        <v>5</v>
      </c>
      <c r="E28" s="60">
        <f>Tabelle32[[#This Row],[ökonomisch]]</f>
        <v>12</v>
      </c>
      <c r="F28" s="60">
        <f>Tabelle32[[#This Row],[sozial]]</f>
        <v>0</v>
      </c>
      <c r="G28" s="60">
        <f>Tabelle32[[#This Row],[realisiert]]</f>
        <v>2.5</v>
      </c>
    </row>
    <row r="29" spans="1:7" ht="38.25" x14ac:dyDescent="0.25">
      <c r="A29" s="51" t="s">
        <v>1191</v>
      </c>
      <c r="B29" s="17" t="s">
        <v>1190</v>
      </c>
      <c r="C29" s="17" t="s">
        <v>33</v>
      </c>
      <c r="D29" s="17" t="s">
        <v>1192</v>
      </c>
      <c r="E29" s="17" t="s">
        <v>1193</v>
      </c>
      <c r="F29" s="17" t="s">
        <v>1194</v>
      </c>
      <c r="G29" s="40" t="s">
        <v>1195</v>
      </c>
    </row>
  </sheetData>
  <pageMargins left="0.7" right="0.7" top="0.78740157499999996" bottom="0.78740157499999996"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7628B-C69D-4ABA-BCBA-EE8C698ACDE7}">
  <sheetPr codeName="Tabelle53">
    <tabColor theme="9" tint="-0.249977111117893"/>
  </sheetPr>
  <dimension ref="A1:F28"/>
  <sheetViews>
    <sheetView topLeftCell="A2" workbookViewId="0">
      <selection activeCell="I2" sqref="I2"/>
    </sheetView>
  </sheetViews>
  <sheetFormatPr baseColWidth="10" defaultRowHeight="15.75" x14ac:dyDescent="0.25"/>
  <cols>
    <col min="1" max="1" width="13.5" customWidth="1"/>
    <col min="2" max="6" width="5.875" customWidth="1"/>
  </cols>
  <sheetData>
    <row r="1" spans="1:6" ht="25.5" hidden="1" x14ac:dyDescent="0.25">
      <c r="A1" s="64" t="s">
        <v>86</v>
      </c>
      <c r="B1" s="64" t="s">
        <v>2</v>
      </c>
      <c r="C1" s="64" t="s">
        <v>2</v>
      </c>
      <c r="D1" s="64" t="s">
        <v>2</v>
      </c>
      <c r="E1" s="64" t="s">
        <v>2</v>
      </c>
      <c r="F1" s="64" t="s">
        <v>2</v>
      </c>
    </row>
    <row r="2" spans="1:6" ht="134.25" customHeight="1" x14ac:dyDescent="0.25">
      <c r="A2" s="65" t="s">
        <v>1</v>
      </c>
      <c r="B2" s="68" t="s">
        <v>1197</v>
      </c>
      <c r="C2" s="68" t="s">
        <v>1171</v>
      </c>
      <c r="D2" s="68" t="s">
        <v>1455</v>
      </c>
      <c r="E2" s="68" t="s">
        <v>1456</v>
      </c>
      <c r="F2" s="68" t="s">
        <v>1457</v>
      </c>
    </row>
    <row r="3" spans="1:6" x14ac:dyDescent="0.25">
      <c r="A3" s="66" t="s">
        <v>12</v>
      </c>
      <c r="B3" s="40">
        <v>1</v>
      </c>
      <c r="C3" s="40">
        <f>Ueberblick[[#This Row],[2020 erfasst?]]</f>
        <v>1</v>
      </c>
      <c r="D3" s="40">
        <f>Ueberblick[[#This Row],[2025 erfasst?]]</f>
        <v>0</v>
      </c>
      <c r="E3" s="40">
        <f>Ueberblick[[#This Row],[2030 erfasst?]]</f>
        <v>1</v>
      </c>
      <c r="F3" s="40">
        <f>Ueberblick[[#This Row],[2050 erfasst?]]</f>
        <v>0</v>
      </c>
    </row>
    <row r="4" spans="1:6" ht="25.5" x14ac:dyDescent="0.25">
      <c r="A4" s="66" t="s">
        <v>347</v>
      </c>
      <c r="B4" s="40">
        <v>1</v>
      </c>
      <c r="C4" s="40">
        <f>Ueberblick[[#This Row],[2020 erfasst?]]</f>
        <v>0</v>
      </c>
      <c r="D4" s="40">
        <f>Ueberblick[[#This Row],[2025 erfasst?]]</f>
        <v>0</v>
      </c>
      <c r="E4" s="40">
        <f>Ueberblick[[#This Row],[2030 erfasst?]]</f>
        <v>0</v>
      </c>
      <c r="F4" s="40">
        <f>Ueberblick[[#This Row],[2050 erfasst?]]</f>
        <v>0</v>
      </c>
    </row>
    <row r="5" spans="1:6" ht="25.5" x14ac:dyDescent="0.25">
      <c r="A5" s="66" t="s">
        <v>348</v>
      </c>
      <c r="B5" s="40">
        <v>1</v>
      </c>
      <c r="C5" s="40">
        <f>Ueberblick[[#This Row],[2020 erfasst?]]</f>
        <v>0</v>
      </c>
      <c r="D5" s="40">
        <f>Ueberblick[[#This Row],[2025 erfasst?]]</f>
        <v>0</v>
      </c>
      <c r="E5" s="40">
        <f>Ueberblick[[#This Row],[2030 erfasst?]]</f>
        <v>0</v>
      </c>
      <c r="F5" s="40">
        <f>Ueberblick[[#This Row],[2050 erfasst?]]</f>
        <v>0</v>
      </c>
    </row>
    <row r="6" spans="1:6" ht="25.5" x14ac:dyDescent="0.25">
      <c r="A6" s="66" t="s">
        <v>183</v>
      </c>
      <c r="B6" s="40">
        <v>1</v>
      </c>
      <c r="C6" s="40">
        <f>Ueberblick[[#This Row],[2020 erfasst?]]</f>
        <v>0</v>
      </c>
      <c r="D6" s="40">
        <f>Ueberblick[[#This Row],[2025 erfasst?]]</f>
        <v>0</v>
      </c>
      <c r="E6" s="40">
        <f>Ueberblick[[#This Row],[2030 erfasst?]]</f>
        <v>0</v>
      </c>
      <c r="F6" s="40">
        <f>Ueberblick[[#This Row],[2050 erfasst?]]</f>
        <v>0</v>
      </c>
    </row>
    <row r="7" spans="1:6" ht="25.5" x14ac:dyDescent="0.25">
      <c r="A7" s="66" t="s">
        <v>258</v>
      </c>
      <c r="B7" s="40">
        <v>1</v>
      </c>
      <c r="C7" s="40">
        <f>Ueberblick[[#This Row],[2020 erfasst?]]</f>
        <v>1</v>
      </c>
      <c r="D7" s="40">
        <f>Ueberblick[[#This Row],[2025 erfasst?]]</f>
        <v>0</v>
      </c>
      <c r="E7" s="40">
        <f>Ueberblick[[#This Row],[2030 erfasst?]]</f>
        <v>1</v>
      </c>
      <c r="F7" s="40">
        <f>Ueberblick[[#This Row],[2050 erfasst?]]</f>
        <v>1</v>
      </c>
    </row>
    <row r="8" spans="1:6" ht="25.5" x14ac:dyDescent="0.25">
      <c r="A8" s="67" t="s">
        <v>355</v>
      </c>
      <c r="B8" s="40">
        <v>1</v>
      </c>
      <c r="C8" s="40">
        <f>Ueberblick[[#This Row],[2020 erfasst?]]</f>
        <v>1</v>
      </c>
      <c r="D8" s="40">
        <f>Ueberblick[[#This Row],[2025 erfasst?]]</f>
        <v>0</v>
      </c>
      <c r="E8" s="40">
        <f>Ueberblick[[#This Row],[2030 erfasst?]]</f>
        <v>1</v>
      </c>
      <c r="F8" s="40">
        <f>Ueberblick[[#This Row],[2050 erfasst?]]</f>
        <v>0</v>
      </c>
    </row>
    <row r="9" spans="1:6" ht="25.5" x14ac:dyDescent="0.25">
      <c r="A9" s="67" t="s">
        <v>431</v>
      </c>
      <c r="B9" s="40">
        <v>1</v>
      </c>
      <c r="C9" s="40">
        <f>Ueberblick[[#This Row],[2020 erfasst?]]</f>
        <v>1</v>
      </c>
      <c r="D9" s="40">
        <f>Ueberblick[[#This Row],[2025 erfasst?]]</f>
        <v>0</v>
      </c>
      <c r="E9" s="40">
        <f>Ueberblick[[#This Row],[2030 erfasst?]]</f>
        <v>0</v>
      </c>
      <c r="F9" s="40">
        <f>Ueberblick[[#This Row],[2050 erfasst?]]</f>
        <v>0</v>
      </c>
    </row>
    <row r="10" spans="1:6" x14ac:dyDescent="0.25">
      <c r="A10" s="66" t="s">
        <v>410</v>
      </c>
      <c r="B10" s="40">
        <v>1</v>
      </c>
      <c r="C10" s="40">
        <f>Ueberblick[[#This Row],[2020 erfasst?]]</f>
        <v>1</v>
      </c>
      <c r="D10" s="40">
        <f>Ueberblick[[#This Row],[2025 erfasst?]]</f>
        <v>1</v>
      </c>
      <c r="E10" s="40">
        <f>Ueberblick[[#This Row],[2030 erfasst?]]</f>
        <v>1</v>
      </c>
      <c r="F10" s="40">
        <f>Ueberblick[[#This Row],[2050 erfasst?]]</f>
        <v>0</v>
      </c>
    </row>
    <row r="11" spans="1:6" x14ac:dyDescent="0.25">
      <c r="A11" s="66" t="s">
        <v>393</v>
      </c>
      <c r="B11" s="40">
        <v>1</v>
      </c>
      <c r="C11" s="40">
        <f>Ueberblick[[#This Row],[2020 erfasst?]]</f>
        <v>0</v>
      </c>
      <c r="D11" s="40">
        <f>Ueberblick[[#This Row],[2025 erfasst?]]</f>
        <v>1</v>
      </c>
      <c r="E11" s="40">
        <f>Ueberblick[[#This Row],[2030 erfasst?]]</f>
        <v>0</v>
      </c>
      <c r="F11" s="40">
        <f>Ueberblick[[#This Row],[2050 erfasst?]]</f>
        <v>1</v>
      </c>
    </row>
    <row r="12" spans="1:6" ht="51" x14ac:dyDescent="0.25">
      <c r="A12" s="66" t="s">
        <v>380</v>
      </c>
      <c r="B12" s="40">
        <v>1</v>
      </c>
      <c r="C12" s="40">
        <f>Ueberblick[[#This Row],[2020 erfasst?]]</f>
        <v>0</v>
      </c>
      <c r="D12" s="40">
        <f>Ueberblick[[#This Row],[2025 erfasst?]]</f>
        <v>0.5</v>
      </c>
      <c r="E12" s="40">
        <f>Ueberblick[[#This Row],[2030 erfasst?]]</f>
        <v>0</v>
      </c>
      <c r="F12" s="40">
        <f>Ueberblick[[#This Row],[2050 erfasst?]]</f>
        <v>1</v>
      </c>
    </row>
    <row r="13" spans="1:6" ht="25.5" x14ac:dyDescent="0.25">
      <c r="A13" s="66" t="s">
        <v>95</v>
      </c>
      <c r="B13" s="40">
        <v>1</v>
      </c>
      <c r="C13" s="40">
        <f>Ueberblick[[#This Row],[2020 erfasst?]]</f>
        <v>1</v>
      </c>
      <c r="D13" s="40">
        <f>Ueberblick[[#This Row],[2025 erfasst?]]</f>
        <v>0</v>
      </c>
      <c r="E13" s="40">
        <f>Ueberblick[[#This Row],[2030 erfasst?]]</f>
        <v>0</v>
      </c>
      <c r="F13" s="40">
        <f>Ueberblick[[#This Row],[2050 erfasst?]]</f>
        <v>0</v>
      </c>
    </row>
    <row r="14" spans="1:6" ht="63.75" x14ac:dyDescent="0.25">
      <c r="A14" s="66" t="s">
        <v>1709</v>
      </c>
      <c r="B14" s="40">
        <v>1</v>
      </c>
      <c r="C14" s="40">
        <f>Ueberblick[[#This Row],[2020 erfasst?]]</f>
        <v>0</v>
      </c>
      <c r="D14" s="40">
        <f>Ueberblick[[#This Row],[2025 erfasst?]]</f>
        <v>0</v>
      </c>
      <c r="E14" s="40">
        <f>Ueberblick[[#This Row],[2030 erfasst?]]</f>
        <v>0</v>
      </c>
      <c r="F14" s="40">
        <f>Ueberblick[[#This Row],[2050 erfasst?]]</f>
        <v>0</v>
      </c>
    </row>
    <row r="15" spans="1:6" ht="25.5" x14ac:dyDescent="0.25">
      <c r="A15" s="66" t="s">
        <v>179</v>
      </c>
      <c r="B15" s="40">
        <v>1</v>
      </c>
      <c r="C15" s="40">
        <f>Ueberblick[[#This Row],[2020 erfasst?]]</f>
        <v>1</v>
      </c>
      <c r="D15" s="40">
        <f>Ueberblick[[#This Row],[2025 erfasst?]]</f>
        <v>0</v>
      </c>
      <c r="E15" s="40">
        <f>Ueberblick[[#This Row],[2030 erfasst?]]</f>
        <v>0</v>
      </c>
      <c r="F15" s="40">
        <f>Ueberblick[[#This Row],[2050 erfasst?]]</f>
        <v>0</v>
      </c>
    </row>
    <row r="16" spans="1:6" x14ac:dyDescent="0.25">
      <c r="A16" s="66" t="s">
        <v>341</v>
      </c>
      <c r="B16" s="40">
        <v>1</v>
      </c>
      <c r="C16" s="40">
        <f>Ueberblick[[#This Row],[2020 erfasst?]]</f>
        <v>0</v>
      </c>
      <c r="D16" s="40">
        <f>Ueberblick[[#This Row],[2025 erfasst?]]</f>
        <v>0</v>
      </c>
      <c r="E16" s="40">
        <f>Ueberblick[[#This Row],[2030 erfasst?]]</f>
        <v>1</v>
      </c>
      <c r="F16" s="40">
        <f>Ueberblick[[#This Row],[2050 erfasst?]]</f>
        <v>1</v>
      </c>
    </row>
    <row r="17" spans="1:6" ht="25.5" x14ac:dyDescent="0.25">
      <c r="A17" s="66" t="s">
        <v>22</v>
      </c>
      <c r="B17" s="40">
        <v>1</v>
      </c>
      <c r="C17" s="40">
        <f>Ueberblick[[#This Row],[2020 erfasst?]]</f>
        <v>0.5</v>
      </c>
      <c r="D17" s="40">
        <f>Ueberblick[[#This Row],[2025 erfasst?]]</f>
        <v>0</v>
      </c>
      <c r="E17" s="40">
        <f>Ueberblick[[#This Row],[2030 erfasst?]]</f>
        <v>0.5</v>
      </c>
      <c r="F17" s="40">
        <f>Ueberblick[[#This Row],[2050 erfasst?]]</f>
        <v>0</v>
      </c>
    </row>
    <row r="18" spans="1:6" ht="25.5" x14ac:dyDescent="0.25">
      <c r="A18" s="66" t="s">
        <v>188</v>
      </c>
      <c r="B18" s="40">
        <v>1</v>
      </c>
      <c r="C18" s="40">
        <f>Ueberblick[[#This Row],[2020 erfasst?]]</f>
        <v>0.5</v>
      </c>
      <c r="D18" s="40">
        <f>Ueberblick[[#This Row],[2025 erfasst?]]</f>
        <v>0</v>
      </c>
      <c r="E18" s="40">
        <f>Ueberblick[[#This Row],[2030 erfasst?]]</f>
        <v>0</v>
      </c>
      <c r="F18" s="40">
        <f>Ueberblick[[#This Row],[2050 erfasst?]]</f>
        <v>0</v>
      </c>
    </row>
    <row r="19" spans="1:6" ht="38.25" x14ac:dyDescent="0.25">
      <c r="A19" s="66" t="s">
        <v>133</v>
      </c>
      <c r="B19" s="40">
        <v>1</v>
      </c>
      <c r="C19" s="40">
        <f>Ueberblick[[#This Row],[2020 erfasst?]]</f>
        <v>1</v>
      </c>
      <c r="D19" s="40">
        <f>Ueberblick[[#This Row],[2025 erfasst?]]</f>
        <v>0</v>
      </c>
      <c r="E19" s="40">
        <f>Ueberblick[[#This Row],[2030 erfasst?]]</f>
        <v>0</v>
      </c>
      <c r="F19" s="40">
        <f>Ueberblick[[#This Row],[2050 erfasst?]]</f>
        <v>0</v>
      </c>
    </row>
    <row r="20" spans="1:6" ht="25.5" x14ac:dyDescent="0.25">
      <c r="A20" s="66" t="s">
        <v>10</v>
      </c>
      <c r="B20" s="40">
        <v>1</v>
      </c>
      <c r="C20" s="40">
        <f>Ueberblick[[#This Row],[2020 erfasst?]]</f>
        <v>1</v>
      </c>
      <c r="D20" s="40">
        <f>Ueberblick[[#This Row],[2025 erfasst?]]</f>
        <v>0</v>
      </c>
      <c r="E20" s="40">
        <f>Ueberblick[[#This Row],[2030 erfasst?]]</f>
        <v>0</v>
      </c>
      <c r="F20" s="40">
        <f>Ueberblick[[#This Row],[2050 erfasst?]]</f>
        <v>0</v>
      </c>
    </row>
    <row r="21" spans="1:6" ht="38.25" x14ac:dyDescent="0.25">
      <c r="A21" s="66" t="s">
        <v>832</v>
      </c>
      <c r="B21" s="40">
        <v>1</v>
      </c>
      <c r="C21" s="40">
        <f>Ueberblick[[#This Row],[2020 erfasst?]]</f>
        <v>1</v>
      </c>
      <c r="D21" s="40">
        <f>Ueberblick[[#This Row],[2025 erfasst?]]</f>
        <v>1</v>
      </c>
      <c r="E21" s="40">
        <f>Ueberblick[[#This Row],[2030 erfasst?]]</f>
        <v>1</v>
      </c>
      <c r="F21" s="40">
        <f>Ueberblick[[#This Row],[2050 erfasst?]]</f>
        <v>0</v>
      </c>
    </row>
    <row r="22" spans="1:6" x14ac:dyDescent="0.25">
      <c r="A22" s="66" t="s">
        <v>16</v>
      </c>
      <c r="B22" s="40">
        <v>1</v>
      </c>
      <c r="C22" s="40">
        <f>Ueberblick[[#This Row],[2020 erfasst?]]</f>
        <v>1</v>
      </c>
      <c r="D22" s="40">
        <f>Ueberblick[[#This Row],[2025 erfasst?]]</f>
        <v>0</v>
      </c>
      <c r="E22" s="40">
        <f>Ueberblick[[#This Row],[2030 erfasst?]]</f>
        <v>1</v>
      </c>
      <c r="F22" s="40">
        <f>Ueberblick[[#This Row],[2050 erfasst?]]</f>
        <v>0</v>
      </c>
    </row>
    <row r="23" spans="1:6" ht="25.5" x14ac:dyDescent="0.25">
      <c r="A23" s="66" t="s">
        <v>7</v>
      </c>
      <c r="B23" s="40">
        <v>1</v>
      </c>
      <c r="C23" s="40">
        <f>Ueberblick[[#This Row],[2020 erfasst?]]</f>
        <v>0</v>
      </c>
      <c r="D23" s="40">
        <f>Ueberblick[[#This Row],[2025 erfasst?]]</f>
        <v>0</v>
      </c>
      <c r="E23" s="40">
        <f>Ueberblick[[#This Row],[2030 erfasst?]]</f>
        <v>0</v>
      </c>
      <c r="F23" s="40">
        <f>Ueberblick[[#This Row],[2050 erfasst?]]</f>
        <v>0</v>
      </c>
    </row>
    <row r="24" spans="1:6" ht="25.5" x14ac:dyDescent="0.25">
      <c r="A24" s="66" t="s">
        <v>18</v>
      </c>
      <c r="B24" s="40">
        <v>1</v>
      </c>
      <c r="C24" s="40">
        <f>Ueberblick[[#This Row],[2020 erfasst?]]</f>
        <v>1</v>
      </c>
      <c r="D24" s="40">
        <f>Ueberblick[[#This Row],[2025 erfasst?]]</f>
        <v>0</v>
      </c>
      <c r="E24" s="40">
        <f>Ueberblick[[#This Row],[2030 erfasst?]]</f>
        <v>1</v>
      </c>
      <c r="F24" s="40">
        <f>Ueberblick[[#This Row],[2050 erfasst?]]</f>
        <v>1</v>
      </c>
    </row>
    <row r="25" spans="1:6" x14ac:dyDescent="0.25">
      <c r="A25" s="66" t="s">
        <v>338</v>
      </c>
      <c r="B25" s="40">
        <v>1</v>
      </c>
      <c r="C25" s="40">
        <f>Ueberblick[[#This Row],[2020 erfasst?]]</f>
        <v>0</v>
      </c>
      <c r="D25" s="40">
        <f>Ueberblick[[#This Row],[2025 erfasst?]]</f>
        <v>0</v>
      </c>
      <c r="E25" s="40">
        <f>Ueberblick[[#This Row],[2030 erfasst?]]</f>
        <v>0</v>
      </c>
      <c r="F25" s="40">
        <f>Ueberblick[[#This Row],[2050 erfasst?]]</f>
        <v>0</v>
      </c>
    </row>
    <row r="26" spans="1:6" ht="38.25" x14ac:dyDescent="0.25">
      <c r="A26" s="66" t="s">
        <v>351</v>
      </c>
      <c r="B26" s="40">
        <v>1</v>
      </c>
      <c r="C26" s="40">
        <f>Ueberblick[[#This Row],[2020 erfasst?]]</f>
        <v>1</v>
      </c>
      <c r="D26" s="40">
        <f>Ueberblick[[#This Row],[2025 erfasst?]]</f>
        <v>1</v>
      </c>
      <c r="E26" s="40">
        <f>Ueberblick[[#This Row],[2030 erfasst?]]</f>
        <v>1</v>
      </c>
      <c r="F26" s="40">
        <f>Ueberblick[[#This Row],[2050 erfasst?]]</f>
        <v>1</v>
      </c>
    </row>
    <row r="27" spans="1:6" ht="51" x14ac:dyDescent="0.25">
      <c r="A27" s="66" t="s">
        <v>24</v>
      </c>
      <c r="B27" s="40">
        <v>1</v>
      </c>
      <c r="C27" s="40">
        <f>Ueberblick[[#This Row],[2020 erfasst?]]</f>
        <v>0</v>
      </c>
      <c r="D27" s="40">
        <f>Ueberblick[[#This Row],[2025 erfasst?]]</f>
        <v>0.5</v>
      </c>
      <c r="E27" s="40">
        <f>Ueberblick[[#This Row],[2030 erfasst?]]</f>
        <v>0</v>
      </c>
      <c r="F27" s="40">
        <f>Ueberblick[[#This Row],[2050 erfasst?]]</f>
        <v>1</v>
      </c>
    </row>
    <row r="28" spans="1:6" x14ac:dyDescent="0.25">
      <c r="A28" s="67" t="s">
        <v>854</v>
      </c>
      <c r="B28" s="66">
        <f>COUNTA(B3:B27)-COUNTIF(B3:B27,2020)</f>
        <v>25</v>
      </c>
      <c r="C28" s="66">
        <f>SUM(C3:C27)</f>
        <v>14</v>
      </c>
      <c r="D28" s="66">
        <f t="shared" ref="D28:F28" si="0">SUM(D3:D27)</f>
        <v>5</v>
      </c>
      <c r="E28" s="66">
        <f t="shared" si="0"/>
        <v>9.5</v>
      </c>
      <c r="F28" s="66">
        <f t="shared" si="0"/>
        <v>7</v>
      </c>
    </row>
  </sheetData>
  <pageMargins left="0.7" right="0.7" top="0.78740157499999996" bottom="0.78740157499999996" header="0.3" footer="0.3"/>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C5D3-5D65-4FF0-BDC8-E708478B0950}">
  <sheetPr codeName="Tabelle54">
    <tabColor theme="9" tint="-0.249977111117893"/>
  </sheetPr>
  <dimension ref="A1:F28"/>
  <sheetViews>
    <sheetView topLeftCell="A2" workbookViewId="0">
      <selection activeCell="B2" sqref="B2:F2"/>
    </sheetView>
  </sheetViews>
  <sheetFormatPr baseColWidth="10" defaultRowHeight="15.75" x14ac:dyDescent="0.25"/>
  <cols>
    <col min="1" max="1" width="13.5" customWidth="1"/>
    <col min="2" max="2" width="13.875" customWidth="1"/>
    <col min="3" max="6" width="5.875" customWidth="1"/>
  </cols>
  <sheetData>
    <row r="1" spans="1:6" ht="25.5" hidden="1" x14ac:dyDescent="0.25">
      <c r="A1" s="64" t="s">
        <v>86</v>
      </c>
      <c r="B1" s="64" t="s">
        <v>2</v>
      </c>
      <c r="C1" s="64" t="s">
        <v>2</v>
      </c>
      <c r="D1" s="64" t="s">
        <v>2</v>
      </c>
      <c r="E1" s="64" t="s">
        <v>2</v>
      </c>
      <c r="F1" s="64" t="s">
        <v>2</v>
      </c>
    </row>
    <row r="2" spans="1:6" ht="134.25" customHeight="1" x14ac:dyDescent="0.25">
      <c r="A2" s="65" t="s">
        <v>1</v>
      </c>
      <c r="B2" s="68" t="s">
        <v>1197</v>
      </c>
      <c r="C2" s="68" t="s">
        <v>1171</v>
      </c>
      <c r="D2" s="68" t="s">
        <v>1455</v>
      </c>
      <c r="E2" s="68" t="s">
        <v>1456</v>
      </c>
      <c r="F2" s="68" t="s">
        <v>1457</v>
      </c>
    </row>
    <row r="3" spans="1:6" x14ac:dyDescent="0.25">
      <c r="A3" s="66" t="s">
        <v>12</v>
      </c>
      <c r="B3" s="69">
        <f>Ueberblick[[#This Row],[Jahr Status quo / Basis]]</f>
        <v>2010</v>
      </c>
      <c r="C3" s="69" t="str">
        <f>VLOOKUP(Tabelle28[[#This Row],[2020]],Dropdown!$A$2:$D$4,4,FALSE)</f>
        <v>X</v>
      </c>
      <c r="D3" s="69" t="str">
        <f>VLOOKUP(Tabelle28[[#This Row],[2025]],Dropdown!$A$2:$D$4,4,FALSE)</f>
        <v>-</v>
      </c>
      <c r="E3" s="69" t="str">
        <f>VLOOKUP(Tabelle28[[#This Row],[2030]],Dropdown!$A$2:$D$4,4,FALSE)</f>
        <v>X</v>
      </c>
      <c r="F3" s="69" t="str">
        <f>VLOOKUP(Tabelle28[[#This Row],[2050]],Dropdown!$A$2:$D$4,4,FALSE)</f>
        <v>-</v>
      </c>
    </row>
    <row r="4" spans="1:6" ht="25.5" x14ac:dyDescent="0.25">
      <c r="A4" s="66" t="s">
        <v>347</v>
      </c>
      <c r="B4" s="69" t="s">
        <v>1170</v>
      </c>
      <c r="C4" s="69" t="str">
        <f>VLOOKUP(Tabelle28[[#This Row],[2020]],Dropdown!$A$2:$D$4,4,FALSE)</f>
        <v>-</v>
      </c>
      <c r="D4" s="69" t="str">
        <f>VLOOKUP(Tabelle28[[#This Row],[2025]],Dropdown!$A$2:$D$4,4,FALSE)</f>
        <v>-</v>
      </c>
      <c r="E4" s="69" t="str">
        <f>VLOOKUP(Tabelle28[[#This Row],[2030]],Dropdown!$A$2:$D$4,4,FALSE)</f>
        <v>-</v>
      </c>
      <c r="F4" s="69" t="str">
        <f>VLOOKUP(Tabelle28[[#This Row],[2050]],Dropdown!$A$2:$D$4,4,FALSE)</f>
        <v>-</v>
      </c>
    </row>
    <row r="5" spans="1:6" ht="25.5" x14ac:dyDescent="0.25">
      <c r="A5" s="66" t="s">
        <v>348</v>
      </c>
      <c r="B5" s="69" t="str">
        <f>Ueberblick[[#This Row],[Jahr Status quo / Basis]]</f>
        <v>2011</v>
      </c>
      <c r="C5" s="69" t="str">
        <f>VLOOKUP(Tabelle28[[#This Row],[2020]],Dropdown!$A$2:$D$4,4,FALSE)</f>
        <v>-</v>
      </c>
      <c r="D5" s="69" t="str">
        <f>VLOOKUP(Tabelle28[[#This Row],[2025]],Dropdown!$A$2:$D$4,4,FALSE)</f>
        <v>-</v>
      </c>
      <c r="E5" s="69" t="str">
        <f>VLOOKUP(Tabelle28[[#This Row],[2030]],Dropdown!$A$2:$D$4,4,FALSE)</f>
        <v>-</v>
      </c>
      <c r="F5" s="69" t="str">
        <f>VLOOKUP(Tabelle28[[#This Row],[2050]],Dropdown!$A$2:$D$4,4,FALSE)</f>
        <v>-</v>
      </c>
    </row>
    <row r="6" spans="1:6" ht="25.5" x14ac:dyDescent="0.25">
      <c r="A6" s="66" t="s">
        <v>183</v>
      </c>
      <c r="B6" s="69" t="str">
        <f>Ueberblick[[#This Row],[Jahr Status quo / Basis]]</f>
        <v>2011</v>
      </c>
      <c r="C6" s="69" t="str">
        <f>VLOOKUP(Tabelle28[[#This Row],[2020]],Dropdown!$A$2:$D$4,4,FALSE)</f>
        <v>-</v>
      </c>
      <c r="D6" s="69" t="str">
        <f>VLOOKUP(Tabelle28[[#This Row],[2025]],Dropdown!$A$2:$D$4,4,FALSE)</f>
        <v>-</v>
      </c>
      <c r="E6" s="69" t="str">
        <f>VLOOKUP(Tabelle28[[#This Row],[2030]],Dropdown!$A$2:$D$4,4,FALSE)</f>
        <v>-</v>
      </c>
      <c r="F6" s="69" t="str">
        <f>VLOOKUP(Tabelle28[[#This Row],[2050]],Dropdown!$A$2:$D$4,4,FALSE)</f>
        <v>-</v>
      </c>
    </row>
    <row r="7" spans="1:6" ht="25.5" x14ac:dyDescent="0.25">
      <c r="A7" s="66" t="s">
        <v>258</v>
      </c>
      <c r="B7" s="69" t="str">
        <f>Ueberblick[[#This Row],[Jahr Status quo / Basis]]</f>
        <v>2010</v>
      </c>
      <c r="C7" s="69" t="str">
        <f>VLOOKUP(Tabelle28[[#This Row],[2020]],Dropdown!$A$2:$D$4,4,FALSE)</f>
        <v>X</v>
      </c>
      <c r="D7" s="69" t="str">
        <f>VLOOKUP(Tabelle28[[#This Row],[2025]],Dropdown!$A$2:$D$4,4,FALSE)</f>
        <v>-</v>
      </c>
      <c r="E7" s="69" t="str">
        <f>VLOOKUP(Tabelle28[[#This Row],[2030]],Dropdown!$A$2:$D$4,4,FALSE)</f>
        <v>X</v>
      </c>
      <c r="F7" s="69" t="str">
        <f>VLOOKUP(Tabelle28[[#This Row],[2050]],Dropdown!$A$2:$D$4,4,FALSE)</f>
        <v>X</v>
      </c>
    </row>
    <row r="8" spans="1:6" ht="25.5" x14ac:dyDescent="0.25">
      <c r="A8" s="67" t="s">
        <v>355</v>
      </c>
      <c r="B8" s="69" t="str">
        <f>Ueberblick[[#This Row],[Jahr Status quo / Basis]]</f>
        <v>2020</v>
      </c>
      <c r="C8" s="69" t="str">
        <f>VLOOKUP(Tabelle28[[#This Row],[2020]],Dropdown!$A$2:$D$4,4,FALSE)</f>
        <v>X</v>
      </c>
      <c r="D8" s="69" t="str">
        <f>VLOOKUP(Tabelle28[[#This Row],[2025]],Dropdown!$A$2:$D$4,4,FALSE)</f>
        <v>-</v>
      </c>
      <c r="E8" s="69" t="str">
        <f>VLOOKUP(Tabelle28[[#This Row],[2030]],Dropdown!$A$2:$D$4,4,FALSE)</f>
        <v>X</v>
      </c>
      <c r="F8" s="69" t="str">
        <f>VLOOKUP(Tabelle28[[#This Row],[2050]],Dropdown!$A$2:$D$4,4,FALSE)</f>
        <v>-</v>
      </c>
    </row>
    <row r="9" spans="1:6" ht="25.5" x14ac:dyDescent="0.25">
      <c r="A9" s="67" t="s">
        <v>431</v>
      </c>
      <c r="B9" s="69" t="str">
        <f>Ueberblick[[#This Row],[Jahr Status quo / Basis]]</f>
        <v>2013</v>
      </c>
      <c r="C9" s="69" t="str">
        <f>VLOOKUP(Tabelle28[[#This Row],[2020]],Dropdown!$A$2:$D$4,4,FALSE)</f>
        <v>X</v>
      </c>
      <c r="D9" s="69" t="str">
        <f>VLOOKUP(Tabelle28[[#This Row],[2025]],Dropdown!$A$2:$D$4,4,FALSE)</f>
        <v>-</v>
      </c>
      <c r="E9" s="69" t="str">
        <f>VLOOKUP(Tabelle28[[#This Row],[2030]],Dropdown!$A$2:$D$4,4,FALSE)</f>
        <v>-</v>
      </c>
      <c r="F9" s="69" t="str">
        <f>VLOOKUP(Tabelle28[[#This Row],[2050]],Dropdown!$A$2:$D$4,4,FALSE)</f>
        <v>-</v>
      </c>
    </row>
    <row r="10" spans="1:6" x14ac:dyDescent="0.25">
      <c r="A10" s="66" t="s">
        <v>410</v>
      </c>
      <c r="B10" s="69" t="str">
        <f>Ueberblick[[#This Row],[Jahr Status quo / Basis]]</f>
        <v>2012</v>
      </c>
      <c r="C10" s="69" t="str">
        <f>VLOOKUP(Tabelle28[[#This Row],[2020]],Dropdown!$A$2:$D$4,4,FALSE)</f>
        <v>X</v>
      </c>
      <c r="D10" s="69" t="str">
        <f>VLOOKUP(Tabelle28[[#This Row],[2025]],Dropdown!$A$2:$D$4,4,FALSE)</f>
        <v>X</v>
      </c>
      <c r="E10" s="69" t="str">
        <f>VLOOKUP(Tabelle28[[#This Row],[2030]],Dropdown!$A$2:$D$4,4,FALSE)</f>
        <v>X</v>
      </c>
      <c r="F10" s="69" t="str">
        <f>VLOOKUP(Tabelle28[[#This Row],[2050]],Dropdown!$A$2:$D$4,4,FALSE)</f>
        <v>-</v>
      </c>
    </row>
    <row r="11" spans="1:6" x14ac:dyDescent="0.25">
      <c r="A11" s="66" t="s">
        <v>393</v>
      </c>
      <c r="B11" s="69" t="str">
        <f>Ueberblick[[#This Row],[Jahr Status quo / Basis]]</f>
        <v>2015</v>
      </c>
      <c r="C11" s="69" t="str">
        <f>VLOOKUP(Tabelle28[[#This Row],[2020]],Dropdown!$A$2:$D$4,4,FALSE)</f>
        <v>-</v>
      </c>
      <c r="D11" s="69" t="str">
        <f>VLOOKUP(Tabelle28[[#This Row],[2025]],Dropdown!$A$2:$D$4,4,FALSE)</f>
        <v>X</v>
      </c>
      <c r="E11" s="69" t="str">
        <f>VLOOKUP(Tabelle28[[#This Row],[2030]],Dropdown!$A$2:$D$4,4,FALSE)</f>
        <v>-</v>
      </c>
      <c r="F11" s="69" t="str">
        <f>VLOOKUP(Tabelle28[[#This Row],[2050]],Dropdown!$A$2:$D$4,4,FALSE)</f>
        <v>X</v>
      </c>
    </row>
    <row r="12" spans="1:6" ht="51" x14ac:dyDescent="0.25">
      <c r="A12" s="66" t="s">
        <v>380</v>
      </c>
      <c r="B12" s="69" t="str">
        <f>Ueberblick[[#This Row],[Jahr Status quo / Basis]]</f>
        <v>2013</v>
      </c>
      <c r="C12" s="69" t="str">
        <f>VLOOKUP(Tabelle28[[#This Row],[2020]],Dropdown!$A$2:$D$4,4,FALSE)</f>
        <v>-</v>
      </c>
      <c r="D12" s="69" t="str">
        <f>VLOOKUP(Tabelle28[[#This Row],[2025]],Dropdown!$A$2:$D$4,4,FALSE)</f>
        <v>(X)</v>
      </c>
      <c r="E12" s="69" t="str">
        <f>VLOOKUP(Tabelle28[[#This Row],[2030]],Dropdown!$A$2:$D$4,4,FALSE)</f>
        <v>-</v>
      </c>
      <c r="F12" s="69" t="str">
        <f>VLOOKUP(Tabelle28[[#This Row],[2050]],Dropdown!$A$2:$D$4,4,FALSE)</f>
        <v>X</v>
      </c>
    </row>
    <row r="13" spans="1:6" ht="25.5" x14ac:dyDescent="0.25">
      <c r="A13" s="66" t="s">
        <v>95</v>
      </c>
      <c r="B13" s="69" t="str">
        <f>Ueberblick[[#This Row],[Jahr Status quo / Basis]]</f>
        <v>2005</v>
      </c>
      <c r="C13" s="69" t="str">
        <f>VLOOKUP(Tabelle28[[#This Row],[2020]],Dropdown!$A$2:$D$4,4,FALSE)</f>
        <v>X</v>
      </c>
      <c r="D13" s="69" t="str">
        <f>VLOOKUP(Tabelle28[[#This Row],[2025]],Dropdown!$A$2:$D$4,4,FALSE)</f>
        <v>-</v>
      </c>
      <c r="E13" s="69" t="str">
        <f>VLOOKUP(Tabelle28[[#This Row],[2030]],Dropdown!$A$2:$D$4,4,FALSE)</f>
        <v>-</v>
      </c>
      <c r="F13" s="69" t="str">
        <f>VLOOKUP(Tabelle28[[#This Row],[2050]],Dropdown!$A$2:$D$4,4,FALSE)</f>
        <v>-</v>
      </c>
    </row>
    <row r="14" spans="1:6" ht="63.75" x14ac:dyDescent="0.25">
      <c r="A14" s="66" t="s">
        <v>1709</v>
      </c>
      <c r="B14" s="69" t="str">
        <f>Ueberblick[[#This Row],[Jahr Status quo / Basis]]</f>
        <v>Status quo (nicht spezifiziert)</v>
      </c>
      <c r="C14" s="69" t="str">
        <f>VLOOKUP(Tabelle28[[#This Row],[2020]],Dropdown!$A$2:$D$4,4,FALSE)</f>
        <v>-</v>
      </c>
      <c r="D14" s="69" t="str">
        <f>VLOOKUP(Tabelle28[[#This Row],[2025]],Dropdown!$A$2:$D$4,4,FALSE)</f>
        <v>-</v>
      </c>
      <c r="E14" s="69" t="str">
        <f>VLOOKUP(Tabelle28[[#This Row],[2030]],Dropdown!$A$2:$D$4,4,FALSE)</f>
        <v>-</v>
      </c>
      <c r="F14" s="69" t="str">
        <f>VLOOKUP(Tabelle28[[#This Row],[2050]],Dropdown!$A$2:$D$4,4,FALSE)</f>
        <v>-</v>
      </c>
    </row>
    <row r="15" spans="1:6" ht="25.5" x14ac:dyDescent="0.25">
      <c r="A15" s="66" t="s">
        <v>179</v>
      </c>
      <c r="B15" s="69" t="str">
        <f>Ueberblick[[#This Row],[Jahr Status quo / Basis]]</f>
        <v>2010</v>
      </c>
      <c r="C15" s="69" t="str">
        <f>VLOOKUP(Tabelle28[[#This Row],[2020]],Dropdown!$A$2:$D$4,4,FALSE)</f>
        <v>X</v>
      </c>
      <c r="D15" s="69" t="str">
        <f>VLOOKUP(Tabelle28[[#This Row],[2025]],Dropdown!$A$2:$D$4,4,FALSE)</f>
        <v>-</v>
      </c>
      <c r="E15" s="69" t="str">
        <f>VLOOKUP(Tabelle28[[#This Row],[2030]],Dropdown!$A$2:$D$4,4,FALSE)</f>
        <v>-</v>
      </c>
      <c r="F15" s="69" t="str">
        <f>VLOOKUP(Tabelle28[[#This Row],[2050]],Dropdown!$A$2:$D$4,4,FALSE)</f>
        <v>-</v>
      </c>
    </row>
    <row r="16" spans="1:6" x14ac:dyDescent="0.25">
      <c r="A16" s="66" t="s">
        <v>341</v>
      </c>
      <c r="B16" s="69" t="str">
        <f>Ueberblick[[#This Row],[Jahr Status quo / Basis]]</f>
        <v>2013</v>
      </c>
      <c r="C16" s="69" t="str">
        <f>VLOOKUP(Tabelle28[[#This Row],[2020]],Dropdown!$A$2:$D$4,4,FALSE)</f>
        <v>-</v>
      </c>
      <c r="D16" s="69" t="str">
        <f>VLOOKUP(Tabelle28[[#This Row],[2025]],Dropdown!$A$2:$D$4,4,FALSE)</f>
        <v>-</v>
      </c>
      <c r="E16" s="69" t="str">
        <f>VLOOKUP(Tabelle28[[#This Row],[2030]],Dropdown!$A$2:$D$4,4,FALSE)</f>
        <v>X</v>
      </c>
      <c r="F16" s="69" t="str">
        <f>VLOOKUP(Tabelle28[[#This Row],[2050]],Dropdown!$A$2:$D$4,4,FALSE)</f>
        <v>X</v>
      </c>
    </row>
    <row r="17" spans="1:6" ht="25.5" x14ac:dyDescent="0.25">
      <c r="A17" s="66" t="s">
        <v>22</v>
      </c>
      <c r="B17" s="69" t="str">
        <f>Ueberblick[[#This Row],[Jahr Status quo / Basis]]</f>
        <v>Status quo (nicht spezifiziert)</v>
      </c>
      <c r="C17" s="69" t="str">
        <f>VLOOKUP(Tabelle28[[#This Row],[2020]],Dropdown!$A$2:$D$4,4,FALSE)</f>
        <v>(X)</v>
      </c>
      <c r="D17" s="69" t="str">
        <f>VLOOKUP(Tabelle28[[#This Row],[2025]],Dropdown!$A$2:$D$4,4,FALSE)</f>
        <v>-</v>
      </c>
      <c r="E17" s="69" t="str">
        <f>VLOOKUP(Tabelle28[[#This Row],[2030]],Dropdown!$A$2:$D$4,4,FALSE)</f>
        <v>(X)</v>
      </c>
      <c r="F17" s="69" t="str">
        <f>VLOOKUP(Tabelle28[[#This Row],[2050]],Dropdown!$A$2:$D$4,4,FALSE)</f>
        <v>-</v>
      </c>
    </row>
    <row r="18" spans="1:6" ht="25.5" x14ac:dyDescent="0.25">
      <c r="A18" s="66" t="s">
        <v>188</v>
      </c>
      <c r="B18" s="69" t="str">
        <f>Ueberblick[[#This Row],[Jahr Status quo / Basis]]</f>
        <v>2015</v>
      </c>
      <c r="C18" s="69" t="str">
        <f>VLOOKUP(Tabelle28[[#This Row],[2020]],Dropdown!$A$2:$D$4,4,FALSE)</f>
        <v>(X)</v>
      </c>
      <c r="D18" s="69" t="str">
        <f>VLOOKUP(Tabelle28[[#This Row],[2025]],Dropdown!$A$2:$D$4,4,FALSE)</f>
        <v>-</v>
      </c>
      <c r="E18" s="69" t="str">
        <f>VLOOKUP(Tabelle28[[#This Row],[2030]],Dropdown!$A$2:$D$4,4,FALSE)</f>
        <v>-</v>
      </c>
      <c r="F18" s="69" t="str">
        <f>VLOOKUP(Tabelle28[[#This Row],[2050]],Dropdown!$A$2:$D$4,4,FALSE)</f>
        <v>-</v>
      </c>
    </row>
    <row r="19" spans="1:6" ht="38.25" x14ac:dyDescent="0.25">
      <c r="A19" s="66" t="s">
        <v>133</v>
      </c>
      <c r="B19" s="69" t="str">
        <f>Ueberblick[[#This Row],[Jahr Status quo / Basis]]</f>
        <v>2010</v>
      </c>
      <c r="C19" s="69" t="str">
        <f>VLOOKUP(Tabelle28[[#This Row],[2020]],Dropdown!$A$2:$D$4,4,FALSE)</f>
        <v>X</v>
      </c>
      <c r="D19" s="69" t="str">
        <f>VLOOKUP(Tabelle28[[#This Row],[2025]],Dropdown!$A$2:$D$4,4,FALSE)</f>
        <v>-</v>
      </c>
      <c r="E19" s="69" t="str">
        <f>VLOOKUP(Tabelle28[[#This Row],[2030]],Dropdown!$A$2:$D$4,4,FALSE)</f>
        <v>-</v>
      </c>
      <c r="F19" s="69" t="str">
        <f>VLOOKUP(Tabelle28[[#This Row],[2050]],Dropdown!$A$2:$D$4,4,FALSE)</f>
        <v>-</v>
      </c>
    </row>
    <row r="20" spans="1:6" ht="25.5" x14ac:dyDescent="0.25">
      <c r="A20" s="66" t="s">
        <v>10</v>
      </c>
      <c r="B20" s="69" t="str">
        <f>Ueberblick[[#This Row],[Jahr Status quo / Basis]]</f>
        <v>2011</v>
      </c>
      <c r="C20" s="69" t="str">
        <f>VLOOKUP(Tabelle28[[#This Row],[2020]],Dropdown!$A$2:$D$4,4,FALSE)</f>
        <v>X</v>
      </c>
      <c r="D20" s="69" t="str">
        <f>VLOOKUP(Tabelle28[[#This Row],[2025]],Dropdown!$A$2:$D$4,4,FALSE)</f>
        <v>-</v>
      </c>
      <c r="E20" s="69" t="str">
        <f>VLOOKUP(Tabelle28[[#This Row],[2030]],Dropdown!$A$2:$D$4,4,FALSE)</f>
        <v>-</v>
      </c>
      <c r="F20" s="69" t="str">
        <f>VLOOKUP(Tabelle28[[#This Row],[2050]],Dropdown!$A$2:$D$4,4,FALSE)</f>
        <v>-</v>
      </c>
    </row>
    <row r="21" spans="1:6" ht="38.25" x14ac:dyDescent="0.25">
      <c r="A21" s="66" t="s">
        <v>832</v>
      </c>
      <c r="B21" s="69">
        <f>Ueberblick[[#This Row],[Jahr Status quo / Basis]]</f>
        <v>2015</v>
      </c>
      <c r="C21" s="69" t="str">
        <f>VLOOKUP(Tabelle28[[#This Row],[2020]],Dropdown!$A$2:$D$4,4,FALSE)</f>
        <v>X</v>
      </c>
      <c r="D21" s="69" t="str">
        <f>VLOOKUP(Tabelle28[[#This Row],[2025]],Dropdown!$A$2:$D$4,4,FALSE)</f>
        <v>X</v>
      </c>
      <c r="E21" s="69" t="str">
        <f>VLOOKUP(Tabelle28[[#This Row],[2030]],Dropdown!$A$2:$D$4,4,FALSE)</f>
        <v>X</v>
      </c>
      <c r="F21" s="69" t="str">
        <f>VLOOKUP(Tabelle28[[#This Row],[2050]],Dropdown!$A$2:$D$4,4,FALSE)</f>
        <v>-</v>
      </c>
    </row>
    <row r="22" spans="1:6" x14ac:dyDescent="0.25">
      <c r="A22" s="66" t="s">
        <v>16</v>
      </c>
      <c r="B22" s="69" t="str">
        <f>Ueberblick[[#This Row],[Jahr Status quo / Basis]]</f>
        <v>2014</v>
      </c>
      <c r="C22" s="69" t="str">
        <f>VLOOKUP(Tabelle28[[#This Row],[2020]],Dropdown!$A$2:$D$4,4,FALSE)</f>
        <v>X</v>
      </c>
      <c r="D22" s="69" t="str">
        <f>VLOOKUP(Tabelle28[[#This Row],[2025]],Dropdown!$A$2:$D$4,4,FALSE)</f>
        <v>-</v>
      </c>
      <c r="E22" s="69" t="str">
        <f>VLOOKUP(Tabelle28[[#This Row],[2030]],Dropdown!$A$2:$D$4,4,FALSE)</f>
        <v>X</v>
      </c>
      <c r="F22" s="69" t="str">
        <f>VLOOKUP(Tabelle28[[#This Row],[2050]],Dropdown!$A$2:$D$4,4,FALSE)</f>
        <v>-</v>
      </c>
    </row>
    <row r="23" spans="1:6" ht="25.5" x14ac:dyDescent="0.25">
      <c r="A23" s="66" t="s">
        <v>7</v>
      </c>
      <c r="B23" s="69" t="str">
        <f>Ueberblick[[#This Row],[Jahr Status quo / Basis]]</f>
        <v>2010</v>
      </c>
      <c r="C23" s="69" t="str">
        <f>VLOOKUP(Tabelle28[[#This Row],[2020]],Dropdown!$A$2:$D$4,4,FALSE)</f>
        <v>-</v>
      </c>
      <c r="D23" s="69" t="str">
        <f>VLOOKUP(Tabelle28[[#This Row],[2025]],Dropdown!$A$2:$D$4,4,FALSE)</f>
        <v>-</v>
      </c>
      <c r="E23" s="69" t="str">
        <f>VLOOKUP(Tabelle28[[#This Row],[2030]],Dropdown!$A$2:$D$4,4,FALSE)</f>
        <v>-</v>
      </c>
      <c r="F23" s="69" t="str">
        <f>VLOOKUP(Tabelle28[[#This Row],[2050]],Dropdown!$A$2:$D$4,4,FALSE)</f>
        <v>-</v>
      </c>
    </row>
    <row r="24" spans="1:6" ht="25.5" x14ac:dyDescent="0.25">
      <c r="A24" s="66" t="s">
        <v>18</v>
      </c>
      <c r="B24" s="69" t="str">
        <f>Ueberblick[[#This Row],[Jahr Status quo / Basis]]</f>
        <v>2010</v>
      </c>
      <c r="C24" s="69" t="str">
        <f>VLOOKUP(Tabelle28[[#This Row],[2020]],Dropdown!$A$2:$D$4,4,FALSE)</f>
        <v>X</v>
      </c>
      <c r="D24" s="69" t="str">
        <f>VLOOKUP(Tabelle28[[#This Row],[2025]],Dropdown!$A$2:$D$4,4,FALSE)</f>
        <v>-</v>
      </c>
      <c r="E24" s="69" t="str">
        <f>VLOOKUP(Tabelle28[[#This Row],[2030]],Dropdown!$A$2:$D$4,4,FALSE)</f>
        <v>X</v>
      </c>
      <c r="F24" s="69" t="str">
        <f>VLOOKUP(Tabelle28[[#This Row],[2050]],Dropdown!$A$2:$D$4,4,FALSE)</f>
        <v>X</v>
      </c>
    </row>
    <row r="25" spans="1:6" ht="25.5" x14ac:dyDescent="0.25">
      <c r="A25" s="66" t="s">
        <v>338</v>
      </c>
      <c r="B25" s="69" t="str">
        <f>Ueberblick[[#This Row],[Jahr Status quo / Basis]]</f>
        <v>Status quo (nicht spezifiziert)</v>
      </c>
      <c r="C25" s="69" t="str">
        <f>VLOOKUP(Tabelle28[[#This Row],[2020]],Dropdown!$A$2:$D$4,4,FALSE)</f>
        <v>-</v>
      </c>
      <c r="D25" s="69" t="str">
        <f>VLOOKUP(Tabelle28[[#This Row],[2025]],Dropdown!$A$2:$D$4,4,FALSE)</f>
        <v>-</v>
      </c>
      <c r="E25" s="69" t="str">
        <f>VLOOKUP(Tabelle28[[#This Row],[2030]],Dropdown!$A$2:$D$4,4,FALSE)</f>
        <v>-</v>
      </c>
      <c r="F25" s="69" t="str">
        <f>VLOOKUP(Tabelle28[[#This Row],[2050]],Dropdown!$A$2:$D$4,4,FALSE)</f>
        <v>-</v>
      </c>
    </row>
    <row r="26" spans="1:6" ht="38.25" x14ac:dyDescent="0.25">
      <c r="A26" s="66" t="s">
        <v>351</v>
      </c>
      <c r="B26" s="69" t="str">
        <f>Ueberblick[[#This Row],[Jahr Status quo / Basis]]</f>
        <v>2015</v>
      </c>
      <c r="C26" s="69" t="str">
        <f>VLOOKUP(Tabelle28[[#This Row],[2020]],Dropdown!$A$2:$D$4,4,FALSE)</f>
        <v>X</v>
      </c>
      <c r="D26" s="69" t="str">
        <f>VLOOKUP(Tabelle28[[#This Row],[2025]],Dropdown!$A$2:$D$4,4,FALSE)</f>
        <v>X</v>
      </c>
      <c r="E26" s="69" t="str">
        <f>VLOOKUP(Tabelle28[[#This Row],[2030]],Dropdown!$A$2:$D$4,4,FALSE)</f>
        <v>X</v>
      </c>
      <c r="F26" s="69" t="str">
        <f>VLOOKUP(Tabelle28[[#This Row],[2050]],Dropdown!$A$2:$D$4,4,FALSE)</f>
        <v>X</v>
      </c>
    </row>
    <row r="27" spans="1:6" ht="51" x14ac:dyDescent="0.25">
      <c r="A27" s="66" t="s">
        <v>24</v>
      </c>
      <c r="B27" s="69" t="str">
        <f>Ueberblick[[#This Row],[Jahr Status quo / Basis]]</f>
        <v>2013</v>
      </c>
      <c r="C27" s="69" t="str">
        <f>VLOOKUP(Tabelle28[[#This Row],[2020]],Dropdown!$A$2:$D$4,4,FALSE)</f>
        <v>-</v>
      </c>
      <c r="D27" s="69" t="str">
        <f>VLOOKUP(Tabelle28[[#This Row],[2025]],Dropdown!$A$2:$D$4,4,FALSE)</f>
        <v>(X)</v>
      </c>
      <c r="E27" s="69" t="str">
        <f>VLOOKUP(Tabelle28[[#This Row],[2030]],Dropdown!$A$2:$D$4,4,FALSE)</f>
        <v>-</v>
      </c>
      <c r="F27" s="69" t="str">
        <f>VLOOKUP(Tabelle28[[#This Row],[2050]],Dropdown!$A$2:$D$4,4,FALSE)</f>
        <v>X</v>
      </c>
    </row>
    <row r="28" spans="1:6" x14ac:dyDescent="0.25">
      <c r="A28" s="67" t="s">
        <v>854</v>
      </c>
      <c r="B28" s="70">
        <f>Tabelle28[[#This Row],[Status quo
(vor 2020)]]</f>
        <v>25</v>
      </c>
      <c r="C28" s="70">
        <f>Tabelle28[[#This Row],[2020]]</f>
        <v>14</v>
      </c>
      <c r="D28" s="70">
        <f>Tabelle28[[#This Row],[2025]]</f>
        <v>5</v>
      </c>
      <c r="E28" s="70">
        <f>Tabelle28[[#This Row],[2030]]</f>
        <v>9.5</v>
      </c>
      <c r="F28" s="70">
        <f>Tabelle28[[#This Row],[2050]]</f>
        <v>7</v>
      </c>
    </row>
  </sheetData>
  <pageMargins left="0.7" right="0.7" top="0.78740157499999996" bottom="0.78740157499999996" header="0.3" footer="0.3"/>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86C2-2736-4A32-9A7B-8825D55FC1D3}">
  <sheetPr codeName="Tabelle55">
    <tabColor theme="9" tint="-0.249977111117893"/>
  </sheetPr>
  <dimension ref="A1:F29"/>
  <sheetViews>
    <sheetView topLeftCell="A2" workbookViewId="0">
      <selection activeCell="B2" sqref="B2:F2"/>
    </sheetView>
  </sheetViews>
  <sheetFormatPr baseColWidth="10" defaultRowHeight="15.75" x14ac:dyDescent="0.25"/>
  <cols>
    <col min="1" max="1" width="13.5" customWidth="1"/>
    <col min="2" max="2" width="13.875" customWidth="1"/>
    <col min="3" max="6" width="5.875" customWidth="1"/>
  </cols>
  <sheetData>
    <row r="1" spans="1:6" ht="25.5" hidden="1" x14ac:dyDescent="0.25">
      <c r="A1" s="64" t="s">
        <v>86</v>
      </c>
      <c r="B1" s="64" t="s">
        <v>2</v>
      </c>
      <c r="C1" s="64" t="s">
        <v>2</v>
      </c>
      <c r="D1" s="64" t="s">
        <v>2</v>
      </c>
      <c r="E1" s="64" t="s">
        <v>2</v>
      </c>
      <c r="F1" s="64" t="s">
        <v>2</v>
      </c>
    </row>
    <row r="2" spans="1:6" ht="134.25" customHeight="1" x14ac:dyDescent="0.25">
      <c r="A2" s="65" t="s">
        <v>1</v>
      </c>
      <c r="B2" s="68" t="s">
        <v>1197</v>
      </c>
      <c r="C2" s="68" t="s">
        <v>1171</v>
      </c>
      <c r="D2" s="68" t="s">
        <v>1455</v>
      </c>
      <c r="E2" s="68" t="s">
        <v>1456</v>
      </c>
      <c r="F2" s="68" t="s">
        <v>1457</v>
      </c>
    </row>
    <row r="3" spans="1:6" x14ac:dyDescent="0.25">
      <c r="A3" s="66">
        <v>1</v>
      </c>
      <c r="B3" s="69">
        <f>Ueberblick[[#This Row],[Jahr Status quo / Basis]]</f>
        <v>2010</v>
      </c>
      <c r="C3" s="69" t="str">
        <f>VLOOKUP(Tabelle28[[#This Row],[2020]],Dropdown!$A$2:$D$4,4,FALSE)</f>
        <v>X</v>
      </c>
      <c r="D3" s="69" t="str">
        <f>VLOOKUP(Tabelle28[[#This Row],[2025]],Dropdown!$A$2:$D$4,4,FALSE)</f>
        <v>-</v>
      </c>
      <c r="E3" s="69" t="str">
        <f>VLOOKUP(Tabelle28[[#This Row],[2030]],Dropdown!$A$2:$D$4,4,FALSE)</f>
        <v>X</v>
      </c>
      <c r="F3" s="69" t="str">
        <f>VLOOKUP(Tabelle28[[#This Row],[2050]],Dropdown!$A$2:$D$4,4,FALSE)</f>
        <v>-</v>
      </c>
    </row>
    <row r="4" spans="1:6" ht="25.5" x14ac:dyDescent="0.25">
      <c r="A4" s="66">
        <v>2</v>
      </c>
      <c r="B4" s="69" t="s">
        <v>1170</v>
      </c>
      <c r="C4" s="69" t="str">
        <f>VLOOKUP(Tabelle28[[#This Row],[2020]],Dropdown!$A$2:$D$4,4,FALSE)</f>
        <v>-</v>
      </c>
      <c r="D4" s="69" t="str">
        <f>VLOOKUP(Tabelle28[[#This Row],[2025]],Dropdown!$A$2:$D$4,4,FALSE)</f>
        <v>-</v>
      </c>
      <c r="E4" s="69" t="str">
        <f>VLOOKUP(Tabelle28[[#This Row],[2030]],Dropdown!$A$2:$D$4,4,FALSE)</f>
        <v>-</v>
      </c>
      <c r="F4" s="69" t="str">
        <f>VLOOKUP(Tabelle28[[#This Row],[2050]],Dropdown!$A$2:$D$4,4,FALSE)</f>
        <v>-</v>
      </c>
    </row>
    <row r="5" spans="1:6" x14ac:dyDescent="0.25">
      <c r="A5" s="66">
        <v>3</v>
      </c>
      <c r="B5" s="69" t="str">
        <f>Ueberblick[[#This Row],[Jahr Status quo / Basis]]</f>
        <v>2011</v>
      </c>
      <c r="C5" s="69" t="str">
        <f>VLOOKUP(Tabelle28[[#This Row],[2020]],Dropdown!$A$2:$D$4,4,FALSE)</f>
        <v>-</v>
      </c>
      <c r="D5" s="69" t="str">
        <f>VLOOKUP(Tabelle28[[#This Row],[2025]],Dropdown!$A$2:$D$4,4,FALSE)</f>
        <v>-</v>
      </c>
      <c r="E5" s="69" t="str">
        <f>VLOOKUP(Tabelle28[[#This Row],[2030]],Dropdown!$A$2:$D$4,4,FALSE)</f>
        <v>-</v>
      </c>
      <c r="F5" s="69" t="str">
        <f>VLOOKUP(Tabelle28[[#This Row],[2050]],Dropdown!$A$2:$D$4,4,FALSE)</f>
        <v>-</v>
      </c>
    </row>
    <row r="6" spans="1:6" x14ac:dyDescent="0.25">
      <c r="A6" s="66">
        <v>4</v>
      </c>
      <c r="B6" s="69" t="str">
        <f>Ueberblick[[#This Row],[Jahr Status quo / Basis]]</f>
        <v>2011</v>
      </c>
      <c r="C6" s="69" t="str">
        <f>VLOOKUP(Tabelle28[[#This Row],[2020]],Dropdown!$A$2:$D$4,4,FALSE)</f>
        <v>-</v>
      </c>
      <c r="D6" s="69" t="str">
        <f>VLOOKUP(Tabelle28[[#This Row],[2025]],Dropdown!$A$2:$D$4,4,FALSE)</f>
        <v>-</v>
      </c>
      <c r="E6" s="69" t="str">
        <f>VLOOKUP(Tabelle28[[#This Row],[2030]],Dropdown!$A$2:$D$4,4,FALSE)</f>
        <v>-</v>
      </c>
      <c r="F6" s="69" t="str">
        <f>VLOOKUP(Tabelle28[[#This Row],[2050]],Dropdown!$A$2:$D$4,4,FALSE)</f>
        <v>-</v>
      </c>
    </row>
    <row r="7" spans="1:6" x14ac:dyDescent="0.25">
      <c r="A7" s="66">
        <v>5</v>
      </c>
      <c r="B7" s="69" t="str">
        <f>Ueberblick[[#This Row],[Jahr Status quo / Basis]]</f>
        <v>2010</v>
      </c>
      <c r="C7" s="69" t="str">
        <f>VLOOKUP(Tabelle28[[#This Row],[2020]],Dropdown!$A$2:$D$4,4,FALSE)</f>
        <v>X</v>
      </c>
      <c r="D7" s="69" t="str">
        <f>VLOOKUP(Tabelle28[[#This Row],[2025]],Dropdown!$A$2:$D$4,4,FALSE)</f>
        <v>-</v>
      </c>
      <c r="E7" s="69" t="str">
        <f>VLOOKUP(Tabelle28[[#This Row],[2030]],Dropdown!$A$2:$D$4,4,FALSE)</f>
        <v>X</v>
      </c>
      <c r="F7" s="69" t="str">
        <f>VLOOKUP(Tabelle28[[#This Row],[2050]],Dropdown!$A$2:$D$4,4,FALSE)</f>
        <v>X</v>
      </c>
    </row>
    <row r="8" spans="1:6" x14ac:dyDescent="0.25">
      <c r="A8" s="66">
        <v>6</v>
      </c>
      <c r="B8" s="69" t="str">
        <f>Ueberblick[[#This Row],[Jahr Status quo / Basis]]</f>
        <v>2020</v>
      </c>
      <c r="C8" s="69" t="str">
        <f>VLOOKUP(Tabelle28[[#This Row],[2020]],Dropdown!$A$2:$D$4,4,FALSE)</f>
        <v>X</v>
      </c>
      <c r="D8" s="69" t="str">
        <f>VLOOKUP(Tabelle28[[#This Row],[2025]],Dropdown!$A$2:$D$4,4,FALSE)</f>
        <v>-</v>
      </c>
      <c r="E8" s="69" t="str">
        <f>VLOOKUP(Tabelle28[[#This Row],[2030]],Dropdown!$A$2:$D$4,4,FALSE)</f>
        <v>X</v>
      </c>
      <c r="F8" s="69" t="str">
        <f>VLOOKUP(Tabelle28[[#This Row],[2050]],Dropdown!$A$2:$D$4,4,FALSE)</f>
        <v>-</v>
      </c>
    </row>
    <row r="9" spans="1:6" x14ac:dyDescent="0.25">
      <c r="A9" s="66">
        <v>7</v>
      </c>
      <c r="B9" s="69" t="str">
        <f>Ueberblick[[#This Row],[Jahr Status quo / Basis]]</f>
        <v>2013</v>
      </c>
      <c r="C9" s="69" t="str">
        <f>VLOOKUP(Tabelle28[[#This Row],[2020]],Dropdown!$A$2:$D$4,4,FALSE)</f>
        <v>X</v>
      </c>
      <c r="D9" s="69" t="str">
        <f>VLOOKUP(Tabelle28[[#This Row],[2025]],Dropdown!$A$2:$D$4,4,FALSE)</f>
        <v>-</v>
      </c>
      <c r="E9" s="69" t="str">
        <f>VLOOKUP(Tabelle28[[#This Row],[2030]],Dropdown!$A$2:$D$4,4,FALSE)</f>
        <v>-</v>
      </c>
      <c r="F9" s="69" t="str">
        <f>VLOOKUP(Tabelle28[[#This Row],[2050]],Dropdown!$A$2:$D$4,4,FALSE)</f>
        <v>-</v>
      </c>
    </row>
    <row r="10" spans="1:6" x14ac:dyDescent="0.25">
      <c r="A10" s="66">
        <v>8</v>
      </c>
      <c r="B10" s="69" t="str">
        <f>Ueberblick[[#This Row],[Jahr Status quo / Basis]]</f>
        <v>2012</v>
      </c>
      <c r="C10" s="69" t="str">
        <f>VLOOKUP(Tabelle28[[#This Row],[2020]],Dropdown!$A$2:$D$4,4,FALSE)</f>
        <v>X</v>
      </c>
      <c r="D10" s="69" t="str">
        <f>VLOOKUP(Tabelle28[[#This Row],[2025]],Dropdown!$A$2:$D$4,4,FALSE)</f>
        <v>X</v>
      </c>
      <c r="E10" s="69" t="str">
        <f>VLOOKUP(Tabelle28[[#This Row],[2030]],Dropdown!$A$2:$D$4,4,FALSE)</f>
        <v>X</v>
      </c>
      <c r="F10" s="69" t="str">
        <f>VLOOKUP(Tabelle28[[#This Row],[2050]],Dropdown!$A$2:$D$4,4,FALSE)</f>
        <v>-</v>
      </c>
    </row>
    <row r="11" spans="1:6" x14ac:dyDescent="0.25">
      <c r="A11" s="66">
        <v>9</v>
      </c>
      <c r="B11" s="69" t="str">
        <f>Ueberblick[[#This Row],[Jahr Status quo / Basis]]</f>
        <v>2015</v>
      </c>
      <c r="C11" s="69" t="str">
        <f>VLOOKUP(Tabelle28[[#This Row],[2020]],Dropdown!$A$2:$D$4,4,FALSE)</f>
        <v>-</v>
      </c>
      <c r="D11" s="69" t="str">
        <f>VLOOKUP(Tabelle28[[#This Row],[2025]],Dropdown!$A$2:$D$4,4,FALSE)</f>
        <v>X</v>
      </c>
      <c r="E11" s="69" t="str">
        <f>VLOOKUP(Tabelle28[[#This Row],[2030]],Dropdown!$A$2:$D$4,4,FALSE)</f>
        <v>-</v>
      </c>
      <c r="F11" s="69" t="str">
        <f>VLOOKUP(Tabelle28[[#This Row],[2050]],Dropdown!$A$2:$D$4,4,FALSE)</f>
        <v>X</v>
      </c>
    </row>
    <row r="12" spans="1:6" x14ac:dyDescent="0.25">
      <c r="A12" s="66">
        <v>10</v>
      </c>
      <c r="B12" s="69" t="str">
        <f>Ueberblick[[#This Row],[Jahr Status quo / Basis]]</f>
        <v>2013</v>
      </c>
      <c r="C12" s="69" t="str">
        <f>VLOOKUP(Tabelle28[[#This Row],[2020]],Dropdown!$A$2:$D$4,4,FALSE)</f>
        <v>-</v>
      </c>
      <c r="D12" s="69" t="str">
        <f>VLOOKUP(Tabelle28[[#This Row],[2025]],Dropdown!$A$2:$D$4,4,FALSE)</f>
        <v>(X)</v>
      </c>
      <c r="E12" s="69" t="str">
        <f>VLOOKUP(Tabelle28[[#This Row],[2030]],Dropdown!$A$2:$D$4,4,FALSE)</f>
        <v>-</v>
      </c>
      <c r="F12" s="69" t="str">
        <f>VLOOKUP(Tabelle28[[#This Row],[2050]],Dropdown!$A$2:$D$4,4,FALSE)</f>
        <v>X</v>
      </c>
    </row>
    <row r="13" spans="1:6" x14ac:dyDescent="0.25">
      <c r="A13" s="66">
        <v>11</v>
      </c>
      <c r="B13" s="69" t="str">
        <f>Ueberblick[[#This Row],[Jahr Status quo / Basis]]</f>
        <v>2005</v>
      </c>
      <c r="C13" s="69" t="str">
        <f>VLOOKUP(Tabelle28[[#This Row],[2020]],Dropdown!$A$2:$D$4,4,FALSE)</f>
        <v>X</v>
      </c>
      <c r="D13" s="69" t="str">
        <f>VLOOKUP(Tabelle28[[#This Row],[2025]],Dropdown!$A$2:$D$4,4,FALSE)</f>
        <v>-</v>
      </c>
      <c r="E13" s="69" t="str">
        <f>VLOOKUP(Tabelle28[[#This Row],[2030]],Dropdown!$A$2:$D$4,4,FALSE)</f>
        <v>-</v>
      </c>
      <c r="F13" s="69" t="str">
        <f>VLOOKUP(Tabelle28[[#This Row],[2050]],Dropdown!$A$2:$D$4,4,FALSE)</f>
        <v>-</v>
      </c>
    </row>
    <row r="14" spans="1:6" ht="25.5" x14ac:dyDescent="0.25">
      <c r="A14" s="66">
        <v>12</v>
      </c>
      <c r="B14" s="69" t="str">
        <f>Ueberblick[[#This Row],[Jahr Status quo / Basis]]</f>
        <v>Status quo (nicht spezifiziert)</v>
      </c>
      <c r="C14" s="69" t="str">
        <f>VLOOKUP(Tabelle28[[#This Row],[2020]],Dropdown!$A$2:$D$4,4,FALSE)</f>
        <v>-</v>
      </c>
      <c r="D14" s="69" t="str">
        <f>VLOOKUP(Tabelle28[[#This Row],[2025]],Dropdown!$A$2:$D$4,4,FALSE)</f>
        <v>-</v>
      </c>
      <c r="E14" s="69" t="str">
        <f>VLOOKUP(Tabelle28[[#This Row],[2030]],Dropdown!$A$2:$D$4,4,FALSE)</f>
        <v>-</v>
      </c>
      <c r="F14" s="69" t="str">
        <f>VLOOKUP(Tabelle28[[#This Row],[2050]],Dropdown!$A$2:$D$4,4,FALSE)</f>
        <v>-</v>
      </c>
    </row>
    <row r="15" spans="1:6" x14ac:dyDescent="0.25">
      <c r="A15" s="66">
        <v>13</v>
      </c>
      <c r="B15" s="69" t="str">
        <f>Ueberblick[[#This Row],[Jahr Status quo / Basis]]</f>
        <v>2010</v>
      </c>
      <c r="C15" s="69" t="str">
        <f>VLOOKUP(Tabelle28[[#This Row],[2020]],Dropdown!$A$2:$D$4,4,FALSE)</f>
        <v>X</v>
      </c>
      <c r="D15" s="69" t="str">
        <f>VLOOKUP(Tabelle28[[#This Row],[2025]],Dropdown!$A$2:$D$4,4,FALSE)</f>
        <v>-</v>
      </c>
      <c r="E15" s="69" t="str">
        <f>VLOOKUP(Tabelle28[[#This Row],[2030]],Dropdown!$A$2:$D$4,4,FALSE)</f>
        <v>-</v>
      </c>
      <c r="F15" s="69" t="str">
        <f>VLOOKUP(Tabelle28[[#This Row],[2050]],Dropdown!$A$2:$D$4,4,FALSE)</f>
        <v>-</v>
      </c>
    </row>
    <row r="16" spans="1:6" x14ac:dyDescent="0.25">
      <c r="A16" s="66">
        <v>14</v>
      </c>
      <c r="B16" s="69" t="str">
        <f>Ueberblick[[#This Row],[Jahr Status quo / Basis]]</f>
        <v>2013</v>
      </c>
      <c r="C16" s="69" t="str">
        <f>VLOOKUP(Tabelle28[[#This Row],[2020]],Dropdown!$A$2:$D$4,4,FALSE)</f>
        <v>-</v>
      </c>
      <c r="D16" s="69" t="str">
        <f>VLOOKUP(Tabelle28[[#This Row],[2025]],Dropdown!$A$2:$D$4,4,FALSE)</f>
        <v>-</v>
      </c>
      <c r="E16" s="69" t="str">
        <f>VLOOKUP(Tabelle28[[#This Row],[2030]],Dropdown!$A$2:$D$4,4,FALSE)</f>
        <v>X</v>
      </c>
      <c r="F16" s="69" t="str">
        <f>VLOOKUP(Tabelle28[[#This Row],[2050]],Dropdown!$A$2:$D$4,4,FALSE)</f>
        <v>X</v>
      </c>
    </row>
    <row r="17" spans="1:6" ht="25.5" x14ac:dyDescent="0.25">
      <c r="A17" s="66">
        <v>15</v>
      </c>
      <c r="B17" s="69" t="str">
        <f>Ueberblick[[#This Row],[Jahr Status quo / Basis]]</f>
        <v>Status quo (nicht spezifiziert)</v>
      </c>
      <c r="C17" s="69" t="str">
        <f>VLOOKUP(Tabelle28[[#This Row],[2020]],Dropdown!$A$2:$D$4,4,FALSE)</f>
        <v>(X)</v>
      </c>
      <c r="D17" s="69" t="str">
        <f>VLOOKUP(Tabelle28[[#This Row],[2025]],Dropdown!$A$2:$D$4,4,FALSE)</f>
        <v>-</v>
      </c>
      <c r="E17" s="69" t="str">
        <f>VLOOKUP(Tabelle28[[#This Row],[2030]],Dropdown!$A$2:$D$4,4,FALSE)</f>
        <v>(X)</v>
      </c>
      <c r="F17" s="69" t="str">
        <f>VLOOKUP(Tabelle28[[#This Row],[2050]],Dropdown!$A$2:$D$4,4,FALSE)</f>
        <v>-</v>
      </c>
    </row>
    <row r="18" spans="1:6" x14ac:dyDescent="0.25">
      <c r="A18" s="66">
        <v>16</v>
      </c>
      <c r="B18" s="69" t="str">
        <f>Ueberblick[[#This Row],[Jahr Status quo / Basis]]</f>
        <v>2015</v>
      </c>
      <c r="C18" s="69" t="str">
        <f>VLOOKUP(Tabelle28[[#This Row],[2020]],Dropdown!$A$2:$D$4,4,FALSE)</f>
        <v>(X)</v>
      </c>
      <c r="D18" s="69" t="str">
        <f>VLOOKUP(Tabelle28[[#This Row],[2025]],Dropdown!$A$2:$D$4,4,FALSE)</f>
        <v>-</v>
      </c>
      <c r="E18" s="69" t="str">
        <f>VLOOKUP(Tabelle28[[#This Row],[2030]],Dropdown!$A$2:$D$4,4,FALSE)</f>
        <v>-</v>
      </c>
      <c r="F18" s="69" t="str">
        <f>VLOOKUP(Tabelle28[[#This Row],[2050]],Dropdown!$A$2:$D$4,4,FALSE)</f>
        <v>-</v>
      </c>
    </row>
    <row r="19" spans="1:6" x14ac:dyDescent="0.25">
      <c r="A19" s="66">
        <v>17</v>
      </c>
      <c r="B19" s="69" t="str">
        <f>Ueberblick[[#This Row],[Jahr Status quo / Basis]]</f>
        <v>2010</v>
      </c>
      <c r="C19" s="69" t="str">
        <f>VLOOKUP(Tabelle28[[#This Row],[2020]],Dropdown!$A$2:$D$4,4,FALSE)</f>
        <v>X</v>
      </c>
      <c r="D19" s="69" t="str">
        <f>VLOOKUP(Tabelle28[[#This Row],[2025]],Dropdown!$A$2:$D$4,4,FALSE)</f>
        <v>-</v>
      </c>
      <c r="E19" s="69" t="str">
        <f>VLOOKUP(Tabelle28[[#This Row],[2030]],Dropdown!$A$2:$D$4,4,FALSE)</f>
        <v>-</v>
      </c>
      <c r="F19" s="69" t="str">
        <f>VLOOKUP(Tabelle28[[#This Row],[2050]],Dropdown!$A$2:$D$4,4,FALSE)</f>
        <v>-</v>
      </c>
    </row>
    <row r="20" spans="1:6" x14ac:dyDescent="0.25">
      <c r="A20" s="66">
        <v>18</v>
      </c>
      <c r="B20" s="69" t="str">
        <f>Ueberblick[[#This Row],[Jahr Status quo / Basis]]</f>
        <v>2011</v>
      </c>
      <c r="C20" s="69" t="str">
        <f>VLOOKUP(Tabelle28[[#This Row],[2020]],Dropdown!$A$2:$D$4,4,FALSE)</f>
        <v>X</v>
      </c>
      <c r="D20" s="69" t="str">
        <f>VLOOKUP(Tabelle28[[#This Row],[2025]],Dropdown!$A$2:$D$4,4,FALSE)</f>
        <v>-</v>
      </c>
      <c r="E20" s="69" t="str">
        <f>VLOOKUP(Tabelle28[[#This Row],[2030]],Dropdown!$A$2:$D$4,4,FALSE)</f>
        <v>-</v>
      </c>
      <c r="F20" s="69" t="str">
        <f>VLOOKUP(Tabelle28[[#This Row],[2050]],Dropdown!$A$2:$D$4,4,FALSE)</f>
        <v>-</v>
      </c>
    </row>
    <row r="21" spans="1:6" x14ac:dyDescent="0.25">
      <c r="A21" s="66">
        <v>19</v>
      </c>
      <c r="B21" s="69">
        <f>Ueberblick[[#This Row],[Jahr Status quo / Basis]]</f>
        <v>2015</v>
      </c>
      <c r="C21" s="69" t="str">
        <f>VLOOKUP(Tabelle28[[#This Row],[2020]],Dropdown!$A$2:$D$4,4,FALSE)</f>
        <v>X</v>
      </c>
      <c r="D21" s="69" t="str">
        <f>VLOOKUP(Tabelle28[[#This Row],[2025]],Dropdown!$A$2:$D$4,4,FALSE)</f>
        <v>X</v>
      </c>
      <c r="E21" s="69" t="str">
        <f>VLOOKUP(Tabelle28[[#This Row],[2030]],Dropdown!$A$2:$D$4,4,FALSE)</f>
        <v>X</v>
      </c>
      <c r="F21" s="69" t="str">
        <f>VLOOKUP(Tabelle28[[#This Row],[2050]],Dropdown!$A$2:$D$4,4,FALSE)</f>
        <v>-</v>
      </c>
    </row>
    <row r="22" spans="1:6" x14ac:dyDescent="0.25">
      <c r="A22" s="66">
        <v>20</v>
      </c>
      <c r="B22" s="69" t="str">
        <f>Ueberblick[[#This Row],[Jahr Status quo / Basis]]</f>
        <v>2014</v>
      </c>
      <c r="C22" s="69" t="str">
        <f>VLOOKUP(Tabelle28[[#This Row],[2020]],Dropdown!$A$2:$D$4,4,FALSE)</f>
        <v>X</v>
      </c>
      <c r="D22" s="69" t="str">
        <f>VLOOKUP(Tabelle28[[#This Row],[2025]],Dropdown!$A$2:$D$4,4,FALSE)</f>
        <v>-</v>
      </c>
      <c r="E22" s="69" t="str">
        <f>VLOOKUP(Tabelle28[[#This Row],[2030]],Dropdown!$A$2:$D$4,4,FALSE)</f>
        <v>X</v>
      </c>
      <c r="F22" s="69" t="str">
        <f>VLOOKUP(Tabelle28[[#This Row],[2050]],Dropdown!$A$2:$D$4,4,FALSE)</f>
        <v>-</v>
      </c>
    </row>
    <row r="23" spans="1:6" x14ac:dyDescent="0.25">
      <c r="A23" s="66">
        <v>21</v>
      </c>
      <c r="B23" s="69" t="str">
        <f>Ueberblick[[#This Row],[Jahr Status quo / Basis]]</f>
        <v>2010</v>
      </c>
      <c r="C23" s="69" t="str">
        <f>VLOOKUP(Tabelle28[[#This Row],[2020]],Dropdown!$A$2:$D$4,4,FALSE)</f>
        <v>-</v>
      </c>
      <c r="D23" s="69" t="str">
        <f>VLOOKUP(Tabelle28[[#This Row],[2025]],Dropdown!$A$2:$D$4,4,FALSE)</f>
        <v>-</v>
      </c>
      <c r="E23" s="69" t="str">
        <f>VLOOKUP(Tabelle28[[#This Row],[2030]],Dropdown!$A$2:$D$4,4,FALSE)</f>
        <v>-</v>
      </c>
      <c r="F23" s="69" t="str">
        <f>VLOOKUP(Tabelle28[[#This Row],[2050]],Dropdown!$A$2:$D$4,4,FALSE)</f>
        <v>-</v>
      </c>
    </row>
    <row r="24" spans="1:6" x14ac:dyDescent="0.25">
      <c r="A24" s="66">
        <v>22</v>
      </c>
      <c r="B24" s="69" t="str">
        <f>Ueberblick[[#This Row],[Jahr Status quo / Basis]]</f>
        <v>2010</v>
      </c>
      <c r="C24" s="69" t="str">
        <f>VLOOKUP(Tabelle28[[#This Row],[2020]],Dropdown!$A$2:$D$4,4,FALSE)</f>
        <v>X</v>
      </c>
      <c r="D24" s="69" t="str">
        <f>VLOOKUP(Tabelle28[[#This Row],[2025]],Dropdown!$A$2:$D$4,4,FALSE)</f>
        <v>-</v>
      </c>
      <c r="E24" s="69" t="str">
        <f>VLOOKUP(Tabelle28[[#This Row],[2030]],Dropdown!$A$2:$D$4,4,FALSE)</f>
        <v>X</v>
      </c>
      <c r="F24" s="69" t="str">
        <f>VLOOKUP(Tabelle28[[#This Row],[2050]],Dropdown!$A$2:$D$4,4,FALSE)</f>
        <v>X</v>
      </c>
    </row>
    <row r="25" spans="1:6" ht="25.5" x14ac:dyDescent="0.25">
      <c r="A25" s="66">
        <v>23</v>
      </c>
      <c r="B25" s="69" t="str">
        <f>Ueberblick[[#This Row],[Jahr Status quo / Basis]]</f>
        <v>Status quo (nicht spezifiziert)</v>
      </c>
      <c r="C25" s="69" t="str">
        <f>VLOOKUP(Tabelle28[[#This Row],[2020]],Dropdown!$A$2:$D$4,4,FALSE)</f>
        <v>-</v>
      </c>
      <c r="D25" s="69" t="str">
        <f>VLOOKUP(Tabelle28[[#This Row],[2025]],Dropdown!$A$2:$D$4,4,FALSE)</f>
        <v>-</v>
      </c>
      <c r="E25" s="69" t="str">
        <f>VLOOKUP(Tabelle28[[#This Row],[2030]],Dropdown!$A$2:$D$4,4,FALSE)</f>
        <v>-</v>
      </c>
      <c r="F25" s="69" t="str">
        <f>VLOOKUP(Tabelle28[[#This Row],[2050]],Dropdown!$A$2:$D$4,4,FALSE)</f>
        <v>-</v>
      </c>
    </row>
    <row r="26" spans="1:6" x14ac:dyDescent="0.25">
      <c r="A26" s="66">
        <v>24</v>
      </c>
      <c r="B26" s="69" t="str">
        <f>Ueberblick[[#This Row],[Jahr Status quo / Basis]]</f>
        <v>2015</v>
      </c>
      <c r="C26" s="69" t="str">
        <f>VLOOKUP(Tabelle28[[#This Row],[2020]],Dropdown!$A$2:$D$4,4,FALSE)</f>
        <v>X</v>
      </c>
      <c r="D26" s="69" t="str">
        <f>VLOOKUP(Tabelle28[[#This Row],[2025]],Dropdown!$A$2:$D$4,4,FALSE)</f>
        <v>X</v>
      </c>
      <c r="E26" s="69" t="str">
        <f>VLOOKUP(Tabelle28[[#This Row],[2030]],Dropdown!$A$2:$D$4,4,FALSE)</f>
        <v>X</v>
      </c>
      <c r="F26" s="69" t="str">
        <f>VLOOKUP(Tabelle28[[#This Row],[2050]],Dropdown!$A$2:$D$4,4,FALSE)</f>
        <v>X</v>
      </c>
    </row>
    <row r="27" spans="1:6" x14ac:dyDescent="0.25">
      <c r="A27" s="66">
        <v>25</v>
      </c>
      <c r="B27" s="69" t="str">
        <f>Ueberblick[[#This Row],[Jahr Status quo / Basis]]</f>
        <v>2013</v>
      </c>
      <c r="C27" s="69" t="str">
        <f>VLOOKUP(Tabelle28[[#This Row],[2020]],Dropdown!$A$2:$D$4,4,FALSE)</f>
        <v>-</v>
      </c>
      <c r="D27" s="69" t="str">
        <f>VLOOKUP(Tabelle28[[#This Row],[2025]],Dropdown!$A$2:$D$4,4,FALSE)</f>
        <v>(X)</v>
      </c>
      <c r="E27" s="69" t="str">
        <f>VLOOKUP(Tabelle28[[#This Row],[2030]],Dropdown!$A$2:$D$4,4,FALSE)</f>
        <v>-</v>
      </c>
      <c r="F27" s="69" t="str">
        <f>VLOOKUP(Tabelle28[[#This Row],[2050]],Dropdown!$A$2:$D$4,4,FALSE)</f>
        <v>X</v>
      </c>
    </row>
    <row r="28" spans="1:6" x14ac:dyDescent="0.25">
      <c r="A28" s="66" t="s">
        <v>854</v>
      </c>
      <c r="B28" s="70">
        <f>Tabelle28[[#This Row],[Status quo
(vor 2020)]]</f>
        <v>25</v>
      </c>
      <c r="C28" s="70">
        <f>Tabelle28[[#This Row],[2020]]</f>
        <v>14</v>
      </c>
      <c r="D28" s="70">
        <f>Tabelle28[[#This Row],[2025]]</f>
        <v>5</v>
      </c>
      <c r="E28" s="70">
        <f>Tabelle28[[#This Row],[2030]]</f>
        <v>9.5</v>
      </c>
      <c r="F28" s="70">
        <f>Tabelle28[[#This Row],[2050]]</f>
        <v>7</v>
      </c>
    </row>
    <row r="29" spans="1:6" ht="25.5" x14ac:dyDescent="0.25">
      <c r="A29" s="6" t="s">
        <v>1196</v>
      </c>
      <c r="B29" s="72" t="s">
        <v>1197</v>
      </c>
      <c r="C29" s="6">
        <v>2020</v>
      </c>
      <c r="D29" s="6">
        <v>2025</v>
      </c>
      <c r="E29" s="6">
        <v>2030</v>
      </c>
      <c r="F29" s="6">
        <v>2050</v>
      </c>
    </row>
  </sheetData>
  <pageMargins left="0.7" right="0.7" top="0.78740157499999996" bottom="0.78740157499999996"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F4A8-647B-41DC-AEF3-376961C227AA}">
  <sheetPr codeName="Tabelle56">
    <tabColor theme="9" tint="-0.249977111117893"/>
  </sheetPr>
  <dimension ref="A1:R28"/>
  <sheetViews>
    <sheetView topLeftCell="A2" workbookViewId="0">
      <selection activeCell="P6" sqref="P6"/>
    </sheetView>
  </sheetViews>
  <sheetFormatPr baseColWidth="10" defaultRowHeight="15.75" x14ac:dyDescent="0.25"/>
  <cols>
    <col min="1" max="1" width="13.5" customWidth="1"/>
    <col min="2" max="18" width="5.875" customWidth="1"/>
  </cols>
  <sheetData>
    <row r="1" spans="1:18" ht="25.5" hidden="1" x14ac:dyDescent="0.25">
      <c r="A1" s="64" t="s">
        <v>86</v>
      </c>
      <c r="B1" s="64"/>
      <c r="C1" s="64"/>
      <c r="D1" s="64"/>
      <c r="E1" s="64"/>
      <c r="F1" s="64"/>
      <c r="G1" s="64" t="s">
        <v>2</v>
      </c>
      <c r="H1" s="64" t="s">
        <v>2</v>
      </c>
      <c r="I1" s="64" t="s">
        <v>2</v>
      </c>
      <c r="J1" s="64" t="s">
        <v>2</v>
      </c>
      <c r="K1" s="64" t="s">
        <v>2</v>
      </c>
      <c r="L1" s="64" t="s">
        <v>2</v>
      </c>
      <c r="M1" s="64" t="s">
        <v>2</v>
      </c>
      <c r="N1" s="64" t="s">
        <v>2</v>
      </c>
      <c r="O1" s="64" t="s">
        <v>2</v>
      </c>
      <c r="P1" s="64" t="s">
        <v>2</v>
      </c>
      <c r="Q1" s="64" t="s">
        <v>2</v>
      </c>
      <c r="R1" s="64" t="s">
        <v>2</v>
      </c>
    </row>
    <row r="2" spans="1:18" ht="134.25" customHeight="1" x14ac:dyDescent="0.25">
      <c r="A2" s="65" t="s">
        <v>1</v>
      </c>
      <c r="B2" s="68" t="s">
        <v>1185</v>
      </c>
      <c r="C2" s="68" t="s">
        <v>1186</v>
      </c>
      <c r="D2" s="68" t="s">
        <v>1187</v>
      </c>
      <c r="E2" s="68" t="s">
        <v>1188</v>
      </c>
      <c r="F2" s="68" t="s">
        <v>1189</v>
      </c>
      <c r="G2" s="68" t="s">
        <v>1174</v>
      </c>
      <c r="H2" s="68" t="s">
        <v>1175</v>
      </c>
      <c r="I2" s="68" t="s">
        <v>1176</v>
      </c>
      <c r="J2" s="68" t="s">
        <v>1177</v>
      </c>
      <c r="K2" s="68" t="s">
        <v>1178</v>
      </c>
      <c r="L2" s="71" t="s">
        <v>1179</v>
      </c>
      <c r="M2" s="71" t="s">
        <v>1180</v>
      </c>
      <c r="N2" s="71" t="s">
        <v>1181</v>
      </c>
      <c r="O2" s="71" t="s">
        <v>1182</v>
      </c>
      <c r="P2" s="71" t="s">
        <v>1183</v>
      </c>
      <c r="Q2" s="71" t="s">
        <v>1171</v>
      </c>
      <c r="R2" s="71" t="s">
        <v>1184</v>
      </c>
    </row>
    <row r="3" spans="1:18" x14ac:dyDescent="0.25">
      <c r="A3" s="6" t="s">
        <v>12</v>
      </c>
      <c r="B3" s="6"/>
      <c r="C3" s="6"/>
      <c r="D3" s="6"/>
      <c r="E3" s="6"/>
      <c r="F3" s="6"/>
      <c r="G3" s="8">
        <v>1</v>
      </c>
      <c r="H3" s="8"/>
      <c r="I3" s="8"/>
      <c r="J3" s="8"/>
      <c r="K3" s="8"/>
      <c r="L3" s="8"/>
      <c r="M3" s="8"/>
      <c r="N3" s="8"/>
      <c r="O3" s="8"/>
      <c r="P3" s="8"/>
      <c r="Q3" s="8"/>
      <c r="R3" s="8"/>
    </row>
    <row r="4" spans="1:18" ht="25.5" x14ac:dyDescent="0.25">
      <c r="A4" s="6" t="s">
        <v>347</v>
      </c>
      <c r="B4" s="6"/>
      <c r="C4" s="6"/>
      <c r="D4" s="6"/>
      <c r="E4" s="6"/>
      <c r="F4" s="6"/>
      <c r="G4" s="8"/>
      <c r="H4" s="8"/>
      <c r="I4" s="8"/>
      <c r="J4" s="8"/>
      <c r="K4" s="8"/>
      <c r="L4" s="8"/>
      <c r="M4" s="8"/>
      <c r="N4" s="8"/>
      <c r="O4" s="8"/>
      <c r="P4" s="8"/>
      <c r="Q4" s="8"/>
      <c r="R4" s="8">
        <v>1</v>
      </c>
    </row>
    <row r="5" spans="1:18" ht="25.5" x14ac:dyDescent="0.25">
      <c r="A5" s="6" t="s">
        <v>348</v>
      </c>
      <c r="B5" s="6"/>
      <c r="C5" s="6"/>
      <c r="D5" s="6"/>
      <c r="E5" s="6"/>
      <c r="F5" s="6"/>
      <c r="G5" s="8"/>
      <c r="H5" s="8">
        <v>1</v>
      </c>
      <c r="I5" s="8"/>
      <c r="J5" s="8"/>
      <c r="K5" s="8"/>
      <c r="L5" s="8"/>
      <c r="M5" s="8"/>
      <c r="N5" s="8"/>
      <c r="O5" s="8"/>
      <c r="P5" s="8"/>
      <c r="Q5" s="8"/>
      <c r="R5" s="8"/>
    </row>
    <row r="6" spans="1:18" ht="25.5" x14ac:dyDescent="0.25">
      <c r="A6" s="6" t="s">
        <v>183</v>
      </c>
      <c r="B6" s="6"/>
      <c r="C6" s="6"/>
      <c r="D6" s="6"/>
      <c r="E6" s="6"/>
      <c r="F6" s="6"/>
      <c r="G6" s="8"/>
      <c r="H6" s="8">
        <v>1</v>
      </c>
      <c r="I6" s="8"/>
      <c r="J6" s="8"/>
      <c r="K6" s="8"/>
      <c r="L6" s="8"/>
      <c r="M6" s="8"/>
      <c r="N6" s="8"/>
      <c r="O6" s="8"/>
      <c r="P6" s="8"/>
      <c r="Q6" s="8"/>
      <c r="R6" s="8"/>
    </row>
    <row r="7" spans="1:18" ht="25.5" x14ac:dyDescent="0.25">
      <c r="A7" s="6" t="s">
        <v>258</v>
      </c>
      <c r="B7" s="6"/>
      <c r="C7" s="6"/>
      <c r="D7" s="6"/>
      <c r="E7" s="6"/>
      <c r="F7" s="6"/>
      <c r="G7" s="8">
        <v>1</v>
      </c>
      <c r="H7" s="8"/>
      <c r="I7" s="8"/>
      <c r="J7" s="8"/>
      <c r="K7" s="8"/>
      <c r="L7" s="8"/>
      <c r="M7" s="8"/>
      <c r="N7" s="8"/>
      <c r="O7" s="8"/>
      <c r="P7" s="8"/>
      <c r="Q7" s="8"/>
      <c r="R7" s="8"/>
    </row>
    <row r="8" spans="1:18" ht="25.5" x14ac:dyDescent="0.25">
      <c r="A8" s="6" t="s">
        <v>355</v>
      </c>
      <c r="B8" s="6"/>
      <c r="C8" s="6"/>
      <c r="D8" s="6"/>
      <c r="E8" s="6"/>
      <c r="F8" s="6"/>
      <c r="G8" s="8"/>
      <c r="H8" s="8"/>
      <c r="I8" s="8"/>
      <c r="J8" s="8"/>
      <c r="K8" s="8"/>
      <c r="L8" s="8"/>
      <c r="M8" s="8"/>
      <c r="N8" s="8"/>
      <c r="O8" s="8"/>
      <c r="P8" s="8"/>
      <c r="Q8" s="8">
        <v>1</v>
      </c>
      <c r="R8" s="8"/>
    </row>
    <row r="9" spans="1:18" ht="25.5" x14ac:dyDescent="0.25">
      <c r="A9" s="6" t="s">
        <v>431</v>
      </c>
      <c r="B9" s="6"/>
      <c r="C9" s="6"/>
      <c r="D9" s="6"/>
      <c r="E9" s="6"/>
      <c r="F9" s="6"/>
      <c r="G9" s="8"/>
      <c r="H9" s="8"/>
      <c r="I9" s="8"/>
      <c r="J9" s="8">
        <v>1</v>
      </c>
      <c r="K9" s="8"/>
      <c r="L9" s="8"/>
      <c r="M9" s="8"/>
      <c r="N9" s="8"/>
      <c r="O9" s="8"/>
      <c r="P9" s="8"/>
      <c r="Q9" s="8"/>
      <c r="R9" s="8"/>
    </row>
    <row r="10" spans="1:18" x14ac:dyDescent="0.25">
      <c r="A10" s="6" t="s">
        <v>410</v>
      </c>
      <c r="B10" s="6"/>
      <c r="C10" s="6"/>
      <c r="D10" s="6"/>
      <c r="E10" s="6"/>
      <c r="F10" s="6"/>
      <c r="G10" s="8"/>
      <c r="H10" s="8"/>
      <c r="I10" s="8">
        <f>Ueberblick[[#This Row],[2025 erfasst?]]</f>
        <v>1</v>
      </c>
      <c r="J10" s="8"/>
      <c r="K10" s="8"/>
      <c r="L10" s="8"/>
      <c r="M10" s="8"/>
      <c r="N10" s="8"/>
      <c r="O10" s="8"/>
      <c r="P10" s="8"/>
      <c r="Q10" s="8"/>
      <c r="R10" s="8"/>
    </row>
    <row r="11" spans="1:18" x14ac:dyDescent="0.25">
      <c r="A11" s="6" t="s">
        <v>393</v>
      </c>
      <c r="B11" s="6"/>
      <c r="C11" s="6"/>
      <c r="D11" s="6"/>
      <c r="E11" s="6"/>
      <c r="F11" s="6"/>
      <c r="G11" s="8"/>
      <c r="H11" s="8"/>
      <c r="I11" s="8"/>
      <c r="J11" s="8"/>
      <c r="K11" s="8"/>
      <c r="L11" s="8">
        <v>1</v>
      </c>
      <c r="M11" s="8"/>
      <c r="N11" s="8"/>
      <c r="O11" s="8"/>
      <c r="P11" s="8"/>
      <c r="Q11" s="8"/>
      <c r="R11" s="8"/>
    </row>
    <row r="12" spans="1:18" ht="51" x14ac:dyDescent="0.25">
      <c r="A12" s="6" t="s">
        <v>380</v>
      </c>
      <c r="B12" s="6"/>
      <c r="C12" s="6"/>
      <c r="D12" s="6"/>
      <c r="E12" s="6"/>
      <c r="F12" s="6"/>
      <c r="G12" s="8"/>
      <c r="H12" s="8"/>
      <c r="I12" s="8"/>
      <c r="J12" s="8">
        <v>1</v>
      </c>
      <c r="K12" s="8"/>
      <c r="L12" s="8"/>
      <c r="M12" s="8"/>
      <c r="N12" s="8"/>
      <c r="O12" s="8"/>
      <c r="P12" s="8"/>
      <c r="Q12" s="8"/>
      <c r="R12" s="8"/>
    </row>
    <row r="13" spans="1:18" ht="25.5" x14ac:dyDescent="0.25">
      <c r="A13" s="6" t="s">
        <v>95</v>
      </c>
      <c r="B13" s="6">
        <v>1</v>
      </c>
      <c r="C13" s="6"/>
      <c r="D13" s="6"/>
      <c r="E13" s="6"/>
      <c r="F13" s="6"/>
      <c r="G13" s="8"/>
      <c r="H13" s="8"/>
      <c r="I13" s="8"/>
      <c r="J13" s="8"/>
      <c r="K13" s="8"/>
      <c r="L13" s="8"/>
      <c r="M13" s="8"/>
      <c r="N13" s="8"/>
      <c r="O13" s="8"/>
      <c r="P13" s="8"/>
      <c r="Q13" s="8"/>
      <c r="R13" s="8"/>
    </row>
    <row r="14" spans="1:18" ht="63.75" x14ac:dyDescent="0.25">
      <c r="A14" s="6" t="s">
        <v>1709</v>
      </c>
      <c r="B14" s="6"/>
      <c r="C14" s="6"/>
      <c r="D14" s="6"/>
      <c r="E14" s="6"/>
      <c r="F14" s="6"/>
      <c r="G14" s="8"/>
      <c r="H14" s="8"/>
      <c r="I14" s="8"/>
      <c r="J14" s="8"/>
      <c r="K14" s="8"/>
      <c r="L14" s="8"/>
      <c r="M14" s="8"/>
      <c r="N14" s="8"/>
      <c r="O14" s="8"/>
      <c r="P14" s="8"/>
      <c r="Q14" s="8"/>
      <c r="R14" s="8">
        <v>1</v>
      </c>
    </row>
    <row r="15" spans="1:18" ht="25.5" x14ac:dyDescent="0.25">
      <c r="A15" s="6" t="s">
        <v>179</v>
      </c>
      <c r="B15" s="6"/>
      <c r="C15" s="6"/>
      <c r="D15" s="6"/>
      <c r="E15" s="6"/>
      <c r="F15" s="6"/>
      <c r="G15" s="8">
        <v>1</v>
      </c>
      <c r="H15" s="8"/>
      <c r="I15" s="8"/>
      <c r="J15" s="8"/>
      <c r="K15" s="8"/>
      <c r="L15" s="8"/>
      <c r="M15" s="8"/>
      <c r="N15" s="8"/>
      <c r="O15" s="8"/>
      <c r="P15" s="8"/>
      <c r="Q15" s="8"/>
      <c r="R15" s="8"/>
    </row>
    <row r="16" spans="1:18" x14ac:dyDescent="0.25">
      <c r="A16" s="6" t="s">
        <v>341</v>
      </c>
      <c r="B16" s="6"/>
      <c r="C16" s="6"/>
      <c r="D16" s="6"/>
      <c r="E16" s="6"/>
      <c r="F16" s="6"/>
      <c r="G16" s="8"/>
      <c r="H16" s="8"/>
      <c r="I16" s="8"/>
      <c r="J16" s="8">
        <v>1</v>
      </c>
      <c r="K16" s="8"/>
      <c r="L16" s="8"/>
      <c r="M16" s="8"/>
      <c r="N16" s="8"/>
      <c r="O16" s="8"/>
      <c r="P16" s="8"/>
      <c r="Q16" s="8"/>
      <c r="R16" s="8"/>
    </row>
    <row r="17" spans="1:18" ht="25.5" x14ac:dyDescent="0.25">
      <c r="A17" s="6" t="s">
        <v>22</v>
      </c>
      <c r="B17" s="6"/>
      <c r="C17" s="6"/>
      <c r="D17" s="6"/>
      <c r="E17" s="6"/>
      <c r="F17" s="6"/>
      <c r="G17" s="8"/>
      <c r="H17" s="8"/>
      <c r="I17" s="8"/>
      <c r="J17" s="8"/>
      <c r="K17" s="8"/>
      <c r="L17" s="8"/>
      <c r="M17" s="8"/>
      <c r="N17" s="8"/>
      <c r="O17" s="8"/>
      <c r="P17" s="8"/>
      <c r="Q17" s="8"/>
      <c r="R17" s="8">
        <v>1</v>
      </c>
    </row>
    <row r="18" spans="1:18" ht="25.5" x14ac:dyDescent="0.25">
      <c r="A18" s="6" t="s">
        <v>188</v>
      </c>
      <c r="B18" s="6"/>
      <c r="C18" s="6"/>
      <c r="D18" s="6"/>
      <c r="E18" s="6"/>
      <c r="F18" s="6"/>
      <c r="G18" s="8"/>
      <c r="H18" s="8"/>
      <c r="I18" s="8"/>
      <c r="J18" s="8"/>
      <c r="K18" s="8"/>
      <c r="L18" s="8">
        <v>1</v>
      </c>
      <c r="M18" s="8"/>
      <c r="N18" s="8"/>
      <c r="O18" s="8"/>
      <c r="P18" s="8"/>
      <c r="Q18" s="8"/>
      <c r="R18" s="8"/>
    </row>
    <row r="19" spans="1:18" ht="38.25" x14ac:dyDescent="0.25">
      <c r="A19" s="6" t="s">
        <v>133</v>
      </c>
      <c r="B19" s="6"/>
      <c r="C19" s="6"/>
      <c r="D19" s="6"/>
      <c r="E19" s="6"/>
      <c r="F19" s="6"/>
      <c r="G19" s="8">
        <v>1</v>
      </c>
      <c r="H19" s="8"/>
      <c r="I19" s="8"/>
      <c r="J19" s="8"/>
      <c r="K19" s="8"/>
      <c r="L19" s="8"/>
      <c r="M19" s="8"/>
      <c r="N19" s="8"/>
      <c r="O19" s="8"/>
      <c r="P19" s="8"/>
      <c r="Q19" s="8"/>
      <c r="R19" s="8"/>
    </row>
    <row r="20" spans="1:18" ht="25.5" x14ac:dyDescent="0.25">
      <c r="A20" s="6" t="s">
        <v>10</v>
      </c>
      <c r="B20" s="6"/>
      <c r="C20" s="6"/>
      <c r="D20" s="6"/>
      <c r="E20" s="6"/>
      <c r="F20" s="6"/>
      <c r="G20" s="8"/>
      <c r="H20" s="8">
        <f>Ueberblick[[#This Row],[2020 erfasst?]]</f>
        <v>1</v>
      </c>
      <c r="I20" s="8"/>
      <c r="J20" s="8"/>
      <c r="K20" s="8"/>
      <c r="L20" s="8"/>
      <c r="M20" s="8"/>
      <c r="N20" s="8"/>
      <c r="O20" s="8"/>
      <c r="P20" s="8"/>
      <c r="Q20" s="8"/>
      <c r="R20" s="8"/>
    </row>
    <row r="21" spans="1:18" ht="38.25" x14ac:dyDescent="0.25">
      <c r="A21" s="6" t="s">
        <v>832</v>
      </c>
      <c r="B21" s="6"/>
      <c r="C21" s="6"/>
      <c r="D21" s="6"/>
      <c r="E21" s="6"/>
      <c r="F21" s="6"/>
      <c r="G21" s="8"/>
      <c r="H21" s="8"/>
      <c r="I21" s="8"/>
      <c r="J21" s="8"/>
      <c r="K21" s="8"/>
      <c r="L21" s="8">
        <v>1</v>
      </c>
      <c r="M21" s="8"/>
      <c r="N21" s="8"/>
      <c r="O21" s="8"/>
      <c r="P21" s="8"/>
      <c r="Q21" s="8"/>
      <c r="R21" s="8"/>
    </row>
    <row r="22" spans="1:18" x14ac:dyDescent="0.25">
      <c r="A22" s="6" t="s">
        <v>16</v>
      </c>
      <c r="B22" s="6"/>
      <c r="C22" s="6"/>
      <c r="D22" s="6"/>
      <c r="E22" s="6"/>
      <c r="F22" s="6"/>
      <c r="G22" s="8"/>
      <c r="H22" s="8"/>
      <c r="I22" s="8"/>
      <c r="J22" s="8"/>
      <c r="K22" s="8">
        <v>1</v>
      </c>
      <c r="L22" s="8"/>
      <c r="M22" s="8"/>
      <c r="N22" s="8"/>
      <c r="O22" s="8"/>
      <c r="P22" s="8"/>
      <c r="Q22" s="8"/>
      <c r="R22" s="8"/>
    </row>
    <row r="23" spans="1:18" ht="25.5" x14ac:dyDescent="0.25">
      <c r="A23" s="6" t="s">
        <v>7</v>
      </c>
      <c r="B23" s="6"/>
      <c r="C23" s="6"/>
      <c r="D23" s="6"/>
      <c r="E23" s="6"/>
      <c r="F23" s="6"/>
      <c r="G23" s="8">
        <v>1</v>
      </c>
      <c r="H23" s="8"/>
      <c r="I23" s="8"/>
      <c r="J23" s="8"/>
      <c r="K23" s="8"/>
      <c r="L23" s="8"/>
      <c r="M23" s="8"/>
      <c r="N23" s="8"/>
      <c r="O23" s="8"/>
      <c r="P23" s="8"/>
      <c r="Q23" s="8"/>
      <c r="R23" s="8"/>
    </row>
    <row r="24" spans="1:18" ht="25.5" x14ac:dyDescent="0.25">
      <c r="A24" s="6" t="s">
        <v>18</v>
      </c>
      <c r="B24" s="6"/>
      <c r="C24" s="6"/>
      <c r="D24" s="6"/>
      <c r="E24" s="6"/>
      <c r="F24" s="6"/>
      <c r="G24" s="8">
        <v>1</v>
      </c>
      <c r="H24" s="8"/>
      <c r="I24" s="8"/>
      <c r="J24" s="8"/>
      <c r="K24" s="8"/>
      <c r="L24" s="8"/>
      <c r="M24" s="8"/>
      <c r="N24" s="8"/>
      <c r="O24" s="8"/>
      <c r="P24" s="8"/>
      <c r="Q24" s="8"/>
      <c r="R24" s="8"/>
    </row>
    <row r="25" spans="1:18" x14ac:dyDescent="0.25">
      <c r="A25" s="6" t="s">
        <v>338</v>
      </c>
      <c r="B25" s="6"/>
      <c r="C25" s="6"/>
      <c r="D25" s="6"/>
      <c r="E25" s="6"/>
      <c r="F25" s="6"/>
      <c r="G25" s="8"/>
      <c r="H25" s="8"/>
      <c r="I25" s="8"/>
      <c r="J25" s="8"/>
      <c r="K25" s="8"/>
      <c r="L25" s="8"/>
      <c r="M25" s="8"/>
      <c r="N25" s="8"/>
      <c r="O25" s="8"/>
      <c r="P25" s="8"/>
      <c r="Q25" s="8"/>
      <c r="R25" s="8">
        <v>1</v>
      </c>
    </row>
    <row r="26" spans="1:18" ht="38.25" x14ac:dyDescent="0.25">
      <c r="A26" s="6" t="s">
        <v>351</v>
      </c>
      <c r="B26" s="6"/>
      <c r="C26" s="6"/>
      <c r="D26" s="6"/>
      <c r="E26" s="6"/>
      <c r="F26" s="6"/>
      <c r="G26" s="8"/>
      <c r="H26" s="8"/>
      <c r="I26" s="8"/>
      <c r="J26" s="8"/>
      <c r="K26" s="8"/>
      <c r="L26" s="8">
        <v>1</v>
      </c>
      <c r="M26" s="8"/>
      <c r="N26" s="8"/>
      <c r="O26" s="8"/>
      <c r="P26" s="8"/>
      <c r="Q26" s="8"/>
      <c r="R26" s="8"/>
    </row>
    <row r="27" spans="1:18" ht="51" x14ac:dyDescent="0.25">
      <c r="A27" s="6" t="s">
        <v>24</v>
      </c>
      <c r="B27" s="6"/>
      <c r="C27" s="6"/>
      <c r="D27" s="6"/>
      <c r="E27" s="6"/>
      <c r="F27" s="6"/>
      <c r="G27" s="8"/>
      <c r="H27" s="8"/>
      <c r="I27" s="8">
        <v>1</v>
      </c>
      <c r="J27" s="8"/>
      <c r="K27" s="8"/>
      <c r="L27" s="8"/>
      <c r="M27" s="8"/>
      <c r="N27" s="8"/>
      <c r="O27" s="8"/>
      <c r="P27" s="8"/>
      <c r="Q27" s="8"/>
      <c r="R27" s="8"/>
    </row>
    <row r="28" spans="1:18" x14ac:dyDescent="0.25">
      <c r="A28" s="6" t="s">
        <v>854</v>
      </c>
      <c r="B28" s="6">
        <f t="shared" ref="B28:G28" si="0">SUM(B3:B27)</f>
        <v>1</v>
      </c>
      <c r="C28" s="6">
        <f t="shared" si="0"/>
        <v>0</v>
      </c>
      <c r="D28" s="6">
        <f t="shared" si="0"/>
        <v>0</v>
      </c>
      <c r="E28" s="6">
        <f t="shared" si="0"/>
        <v>0</v>
      </c>
      <c r="F28" s="6">
        <f t="shared" si="0"/>
        <v>0</v>
      </c>
      <c r="G28" s="6">
        <f t="shared" si="0"/>
        <v>6</v>
      </c>
      <c r="H28" s="6">
        <f>SUM(H3:H27)</f>
        <v>3</v>
      </c>
      <c r="I28" s="6">
        <f t="shared" ref="I28" si="1">SUM(I3:I27)</f>
        <v>2</v>
      </c>
      <c r="J28" s="6">
        <f t="shared" ref="J28" si="2">SUM(J3:J27)</f>
        <v>3</v>
      </c>
      <c r="K28" s="6">
        <f t="shared" ref="K28" si="3">SUM(K3:K27)</f>
        <v>1</v>
      </c>
      <c r="L28" s="6">
        <f t="shared" ref="L28" si="4">SUM(L3:L27)</f>
        <v>4</v>
      </c>
      <c r="M28" s="6">
        <f t="shared" ref="M28" si="5">SUM(M3:M27)</f>
        <v>0</v>
      </c>
      <c r="N28" s="6">
        <f t="shared" ref="N28:O28" si="6">SUM(N3:N27)</f>
        <v>0</v>
      </c>
      <c r="O28" s="6">
        <f t="shared" si="6"/>
        <v>0</v>
      </c>
      <c r="P28" s="6">
        <f t="shared" ref="P28" si="7">SUM(P3:P27)</f>
        <v>0</v>
      </c>
      <c r="Q28" s="6">
        <f t="shared" ref="Q28" si="8">SUM(Q3:Q27)</f>
        <v>1</v>
      </c>
      <c r="R28" s="6">
        <f t="shared" ref="R28" si="9">SUM(R3:R27)</f>
        <v>4</v>
      </c>
    </row>
  </sheetData>
  <pageMargins left="0.7" right="0.7" top="0.78740157499999996" bottom="0.78740157499999996" header="0.3" footer="0.3"/>
  <tableParts count="1">
    <tablePart r:id="rId1"/>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D9C31-80D0-470E-B65F-FE00A9086323}">
  <sheetPr codeName="Tabelle57">
    <tabColor theme="9" tint="-0.249977111117893"/>
  </sheetPr>
  <dimension ref="A1:R28"/>
  <sheetViews>
    <sheetView topLeftCell="A11" workbookViewId="0">
      <selection activeCell="T5" sqref="T5"/>
    </sheetView>
  </sheetViews>
  <sheetFormatPr baseColWidth="10" defaultRowHeight="15.75" x14ac:dyDescent="0.25"/>
  <cols>
    <col min="1" max="1" width="13.5" customWidth="1"/>
    <col min="2" max="18" width="5.875" customWidth="1"/>
  </cols>
  <sheetData>
    <row r="1" spans="1:18" ht="25.5" hidden="1" x14ac:dyDescent="0.25">
      <c r="A1" s="64" t="s">
        <v>86</v>
      </c>
      <c r="B1" s="64"/>
      <c r="C1" s="64"/>
      <c r="D1" s="64"/>
      <c r="E1" s="64"/>
      <c r="F1" s="64"/>
      <c r="G1" s="64" t="s">
        <v>2</v>
      </c>
      <c r="H1" s="64" t="s">
        <v>2</v>
      </c>
      <c r="I1" s="64" t="s">
        <v>2</v>
      </c>
      <c r="J1" s="64" t="s">
        <v>2</v>
      </c>
      <c r="K1" s="64" t="s">
        <v>2</v>
      </c>
      <c r="L1" s="64" t="s">
        <v>2</v>
      </c>
      <c r="M1" s="64" t="s">
        <v>2</v>
      </c>
      <c r="N1" s="64" t="s">
        <v>2</v>
      </c>
      <c r="O1" s="64" t="s">
        <v>2</v>
      </c>
      <c r="P1" s="64" t="s">
        <v>2</v>
      </c>
      <c r="Q1" s="64" t="s">
        <v>2</v>
      </c>
      <c r="R1" s="64" t="s">
        <v>2</v>
      </c>
    </row>
    <row r="2" spans="1:18" ht="134.25" customHeight="1" x14ac:dyDescent="0.25">
      <c r="A2" s="65" t="s">
        <v>1</v>
      </c>
      <c r="B2" s="68" t="s">
        <v>1185</v>
      </c>
      <c r="C2" s="68" t="s">
        <v>1186</v>
      </c>
      <c r="D2" s="68" t="s">
        <v>1187</v>
      </c>
      <c r="E2" s="68" t="s">
        <v>1188</v>
      </c>
      <c r="F2" s="68" t="s">
        <v>1189</v>
      </c>
      <c r="G2" s="68" t="s">
        <v>1174</v>
      </c>
      <c r="H2" s="68" t="s">
        <v>1175</v>
      </c>
      <c r="I2" s="68" t="s">
        <v>1176</v>
      </c>
      <c r="J2" s="68" t="s">
        <v>1177</v>
      </c>
      <c r="K2" s="68" t="s">
        <v>1178</v>
      </c>
      <c r="L2" s="71" t="s">
        <v>1179</v>
      </c>
      <c r="M2" s="71" t="s">
        <v>1180</v>
      </c>
      <c r="N2" s="71" t="s">
        <v>1181</v>
      </c>
      <c r="O2" s="71" t="s">
        <v>1182</v>
      </c>
      <c r="P2" s="71" t="s">
        <v>1183</v>
      </c>
      <c r="Q2" s="71" t="s">
        <v>1171</v>
      </c>
      <c r="R2" s="71" t="s">
        <v>1184</v>
      </c>
    </row>
    <row r="3" spans="1:18" x14ac:dyDescent="0.25">
      <c r="A3" s="6" t="s">
        <v>12</v>
      </c>
      <c r="B3" s="42" t="str">
        <f>VLOOKUP(Tabelle2834[[#This Row],[2005]],Dropdown!$A$2:$D$4,4,FALSE)</f>
        <v>-</v>
      </c>
      <c r="C3" s="42" t="str">
        <f>VLOOKUP(Tabelle2834[[#This Row],[2006]],Dropdown!$A$2:$D$4,4,FALSE)</f>
        <v>-</v>
      </c>
      <c r="D3" s="42" t="str">
        <f>VLOOKUP(Tabelle2834[[#This Row],[2007]],Dropdown!$A$2:$D$4,4,FALSE)</f>
        <v>-</v>
      </c>
      <c r="E3" s="42" t="str">
        <f>VLOOKUP(Tabelle2834[[#This Row],[2008]],Dropdown!$A$2:$D$4,4,FALSE)</f>
        <v>-</v>
      </c>
      <c r="F3" s="42" t="str">
        <f>VLOOKUP(Tabelle2834[[#This Row],[2009]],Dropdown!$A$2:$D$4,4,FALSE)</f>
        <v>-</v>
      </c>
      <c r="G3" s="42" t="str">
        <f>VLOOKUP(Tabelle2834[[#This Row],[2010]],Dropdown!$A$2:$D$4,4,FALSE)</f>
        <v>X</v>
      </c>
      <c r="H3" s="42" t="str">
        <f>VLOOKUP(Tabelle2834[[#This Row],[2011]],Dropdown!$A$2:$D$4,4,FALSE)</f>
        <v>-</v>
      </c>
      <c r="I3" s="42" t="str">
        <f>VLOOKUP(Tabelle2834[[#This Row],[2012]],Dropdown!$A$2:$D$4,4,FALSE)</f>
        <v>-</v>
      </c>
      <c r="J3" s="42" t="str">
        <f>VLOOKUP(Tabelle2834[[#This Row],[2013]],Dropdown!$A$2:$D$4,4,FALSE)</f>
        <v>-</v>
      </c>
      <c r="K3" s="42" t="str">
        <f>VLOOKUP(Tabelle2834[[#This Row],[2014]],Dropdown!$A$2:$D$4,4,FALSE)</f>
        <v>-</v>
      </c>
      <c r="L3" s="42" t="str">
        <f>VLOOKUP(Tabelle2834[[#This Row],[2015]],Dropdown!$A$2:$D$4,4,FALSE)</f>
        <v>-</v>
      </c>
      <c r="M3" s="42" t="str">
        <f>VLOOKUP(Tabelle2834[[#This Row],[2016]],Dropdown!$A$2:$D$4,4,FALSE)</f>
        <v>-</v>
      </c>
      <c r="N3" s="42" t="str">
        <f>VLOOKUP(Tabelle2834[[#This Row],[2017]],Dropdown!$A$2:$D$4,4,FALSE)</f>
        <v>-</v>
      </c>
      <c r="O3" s="42" t="str">
        <f>VLOOKUP(Tabelle2834[[#This Row],[2018]],Dropdown!$A$2:$D$4,4,FALSE)</f>
        <v>-</v>
      </c>
      <c r="P3" s="42" t="str">
        <f>VLOOKUP(Tabelle2834[[#This Row],[2019]],Dropdown!$A$2:$D$4,4,FALSE)</f>
        <v>-</v>
      </c>
      <c r="Q3" s="42" t="str">
        <f>VLOOKUP(Tabelle2834[[#This Row],[2020]],Dropdown!$A$2:$D$4,4,FALSE)</f>
        <v>-</v>
      </c>
      <c r="R3" s="42" t="str">
        <f>VLOOKUP(Tabelle2834[[#This Row],[nicht spezifiziert]],Dropdown!$A$2:$D$4,4,FALSE)</f>
        <v>-</v>
      </c>
    </row>
    <row r="4" spans="1:18" ht="25.5" x14ac:dyDescent="0.25">
      <c r="A4" s="6" t="s">
        <v>347</v>
      </c>
      <c r="B4" s="42" t="str">
        <f>VLOOKUP(Tabelle2834[[#This Row],[2005]],Dropdown!$A$2:$D$4,4,FALSE)</f>
        <v>-</v>
      </c>
      <c r="C4" s="42" t="str">
        <f>VLOOKUP(Tabelle2834[[#This Row],[2006]],Dropdown!$A$2:$D$4,4,FALSE)</f>
        <v>-</v>
      </c>
      <c r="D4" s="42" t="str">
        <f>VLOOKUP(Tabelle2834[[#This Row],[2007]],Dropdown!$A$2:$D$4,4,FALSE)</f>
        <v>-</v>
      </c>
      <c r="E4" s="42" t="str">
        <f>VLOOKUP(Tabelle2834[[#This Row],[2008]],Dropdown!$A$2:$D$4,4,FALSE)</f>
        <v>-</v>
      </c>
      <c r="F4" s="42" t="str">
        <f>VLOOKUP(Tabelle2834[[#This Row],[2009]],Dropdown!$A$2:$D$4,4,FALSE)</f>
        <v>-</v>
      </c>
      <c r="G4" s="42" t="str">
        <f>VLOOKUP(Tabelle2834[[#This Row],[2010]],Dropdown!$A$2:$D$4,4,FALSE)</f>
        <v>-</v>
      </c>
      <c r="H4" s="42" t="str">
        <f>VLOOKUP(Tabelle2834[[#This Row],[2011]],Dropdown!$A$2:$D$4,4,FALSE)</f>
        <v>-</v>
      </c>
      <c r="I4" s="42" t="str">
        <f>VLOOKUP(Tabelle2834[[#This Row],[2012]],Dropdown!$A$2:$D$4,4,FALSE)</f>
        <v>-</v>
      </c>
      <c r="J4" s="42" t="str">
        <f>VLOOKUP(Tabelle2834[[#This Row],[2013]],Dropdown!$A$2:$D$4,4,FALSE)</f>
        <v>-</v>
      </c>
      <c r="K4" s="42" t="str">
        <f>VLOOKUP(Tabelle2834[[#This Row],[2014]],Dropdown!$A$2:$D$4,4,FALSE)</f>
        <v>-</v>
      </c>
      <c r="L4" s="42" t="str">
        <f>VLOOKUP(Tabelle2834[[#This Row],[2015]],Dropdown!$A$2:$D$4,4,FALSE)</f>
        <v>-</v>
      </c>
      <c r="M4" s="42" t="str">
        <f>VLOOKUP(Tabelle2834[[#This Row],[2016]],Dropdown!$A$2:$D$4,4,FALSE)</f>
        <v>-</v>
      </c>
      <c r="N4" s="42" t="str">
        <f>VLOOKUP(Tabelle2834[[#This Row],[2017]],Dropdown!$A$2:$D$4,4,FALSE)</f>
        <v>-</v>
      </c>
      <c r="O4" s="42" t="str">
        <f>VLOOKUP(Tabelle2834[[#This Row],[2018]],Dropdown!$A$2:$D$4,4,FALSE)</f>
        <v>-</v>
      </c>
      <c r="P4" s="42" t="str">
        <f>VLOOKUP(Tabelle2834[[#This Row],[2019]],Dropdown!$A$2:$D$4,4,FALSE)</f>
        <v>-</v>
      </c>
      <c r="Q4" s="42" t="str">
        <f>VLOOKUP(Tabelle2834[[#This Row],[2020]],Dropdown!$A$2:$D$4,4,FALSE)</f>
        <v>-</v>
      </c>
      <c r="R4" s="42" t="str">
        <f>VLOOKUP(Tabelle2834[[#This Row],[nicht spezifiziert]],Dropdown!$A$2:$D$4,4,FALSE)</f>
        <v>X</v>
      </c>
    </row>
    <row r="5" spans="1:18" ht="25.5" x14ac:dyDescent="0.25">
      <c r="A5" s="6" t="s">
        <v>348</v>
      </c>
      <c r="B5" s="42" t="str">
        <f>VLOOKUP(Tabelle2834[[#This Row],[2005]],Dropdown!$A$2:$D$4,4,FALSE)</f>
        <v>-</v>
      </c>
      <c r="C5" s="42" t="str">
        <f>VLOOKUP(Tabelle2834[[#This Row],[2006]],Dropdown!$A$2:$D$4,4,FALSE)</f>
        <v>-</v>
      </c>
      <c r="D5" s="42" t="str">
        <f>VLOOKUP(Tabelle2834[[#This Row],[2007]],Dropdown!$A$2:$D$4,4,FALSE)</f>
        <v>-</v>
      </c>
      <c r="E5" s="42" t="str">
        <f>VLOOKUP(Tabelle2834[[#This Row],[2008]],Dropdown!$A$2:$D$4,4,FALSE)</f>
        <v>-</v>
      </c>
      <c r="F5" s="42" t="str">
        <f>VLOOKUP(Tabelle2834[[#This Row],[2009]],Dropdown!$A$2:$D$4,4,FALSE)</f>
        <v>-</v>
      </c>
      <c r="G5" s="42" t="str">
        <f>VLOOKUP(Tabelle2834[[#This Row],[2010]],Dropdown!$A$2:$D$4,4,FALSE)</f>
        <v>-</v>
      </c>
      <c r="H5" s="42" t="str">
        <f>VLOOKUP(Tabelle2834[[#This Row],[2011]],Dropdown!$A$2:$D$4,4,FALSE)</f>
        <v>X</v>
      </c>
      <c r="I5" s="42" t="str">
        <f>VLOOKUP(Tabelle2834[[#This Row],[2012]],Dropdown!$A$2:$D$4,4,FALSE)</f>
        <v>-</v>
      </c>
      <c r="J5" s="42" t="str">
        <f>VLOOKUP(Tabelle2834[[#This Row],[2013]],Dropdown!$A$2:$D$4,4,FALSE)</f>
        <v>-</v>
      </c>
      <c r="K5" s="42" t="str">
        <f>VLOOKUP(Tabelle2834[[#This Row],[2014]],Dropdown!$A$2:$D$4,4,FALSE)</f>
        <v>-</v>
      </c>
      <c r="L5" s="42" t="str">
        <f>VLOOKUP(Tabelle2834[[#This Row],[2015]],Dropdown!$A$2:$D$4,4,FALSE)</f>
        <v>-</v>
      </c>
      <c r="M5" s="42" t="str">
        <f>VLOOKUP(Tabelle2834[[#This Row],[2016]],Dropdown!$A$2:$D$4,4,FALSE)</f>
        <v>-</v>
      </c>
      <c r="N5" s="42" t="str">
        <f>VLOOKUP(Tabelle2834[[#This Row],[2017]],Dropdown!$A$2:$D$4,4,FALSE)</f>
        <v>-</v>
      </c>
      <c r="O5" s="42" t="str">
        <f>VLOOKUP(Tabelle2834[[#This Row],[2018]],Dropdown!$A$2:$D$4,4,FALSE)</f>
        <v>-</v>
      </c>
      <c r="P5" s="42" t="str">
        <f>VLOOKUP(Tabelle2834[[#This Row],[2019]],Dropdown!$A$2:$D$4,4,FALSE)</f>
        <v>-</v>
      </c>
      <c r="Q5" s="42" t="str">
        <f>VLOOKUP(Tabelle2834[[#This Row],[2020]],Dropdown!$A$2:$D$4,4,FALSE)</f>
        <v>-</v>
      </c>
      <c r="R5" s="42" t="str">
        <f>VLOOKUP(Tabelle2834[[#This Row],[nicht spezifiziert]],Dropdown!$A$2:$D$4,4,FALSE)</f>
        <v>-</v>
      </c>
    </row>
    <row r="6" spans="1:18" ht="25.5" x14ac:dyDescent="0.25">
      <c r="A6" s="6" t="s">
        <v>183</v>
      </c>
      <c r="B6" s="42" t="str">
        <f>VLOOKUP(Tabelle2834[[#This Row],[2005]],Dropdown!$A$2:$D$4,4,FALSE)</f>
        <v>-</v>
      </c>
      <c r="C6" s="42" t="str">
        <f>VLOOKUP(Tabelle2834[[#This Row],[2006]],Dropdown!$A$2:$D$4,4,FALSE)</f>
        <v>-</v>
      </c>
      <c r="D6" s="42" t="str">
        <f>VLOOKUP(Tabelle2834[[#This Row],[2007]],Dropdown!$A$2:$D$4,4,FALSE)</f>
        <v>-</v>
      </c>
      <c r="E6" s="42" t="str">
        <f>VLOOKUP(Tabelle2834[[#This Row],[2008]],Dropdown!$A$2:$D$4,4,FALSE)</f>
        <v>-</v>
      </c>
      <c r="F6" s="42" t="str">
        <f>VLOOKUP(Tabelle2834[[#This Row],[2009]],Dropdown!$A$2:$D$4,4,FALSE)</f>
        <v>-</v>
      </c>
      <c r="G6" s="42" t="str">
        <f>VLOOKUP(Tabelle2834[[#This Row],[2010]],Dropdown!$A$2:$D$4,4,FALSE)</f>
        <v>-</v>
      </c>
      <c r="H6" s="42" t="str">
        <f>VLOOKUP(Tabelle2834[[#This Row],[2011]],Dropdown!$A$2:$D$4,4,FALSE)</f>
        <v>X</v>
      </c>
      <c r="I6" s="42" t="str">
        <f>VLOOKUP(Tabelle2834[[#This Row],[2012]],Dropdown!$A$2:$D$4,4,FALSE)</f>
        <v>-</v>
      </c>
      <c r="J6" s="42" t="str">
        <f>VLOOKUP(Tabelle2834[[#This Row],[2013]],Dropdown!$A$2:$D$4,4,FALSE)</f>
        <v>-</v>
      </c>
      <c r="K6" s="42" t="str">
        <f>VLOOKUP(Tabelle2834[[#This Row],[2014]],Dropdown!$A$2:$D$4,4,FALSE)</f>
        <v>-</v>
      </c>
      <c r="L6" s="42" t="str">
        <f>VLOOKUP(Tabelle2834[[#This Row],[2015]],Dropdown!$A$2:$D$4,4,FALSE)</f>
        <v>-</v>
      </c>
      <c r="M6" s="42" t="str">
        <f>VLOOKUP(Tabelle2834[[#This Row],[2016]],Dropdown!$A$2:$D$4,4,FALSE)</f>
        <v>-</v>
      </c>
      <c r="N6" s="42" t="str">
        <f>VLOOKUP(Tabelle2834[[#This Row],[2017]],Dropdown!$A$2:$D$4,4,FALSE)</f>
        <v>-</v>
      </c>
      <c r="O6" s="42" t="str">
        <f>VLOOKUP(Tabelle2834[[#This Row],[2018]],Dropdown!$A$2:$D$4,4,FALSE)</f>
        <v>-</v>
      </c>
      <c r="P6" s="42" t="str">
        <f>VLOOKUP(Tabelle2834[[#This Row],[2019]],Dropdown!$A$2:$D$4,4,FALSE)</f>
        <v>-</v>
      </c>
      <c r="Q6" s="42" t="str">
        <f>VLOOKUP(Tabelle2834[[#This Row],[2020]],Dropdown!$A$2:$D$4,4,FALSE)</f>
        <v>-</v>
      </c>
      <c r="R6" s="42" t="str">
        <f>VLOOKUP(Tabelle2834[[#This Row],[nicht spezifiziert]],Dropdown!$A$2:$D$4,4,FALSE)</f>
        <v>-</v>
      </c>
    </row>
    <row r="7" spans="1:18" ht="25.5" x14ac:dyDescent="0.25">
      <c r="A7" s="6" t="s">
        <v>258</v>
      </c>
      <c r="B7" s="42" t="str">
        <f>VLOOKUP(Tabelle2834[[#This Row],[2005]],Dropdown!$A$2:$D$4,4,FALSE)</f>
        <v>-</v>
      </c>
      <c r="C7" s="42" t="str">
        <f>VLOOKUP(Tabelle2834[[#This Row],[2006]],Dropdown!$A$2:$D$4,4,FALSE)</f>
        <v>-</v>
      </c>
      <c r="D7" s="42" t="str">
        <f>VLOOKUP(Tabelle2834[[#This Row],[2007]],Dropdown!$A$2:$D$4,4,FALSE)</f>
        <v>-</v>
      </c>
      <c r="E7" s="42" t="str">
        <f>VLOOKUP(Tabelle2834[[#This Row],[2008]],Dropdown!$A$2:$D$4,4,FALSE)</f>
        <v>-</v>
      </c>
      <c r="F7" s="42" t="str">
        <f>VLOOKUP(Tabelle2834[[#This Row],[2009]],Dropdown!$A$2:$D$4,4,FALSE)</f>
        <v>-</v>
      </c>
      <c r="G7" s="42" t="str">
        <f>VLOOKUP(Tabelle2834[[#This Row],[2010]],Dropdown!$A$2:$D$4,4,FALSE)</f>
        <v>X</v>
      </c>
      <c r="H7" s="42" t="str">
        <f>VLOOKUP(Tabelle2834[[#This Row],[2011]],Dropdown!$A$2:$D$4,4,FALSE)</f>
        <v>-</v>
      </c>
      <c r="I7" s="42" t="str">
        <f>VLOOKUP(Tabelle2834[[#This Row],[2012]],Dropdown!$A$2:$D$4,4,FALSE)</f>
        <v>-</v>
      </c>
      <c r="J7" s="42" t="str">
        <f>VLOOKUP(Tabelle2834[[#This Row],[2013]],Dropdown!$A$2:$D$4,4,FALSE)</f>
        <v>-</v>
      </c>
      <c r="K7" s="42" t="str">
        <f>VLOOKUP(Tabelle2834[[#This Row],[2014]],Dropdown!$A$2:$D$4,4,FALSE)</f>
        <v>-</v>
      </c>
      <c r="L7" s="42" t="str">
        <f>VLOOKUP(Tabelle2834[[#This Row],[2015]],Dropdown!$A$2:$D$4,4,FALSE)</f>
        <v>-</v>
      </c>
      <c r="M7" s="42" t="str">
        <f>VLOOKUP(Tabelle2834[[#This Row],[2016]],Dropdown!$A$2:$D$4,4,FALSE)</f>
        <v>-</v>
      </c>
      <c r="N7" s="42" t="str">
        <f>VLOOKUP(Tabelle2834[[#This Row],[2017]],Dropdown!$A$2:$D$4,4,FALSE)</f>
        <v>-</v>
      </c>
      <c r="O7" s="42" t="str">
        <f>VLOOKUP(Tabelle2834[[#This Row],[2018]],Dropdown!$A$2:$D$4,4,FALSE)</f>
        <v>-</v>
      </c>
      <c r="P7" s="42" t="str">
        <f>VLOOKUP(Tabelle2834[[#This Row],[2019]],Dropdown!$A$2:$D$4,4,FALSE)</f>
        <v>-</v>
      </c>
      <c r="Q7" s="42" t="str">
        <f>VLOOKUP(Tabelle2834[[#This Row],[2020]],Dropdown!$A$2:$D$4,4,FALSE)</f>
        <v>-</v>
      </c>
      <c r="R7" s="42" t="str">
        <f>VLOOKUP(Tabelle2834[[#This Row],[nicht spezifiziert]],Dropdown!$A$2:$D$4,4,FALSE)</f>
        <v>-</v>
      </c>
    </row>
    <row r="8" spans="1:18" ht="25.5" x14ac:dyDescent="0.25">
      <c r="A8" s="6" t="s">
        <v>355</v>
      </c>
      <c r="B8" s="42" t="str">
        <f>VLOOKUP(Tabelle2834[[#This Row],[2005]],Dropdown!$A$2:$D$4,4,FALSE)</f>
        <v>-</v>
      </c>
      <c r="C8" s="42" t="str">
        <f>VLOOKUP(Tabelle2834[[#This Row],[2006]],Dropdown!$A$2:$D$4,4,FALSE)</f>
        <v>-</v>
      </c>
      <c r="D8" s="42" t="str">
        <f>VLOOKUP(Tabelle2834[[#This Row],[2007]],Dropdown!$A$2:$D$4,4,FALSE)</f>
        <v>-</v>
      </c>
      <c r="E8" s="42" t="str">
        <f>VLOOKUP(Tabelle2834[[#This Row],[2008]],Dropdown!$A$2:$D$4,4,FALSE)</f>
        <v>-</v>
      </c>
      <c r="F8" s="42" t="str">
        <f>VLOOKUP(Tabelle2834[[#This Row],[2009]],Dropdown!$A$2:$D$4,4,FALSE)</f>
        <v>-</v>
      </c>
      <c r="G8" s="42" t="str">
        <f>VLOOKUP(Tabelle2834[[#This Row],[2010]],Dropdown!$A$2:$D$4,4,FALSE)</f>
        <v>-</v>
      </c>
      <c r="H8" s="42" t="str">
        <f>VLOOKUP(Tabelle2834[[#This Row],[2011]],Dropdown!$A$2:$D$4,4,FALSE)</f>
        <v>-</v>
      </c>
      <c r="I8" s="42" t="str">
        <f>VLOOKUP(Tabelle2834[[#This Row],[2012]],Dropdown!$A$2:$D$4,4,FALSE)</f>
        <v>-</v>
      </c>
      <c r="J8" s="42" t="str">
        <f>VLOOKUP(Tabelle2834[[#This Row],[2013]],Dropdown!$A$2:$D$4,4,FALSE)</f>
        <v>-</v>
      </c>
      <c r="K8" s="42" t="str">
        <f>VLOOKUP(Tabelle2834[[#This Row],[2014]],Dropdown!$A$2:$D$4,4,FALSE)</f>
        <v>-</v>
      </c>
      <c r="L8" s="42" t="str">
        <f>VLOOKUP(Tabelle2834[[#This Row],[2015]],Dropdown!$A$2:$D$4,4,FALSE)</f>
        <v>-</v>
      </c>
      <c r="M8" s="42" t="str">
        <f>VLOOKUP(Tabelle2834[[#This Row],[2016]],Dropdown!$A$2:$D$4,4,FALSE)</f>
        <v>-</v>
      </c>
      <c r="N8" s="42" t="str">
        <f>VLOOKUP(Tabelle2834[[#This Row],[2017]],Dropdown!$A$2:$D$4,4,FALSE)</f>
        <v>-</v>
      </c>
      <c r="O8" s="42" t="str">
        <f>VLOOKUP(Tabelle2834[[#This Row],[2018]],Dropdown!$A$2:$D$4,4,FALSE)</f>
        <v>-</v>
      </c>
      <c r="P8" s="42" t="str">
        <f>VLOOKUP(Tabelle2834[[#This Row],[2019]],Dropdown!$A$2:$D$4,4,FALSE)</f>
        <v>-</v>
      </c>
      <c r="Q8" s="42" t="str">
        <f>VLOOKUP(Tabelle2834[[#This Row],[2020]],Dropdown!$A$2:$D$4,4,FALSE)</f>
        <v>X</v>
      </c>
      <c r="R8" s="42" t="str">
        <f>VLOOKUP(Tabelle2834[[#This Row],[nicht spezifiziert]],Dropdown!$A$2:$D$4,4,FALSE)</f>
        <v>-</v>
      </c>
    </row>
    <row r="9" spans="1:18" ht="25.5" x14ac:dyDescent="0.25">
      <c r="A9" s="6" t="s">
        <v>431</v>
      </c>
      <c r="B9" s="42" t="str">
        <f>VLOOKUP(Tabelle2834[[#This Row],[2005]],Dropdown!$A$2:$D$4,4,FALSE)</f>
        <v>-</v>
      </c>
      <c r="C9" s="42" t="str">
        <f>VLOOKUP(Tabelle2834[[#This Row],[2006]],Dropdown!$A$2:$D$4,4,FALSE)</f>
        <v>-</v>
      </c>
      <c r="D9" s="42" t="str">
        <f>VLOOKUP(Tabelle2834[[#This Row],[2007]],Dropdown!$A$2:$D$4,4,FALSE)</f>
        <v>-</v>
      </c>
      <c r="E9" s="42" t="str">
        <f>VLOOKUP(Tabelle2834[[#This Row],[2008]],Dropdown!$A$2:$D$4,4,FALSE)</f>
        <v>-</v>
      </c>
      <c r="F9" s="42" t="str">
        <f>VLOOKUP(Tabelle2834[[#This Row],[2009]],Dropdown!$A$2:$D$4,4,FALSE)</f>
        <v>-</v>
      </c>
      <c r="G9" s="42" t="str">
        <f>VLOOKUP(Tabelle2834[[#This Row],[2010]],Dropdown!$A$2:$D$4,4,FALSE)</f>
        <v>-</v>
      </c>
      <c r="H9" s="42" t="str">
        <f>VLOOKUP(Tabelle2834[[#This Row],[2011]],Dropdown!$A$2:$D$4,4,FALSE)</f>
        <v>-</v>
      </c>
      <c r="I9" s="42" t="str">
        <f>VLOOKUP(Tabelle2834[[#This Row],[2012]],Dropdown!$A$2:$D$4,4,FALSE)</f>
        <v>-</v>
      </c>
      <c r="J9" s="42" t="str">
        <f>VLOOKUP(Tabelle2834[[#This Row],[2013]],Dropdown!$A$2:$D$4,4,FALSE)</f>
        <v>X</v>
      </c>
      <c r="K9" s="42" t="str">
        <f>VLOOKUP(Tabelle2834[[#This Row],[2014]],Dropdown!$A$2:$D$4,4,FALSE)</f>
        <v>-</v>
      </c>
      <c r="L9" s="42" t="str">
        <f>VLOOKUP(Tabelle2834[[#This Row],[2015]],Dropdown!$A$2:$D$4,4,FALSE)</f>
        <v>-</v>
      </c>
      <c r="M9" s="42" t="str">
        <f>VLOOKUP(Tabelle2834[[#This Row],[2016]],Dropdown!$A$2:$D$4,4,FALSE)</f>
        <v>-</v>
      </c>
      <c r="N9" s="42" t="str">
        <f>VLOOKUP(Tabelle2834[[#This Row],[2017]],Dropdown!$A$2:$D$4,4,FALSE)</f>
        <v>-</v>
      </c>
      <c r="O9" s="42" t="str">
        <f>VLOOKUP(Tabelle2834[[#This Row],[2018]],Dropdown!$A$2:$D$4,4,FALSE)</f>
        <v>-</v>
      </c>
      <c r="P9" s="42" t="str">
        <f>VLOOKUP(Tabelle2834[[#This Row],[2019]],Dropdown!$A$2:$D$4,4,FALSE)</f>
        <v>-</v>
      </c>
      <c r="Q9" s="42" t="str">
        <f>VLOOKUP(Tabelle2834[[#This Row],[2020]],Dropdown!$A$2:$D$4,4,FALSE)</f>
        <v>-</v>
      </c>
      <c r="R9" s="42" t="str">
        <f>VLOOKUP(Tabelle2834[[#This Row],[nicht spezifiziert]],Dropdown!$A$2:$D$4,4,FALSE)</f>
        <v>-</v>
      </c>
    </row>
    <row r="10" spans="1:18" x14ac:dyDescent="0.25">
      <c r="A10" s="6" t="s">
        <v>410</v>
      </c>
      <c r="B10" s="42" t="str">
        <f>VLOOKUP(Tabelle2834[[#This Row],[2005]],Dropdown!$A$2:$D$4,4,FALSE)</f>
        <v>-</v>
      </c>
      <c r="C10" s="42" t="str">
        <f>VLOOKUP(Tabelle2834[[#This Row],[2006]],Dropdown!$A$2:$D$4,4,FALSE)</f>
        <v>-</v>
      </c>
      <c r="D10" s="42" t="str">
        <f>VLOOKUP(Tabelle2834[[#This Row],[2007]],Dropdown!$A$2:$D$4,4,FALSE)</f>
        <v>-</v>
      </c>
      <c r="E10" s="42" t="str">
        <f>VLOOKUP(Tabelle2834[[#This Row],[2008]],Dropdown!$A$2:$D$4,4,FALSE)</f>
        <v>-</v>
      </c>
      <c r="F10" s="42" t="str">
        <f>VLOOKUP(Tabelle2834[[#This Row],[2009]],Dropdown!$A$2:$D$4,4,FALSE)</f>
        <v>-</v>
      </c>
      <c r="G10" s="42" t="str">
        <f>VLOOKUP(Tabelle2834[[#This Row],[2010]],Dropdown!$A$2:$D$4,4,FALSE)</f>
        <v>-</v>
      </c>
      <c r="H10" s="42" t="str">
        <f>VLOOKUP(Tabelle2834[[#This Row],[2011]],Dropdown!$A$2:$D$4,4,FALSE)</f>
        <v>-</v>
      </c>
      <c r="I10" s="42" t="str">
        <f>VLOOKUP(Tabelle2834[[#This Row],[2012]],Dropdown!$A$2:$D$4,4,FALSE)</f>
        <v>X</v>
      </c>
      <c r="J10" s="42" t="str">
        <f>VLOOKUP(Tabelle2834[[#This Row],[2013]],Dropdown!$A$2:$D$4,4,FALSE)</f>
        <v>-</v>
      </c>
      <c r="K10" s="42" t="str">
        <f>VLOOKUP(Tabelle2834[[#This Row],[2014]],Dropdown!$A$2:$D$4,4,FALSE)</f>
        <v>-</v>
      </c>
      <c r="L10" s="42" t="str">
        <f>VLOOKUP(Tabelle2834[[#This Row],[2015]],Dropdown!$A$2:$D$4,4,FALSE)</f>
        <v>-</v>
      </c>
      <c r="M10" s="42" t="str">
        <f>VLOOKUP(Tabelle2834[[#This Row],[2016]],Dropdown!$A$2:$D$4,4,FALSE)</f>
        <v>-</v>
      </c>
      <c r="N10" s="42" t="str">
        <f>VLOOKUP(Tabelle2834[[#This Row],[2017]],Dropdown!$A$2:$D$4,4,FALSE)</f>
        <v>-</v>
      </c>
      <c r="O10" s="42" t="str">
        <f>VLOOKUP(Tabelle2834[[#This Row],[2018]],Dropdown!$A$2:$D$4,4,FALSE)</f>
        <v>-</v>
      </c>
      <c r="P10" s="42" t="str">
        <f>VLOOKUP(Tabelle2834[[#This Row],[2019]],Dropdown!$A$2:$D$4,4,FALSE)</f>
        <v>-</v>
      </c>
      <c r="Q10" s="42" t="str">
        <f>VLOOKUP(Tabelle2834[[#This Row],[2020]],Dropdown!$A$2:$D$4,4,FALSE)</f>
        <v>-</v>
      </c>
      <c r="R10" s="42" t="str">
        <f>VLOOKUP(Tabelle2834[[#This Row],[nicht spezifiziert]],Dropdown!$A$2:$D$4,4,FALSE)</f>
        <v>-</v>
      </c>
    </row>
    <row r="11" spans="1:18" x14ac:dyDescent="0.25">
      <c r="A11" s="6" t="s">
        <v>393</v>
      </c>
      <c r="B11" s="42" t="str">
        <f>VLOOKUP(Tabelle2834[[#This Row],[2005]],Dropdown!$A$2:$D$4,4,FALSE)</f>
        <v>-</v>
      </c>
      <c r="C11" s="42" t="str">
        <f>VLOOKUP(Tabelle2834[[#This Row],[2006]],Dropdown!$A$2:$D$4,4,FALSE)</f>
        <v>-</v>
      </c>
      <c r="D11" s="42" t="str">
        <f>VLOOKUP(Tabelle2834[[#This Row],[2007]],Dropdown!$A$2:$D$4,4,FALSE)</f>
        <v>-</v>
      </c>
      <c r="E11" s="42" t="str">
        <f>VLOOKUP(Tabelle2834[[#This Row],[2008]],Dropdown!$A$2:$D$4,4,FALSE)</f>
        <v>-</v>
      </c>
      <c r="F11" s="42" t="str">
        <f>VLOOKUP(Tabelle2834[[#This Row],[2009]],Dropdown!$A$2:$D$4,4,FALSE)</f>
        <v>-</v>
      </c>
      <c r="G11" s="42" t="str">
        <f>VLOOKUP(Tabelle2834[[#This Row],[2010]],Dropdown!$A$2:$D$4,4,FALSE)</f>
        <v>-</v>
      </c>
      <c r="H11" s="42" t="str">
        <f>VLOOKUP(Tabelle2834[[#This Row],[2011]],Dropdown!$A$2:$D$4,4,FALSE)</f>
        <v>-</v>
      </c>
      <c r="I11" s="42" t="str">
        <f>VLOOKUP(Tabelle2834[[#This Row],[2012]],Dropdown!$A$2:$D$4,4,FALSE)</f>
        <v>-</v>
      </c>
      <c r="J11" s="42" t="str">
        <f>VLOOKUP(Tabelle2834[[#This Row],[2013]],Dropdown!$A$2:$D$4,4,FALSE)</f>
        <v>-</v>
      </c>
      <c r="K11" s="42" t="str">
        <f>VLOOKUP(Tabelle2834[[#This Row],[2014]],Dropdown!$A$2:$D$4,4,FALSE)</f>
        <v>-</v>
      </c>
      <c r="L11" s="42" t="str">
        <f>VLOOKUP(Tabelle2834[[#This Row],[2015]],Dropdown!$A$2:$D$4,4,FALSE)</f>
        <v>X</v>
      </c>
      <c r="M11" s="42" t="str">
        <f>VLOOKUP(Tabelle2834[[#This Row],[2016]],Dropdown!$A$2:$D$4,4,FALSE)</f>
        <v>-</v>
      </c>
      <c r="N11" s="42" t="str">
        <f>VLOOKUP(Tabelle2834[[#This Row],[2017]],Dropdown!$A$2:$D$4,4,FALSE)</f>
        <v>-</v>
      </c>
      <c r="O11" s="42" t="str">
        <f>VLOOKUP(Tabelle2834[[#This Row],[2018]],Dropdown!$A$2:$D$4,4,FALSE)</f>
        <v>-</v>
      </c>
      <c r="P11" s="42" t="str">
        <f>VLOOKUP(Tabelle2834[[#This Row],[2019]],Dropdown!$A$2:$D$4,4,FALSE)</f>
        <v>-</v>
      </c>
      <c r="Q11" s="42" t="str">
        <f>VLOOKUP(Tabelle2834[[#This Row],[2020]],Dropdown!$A$2:$D$4,4,FALSE)</f>
        <v>-</v>
      </c>
      <c r="R11" s="42" t="str">
        <f>VLOOKUP(Tabelle2834[[#This Row],[nicht spezifiziert]],Dropdown!$A$2:$D$4,4,FALSE)</f>
        <v>-</v>
      </c>
    </row>
    <row r="12" spans="1:18" ht="51" x14ac:dyDescent="0.25">
      <c r="A12" s="6" t="s">
        <v>380</v>
      </c>
      <c r="B12" s="42" t="str">
        <f>VLOOKUP(Tabelle2834[[#This Row],[2005]],Dropdown!$A$2:$D$4,4,FALSE)</f>
        <v>-</v>
      </c>
      <c r="C12" s="42" t="str">
        <f>VLOOKUP(Tabelle2834[[#This Row],[2006]],Dropdown!$A$2:$D$4,4,FALSE)</f>
        <v>-</v>
      </c>
      <c r="D12" s="42" t="str">
        <f>VLOOKUP(Tabelle2834[[#This Row],[2007]],Dropdown!$A$2:$D$4,4,FALSE)</f>
        <v>-</v>
      </c>
      <c r="E12" s="42" t="str">
        <f>VLOOKUP(Tabelle2834[[#This Row],[2008]],Dropdown!$A$2:$D$4,4,FALSE)</f>
        <v>-</v>
      </c>
      <c r="F12" s="42" t="str">
        <f>VLOOKUP(Tabelle2834[[#This Row],[2009]],Dropdown!$A$2:$D$4,4,FALSE)</f>
        <v>-</v>
      </c>
      <c r="G12" s="42" t="str">
        <f>VLOOKUP(Tabelle2834[[#This Row],[2010]],Dropdown!$A$2:$D$4,4,FALSE)</f>
        <v>-</v>
      </c>
      <c r="H12" s="42" t="str">
        <f>VLOOKUP(Tabelle2834[[#This Row],[2011]],Dropdown!$A$2:$D$4,4,FALSE)</f>
        <v>-</v>
      </c>
      <c r="I12" s="42" t="str">
        <f>VLOOKUP(Tabelle2834[[#This Row],[2012]],Dropdown!$A$2:$D$4,4,FALSE)</f>
        <v>-</v>
      </c>
      <c r="J12" s="42" t="str">
        <f>VLOOKUP(Tabelle2834[[#This Row],[2013]],Dropdown!$A$2:$D$4,4,FALSE)</f>
        <v>X</v>
      </c>
      <c r="K12" s="42" t="str">
        <f>VLOOKUP(Tabelle2834[[#This Row],[2014]],Dropdown!$A$2:$D$4,4,FALSE)</f>
        <v>-</v>
      </c>
      <c r="L12" s="42" t="str">
        <f>VLOOKUP(Tabelle2834[[#This Row],[2015]],Dropdown!$A$2:$D$4,4,FALSE)</f>
        <v>-</v>
      </c>
      <c r="M12" s="42" t="str">
        <f>VLOOKUP(Tabelle2834[[#This Row],[2016]],Dropdown!$A$2:$D$4,4,FALSE)</f>
        <v>-</v>
      </c>
      <c r="N12" s="42" t="str">
        <f>VLOOKUP(Tabelle2834[[#This Row],[2017]],Dropdown!$A$2:$D$4,4,FALSE)</f>
        <v>-</v>
      </c>
      <c r="O12" s="42" t="str">
        <f>VLOOKUP(Tabelle2834[[#This Row],[2018]],Dropdown!$A$2:$D$4,4,FALSE)</f>
        <v>-</v>
      </c>
      <c r="P12" s="42" t="str">
        <f>VLOOKUP(Tabelle2834[[#This Row],[2019]],Dropdown!$A$2:$D$4,4,FALSE)</f>
        <v>-</v>
      </c>
      <c r="Q12" s="42" t="str">
        <f>VLOOKUP(Tabelle2834[[#This Row],[2020]],Dropdown!$A$2:$D$4,4,FALSE)</f>
        <v>-</v>
      </c>
      <c r="R12" s="42" t="str">
        <f>VLOOKUP(Tabelle2834[[#This Row],[nicht spezifiziert]],Dropdown!$A$2:$D$4,4,FALSE)</f>
        <v>-</v>
      </c>
    </row>
    <row r="13" spans="1:18" ht="25.5" x14ac:dyDescent="0.25">
      <c r="A13" s="6" t="s">
        <v>95</v>
      </c>
      <c r="B13" s="42" t="str">
        <f>VLOOKUP(Tabelle2834[[#This Row],[2005]],Dropdown!$A$2:$D$4,4,FALSE)</f>
        <v>X</v>
      </c>
      <c r="C13" s="42" t="str">
        <f>VLOOKUP(Tabelle2834[[#This Row],[2006]],Dropdown!$A$2:$D$4,4,FALSE)</f>
        <v>-</v>
      </c>
      <c r="D13" s="42" t="str">
        <f>VLOOKUP(Tabelle2834[[#This Row],[2007]],Dropdown!$A$2:$D$4,4,FALSE)</f>
        <v>-</v>
      </c>
      <c r="E13" s="42" t="str">
        <f>VLOOKUP(Tabelle2834[[#This Row],[2008]],Dropdown!$A$2:$D$4,4,FALSE)</f>
        <v>-</v>
      </c>
      <c r="F13" s="42" t="str">
        <f>VLOOKUP(Tabelle2834[[#This Row],[2009]],Dropdown!$A$2:$D$4,4,FALSE)</f>
        <v>-</v>
      </c>
      <c r="G13" s="42" t="str">
        <f>VLOOKUP(Tabelle2834[[#This Row],[2010]],Dropdown!$A$2:$D$4,4,FALSE)</f>
        <v>-</v>
      </c>
      <c r="H13" s="42" t="str">
        <f>VLOOKUP(Tabelle2834[[#This Row],[2011]],Dropdown!$A$2:$D$4,4,FALSE)</f>
        <v>-</v>
      </c>
      <c r="I13" s="42" t="str">
        <f>VLOOKUP(Tabelle2834[[#This Row],[2012]],Dropdown!$A$2:$D$4,4,FALSE)</f>
        <v>-</v>
      </c>
      <c r="J13" s="42" t="str">
        <f>VLOOKUP(Tabelle2834[[#This Row],[2013]],Dropdown!$A$2:$D$4,4,FALSE)</f>
        <v>-</v>
      </c>
      <c r="K13" s="42" t="str">
        <f>VLOOKUP(Tabelle2834[[#This Row],[2014]],Dropdown!$A$2:$D$4,4,FALSE)</f>
        <v>-</v>
      </c>
      <c r="L13" s="42" t="str">
        <f>VLOOKUP(Tabelle2834[[#This Row],[2015]],Dropdown!$A$2:$D$4,4,FALSE)</f>
        <v>-</v>
      </c>
      <c r="M13" s="42" t="str">
        <f>VLOOKUP(Tabelle2834[[#This Row],[2016]],Dropdown!$A$2:$D$4,4,FALSE)</f>
        <v>-</v>
      </c>
      <c r="N13" s="42" t="str">
        <f>VLOOKUP(Tabelle2834[[#This Row],[2017]],Dropdown!$A$2:$D$4,4,FALSE)</f>
        <v>-</v>
      </c>
      <c r="O13" s="42" t="str">
        <f>VLOOKUP(Tabelle2834[[#This Row],[2018]],Dropdown!$A$2:$D$4,4,FALSE)</f>
        <v>-</v>
      </c>
      <c r="P13" s="42" t="str">
        <f>VLOOKUP(Tabelle2834[[#This Row],[2019]],Dropdown!$A$2:$D$4,4,FALSE)</f>
        <v>-</v>
      </c>
      <c r="Q13" s="42" t="str">
        <f>VLOOKUP(Tabelle2834[[#This Row],[2020]],Dropdown!$A$2:$D$4,4,FALSE)</f>
        <v>-</v>
      </c>
      <c r="R13" s="42" t="str">
        <f>VLOOKUP(Tabelle2834[[#This Row],[nicht spezifiziert]],Dropdown!$A$2:$D$4,4,FALSE)</f>
        <v>-</v>
      </c>
    </row>
    <row r="14" spans="1:18" ht="63.75" x14ac:dyDescent="0.25">
      <c r="A14" s="6" t="s">
        <v>1709</v>
      </c>
      <c r="B14" s="42" t="str">
        <f>VLOOKUP(Tabelle2834[[#This Row],[2005]],Dropdown!$A$2:$D$4,4,FALSE)</f>
        <v>-</v>
      </c>
      <c r="C14" s="42" t="str">
        <f>VLOOKUP(Tabelle2834[[#This Row],[2006]],Dropdown!$A$2:$D$4,4,FALSE)</f>
        <v>-</v>
      </c>
      <c r="D14" s="42" t="str">
        <f>VLOOKUP(Tabelle2834[[#This Row],[2007]],Dropdown!$A$2:$D$4,4,FALSE)</f>
        <v>-</v>
      </c>
      <c r="E14" s="42" t="str">
        <f>VLOOKUP(Tabelle2834[[#This Row],[2008]],Dropdown!$A$2:$D$4,4,FALSE)</f>
        <v>-</v>
      </c>
      <c r="F14" s="42" t="str">
        <f>VLOOKUP(Tabelle2834[[#This Row],[2009]],Dropdown!$A$2:$D$4,4,FALSE)</f>
        <v>-</v>
      </c>
      <c r="G14" s="42" t="str">
        <f>VLOOKUP(Tabelle2834[[#This Row],[2010]],Dropdown!$A$2:$D$4,4,FALSE)</f>
        <v>-</v>
      </c>
      <c r="H14" s="42" t="str">
        <f>VLOOKUP(Tabelle2834[[#This Row],[2011]],Dropdown!$A$2:$D$4,4,FALSE)</f>
        <v>-</v>
      </c>
      <c r="I14" s="42" t="str">
        <f>VLOOKUP(Tabelle2834[[#This Row],[2012]],Dropdown!$A$2:$D$4,4,FALSE)</f>
        <v>-</v>
      </c>
      <c r="J14" s="42" t="str">
        <f>VLOOKUP(Tabelle2834[[#This Row],[2013]],Dropdown!$A$2:$D$4,4,FALSE)</f>
        <v>-</v>
      </c>
      <c r="K14" s="42" t="str">
        <f>VLOOKUP(Tabelle2834[[#This Row],[2014]],Dropdown!$A$2:$D$4,4,FALSE)</f>
        <v>-</v>
      </c>
      <c r="L14" s="42" t="str">
        <f>VLOOKUP(Tabelle2834[[#This Row],[2015]],Dropdown!$A$2:$D$4,4,FALSE)</f>
        <v>-</v>
      </c>
      <c r="M14" s="42" t="str">
        <f>VLOOKUP(Tabelle2834[[#This Row],[2016]],Dropdown!$A$2:$D$4,4,FALSE)</f>
        <v>-</v>
      </c>
      <c r="N14" s="42" t="str">
        <f>VLOOKUP(Tabelle2834[[#This Row],[2017]],Dropdown!$A$2:$D$4,4,FALSE)</f>
        <v>-</v>
      </c>
      <c r="O14" s="42" t="str">
        <f>VLOOKUP(Tabelle2834[[#This Row],[2018]],Dropdown!$A$2:$D$4,4,FALSE)</f>
        <v>-</v>
      </c>
      <c r="P14" s="42" t="str">
        <f>VLOOKUP(Tabelle2834[[#This Row],[2019]],Dropdown!$A$2:$D$4,4,FALSE)</f>
        <v>-</v>
      </c>
      <c r="Q14" s="42" t="str">
        <f>VLOOKUP(Tabelle2834[[#This Row],[2020]],Dropdown!$A$2:$D$4,4,FALSE)</f>
        <v>-</v>
      </c>
      <c r="R14" s="42" t="str">
        <f>VLOOKUP(Tabelle2834[[#This Row],[nicht spezifiziert]],Dropdown!$A$2:$D$4,4,FALSE)</f>
        <v>X</v>
      </c>
    </row>
    <row r="15" spans="1:18" ht="25.5" x14ac:dyDescent="0.25">
      <c r="A15" s="6" t="s">
        <v>179</v>
      </c>
      <c r="B15" s="42" t="str">
        <f>VLOOKUP(Tabelle2834[[#This Row],[2005]],Dropdown!$A$2:$D$4,4,FALSE)</f>
        <v>-</v>
      </c>
      <c r="C15" s="42" t="str">
        <f>VLOOKUP(Tabelle2834[[#This Row],[2006]],Dropdown!$A$2:$D$4,4,FALSE)</f>
        <v>-</v>
      </c>
      <c r="D15" s="42" t="str">
        <f>VLOOKUP(Tabelle2834[[#This Row],[2007]],Dropdown!$A$2:$D$4,4,FALSE)</f>
        <v>-</v>
      </c>
      <c r="E15" s="42" t="str">
        <f>VLOOKUP(Tabelle2834[[#This Row],[2008]],Dropdown!$A$2:$D$4,4,FALSE)</f>
        <v>-</v>
      </c>
      <c r="F15" s="42" t="str">
        <f>VLOOKUP(Tabelle2834[[#This Row],[2009]],Dropdown!$A$2:$D$4,4,FALSE)</f>
        <v>-</v>
      </c>
      <c r="G15" s="42" t="str">
        <f>VLOOKUP(Tabelle2834[[#This Row],[2010]],Dropdown!$A$2:$D$4,4,FALSE)</f>
        <v>X</v>
      </c>
      <c r="H15" s="42" t="str">
        <f>VLOOKUP(Tabelle2834[[#This Row],[2011]],Dropdown!$A$2:$D$4,4,FALSE)</f>
        <v>-</v>
      </c>
      <c r="I15" s="42" t="str">
        <f>VLOOKUP(Tabelle2834[[#This Row],[2012]],Dropdown!$A$2:$D$4,4,FALSE)</f>
        <v>-</v>
      </c>
      <c r="J15" s="42" t="str">
        <f>VLOOKUP(Tabelle2834[[#This Row],[2013]],Dropdown!$A$2:$D$4,4,FALSE)</f>
        <v>-</v>
      </c>
      <c r="K15" s="42" t="str">
        <f>VLOOKUP(Tabelle2834[[#This Row],[2014]],Dropdown!$A$2:$D$4,4,FALSE)</f>
        <v>-</v>
      </c>
      <c r="L15" s="42" t="str">
        <f>VLOOKUP(Tabelle2834[[#This Row],[2015]],Dropdown!$A$2:$D$4,4,FALSE)</f>
        <v>-</v>
      </c>
      <c r="M15" s="42" t="str">
        <f>VLOOKUP(Tabelle2834[[#This Row],[2016]],Dropdown!$A$2:$D$4,4,FALSE)</f>
        <v>-</v>
      </c>
      <c r="N15" s="42" t="str">
        <f>VLOOKUP(Tabelle2834[[#This Row],[2017]],Dropdown!$A$2:$D$4,4,FALSE)</f>
        <v>-</v>
      </c>
      <c r="O15" s="42" t="str">
        <f>VLOOKUP(Tabelle2834[[#This Row],[2018]],Dropdown!$A$2:$D$4,4,FALSE)</f>
        <v>-</v>
      </c>
      <c r="P15" s="42" t="str">
        <f>VLOOKUP(Tabelle2834[[#This Row],[2019]],Dropdown!$A$2:$D$4,4,FALSE)</f>
        <v>-</v>
      </c>
      <c r="Q15" s="42" t="str">
        <f>VLOOKUP(Tabelle2834[[#This Row],[2020]],Dropdown!$A$2:$D$4,4,FALSE)</f>
        <v>-</v>
      </c>
      <c r="R15" s="42" t="str">
        <f>VLOOKUP(Tabelle2834[[#This Row],[nicht spezifiziert]],Dropdown!$A$2:$D$4,4,FALSE)</f>
        <v>-</v>
      </c>
    </row>
    <row r="16" spans="1:18" x14ac:dyDescent="0.25">
      <c r="A16" s="6" t="s">
        <v>341</v>
      </c>
      <c r="B16" s="42" t="str">
        <f>VLOOKUP(Tabelle2834[[#This Row],[2005]],Dropdown!$A$2:$D$4,4,FALSE)</f>
        <v>-</v>
      </c>
      <c r="C16" s="42" t="str">
        <f>VLOOKUP(Tabelle2834[[#This Row],[2006]],Dropdown!$A$2:$D$4,4,FALSE)</f>
        <v>-</v>
      </c>
      <c r="D16" s="42" t="str">
        <f>VLOOKUP(Tabelle2834[[#This Row],[2007]],Dropdown!$A$2:$D$4,4,FALSE)</f>
        <v>-</v>
      </c>
      <c r="E16" s="42" t="str">
        <f>VLOOKUP(Tabelle2834[[#This Row],[2008]],Dropdown!$A$2:$D$4,4,FALSE)</f>
        <v>-</v>
      </c>
      <c r="F16" s="42" t="str">
        <f>VLOOKUP(Tabelle2834[[#This Row],[2009]],Dropdown!$A$2:$D$4,4,FALSE)</f>
        <v>-</v>
      </c>
      <c r="G16" s="42" t="str">
        <f>VLOOKUP(Tabelle2834[[#This Row],[2010]],Dropdown!$A$2:$D$4,4,FALSE)</f>
        <v>-</v>
      </c>
      <c r="H16" s="42" t="str">
        <f>VLOOKUP(Tabelle2834[[#This Row],[2011]],Dropdown!$A$2:$D$4,4,FALSE)</f>
        <v>-</v>
      </c>
      <c r="I16" s="42" t="str">
        <f>VLOOKUP(Tabelle2834[[#This Row],[2012]],Dropdown!$A$2:$D$4,4,FALSE)</f>
        <v>-</v>
      </c>
      <c r="J16" s="42" t="str">
        <f>VLOOKUP(Tabelle2834[[#This Row],[2013]],Dropdown!$A$2:$D$4,4,FALSE)</f>
        <v>X</v>
      </c>
      <c r="K16" s="42" t="str">
        <f>VLOOKUP(Tabelle2834[[#This Row],[2014]],Dropdown!$A$2:$D$4,4,FALSE)</f>
        <v>-</v>
      </c>
      <c r="L16" s="42" t="str">
        <f>VLOOKUP(Tabelle2834[[#This Row],[2015]],Dropdown!$A$2:$D$4,4,FALSE)</f>
        <v>-</v>
      </c>
      <c r="M16" s="42" t="str">
        <f>VLOOKUP(Tabelle2834[[#This Row],[2016]],Dropdown!$A$2:$D$4,4,FALSE)</f>
        <v>-</v>
      </c>
      <c r="N16" s="42" t="str">
        <f>VLOOKUP(Tabelle2834[[#This Row],[2017]],Dropdown!$A$2:$D$4,4,FALSE)</f>
        <v>-</v>
      </c>
      <c r="O16" s="42" t="str">
        <f>VLOOKUP(Tabelle2834[[#This Row],[2018]],Dropdown!$A$2:$D$4,4,FALSE)</f>
        <v>-</v>
      </c>
      <c r="P16" s="42" t="str">
        <f>VLOOKUP(Tabelle2834[[#This Row],[2019]],Dropdown!$A$2:$D$4,4,FALSE)</f>
        <v>-</v>
      </c>
      <c r="Q16" s="42" t="str">
        <f>VLOOKUP(Tabelle2834[[#This Row],[2020]],Dropdown!$A$2:$D$4,4,FALSE)</f>
        <v>-</v>
      </c>
      <c r="R16" s="42" t="str">
        <f>VLOOKUP(Tabelle2834[[#This Row],[nicht spezifiziert]],Dropdown!$A$2:$D$4,4,FALSE)</f>
        <v>-</v>
      </c>
    </row>
    <row r="17" spans="1:18" ht="25.5" x14ac:dyDescent="0.25">
      <c r="A17" s="6" t="s">
        <v>22</v>
      </c>
      <c r="B17" s="42" t="str">
        <f>VLOOKUP(Tabelle2834[[#This Row],[2005]],Dropdown!$A$2:$D$4,4,FALSE)</f>
        <v>-</v>
      </c>
      <c r="C17" s="42" t="str">
        <f>VLOOKUP(Tabelle2834[[#This Row],[2006]],Dropdown!$A$2:$D$4,4,FALSE)</f>
        <v>-</v>
      </c>
      <c r="D17" s="42" t="str">
        <f>VLOOKUP(Tabelle2834[[#This Row],[2007]],Dropdown!$A$2:$D$4,4,FALSE)</f>
        <v>-</v>
      </c>
      <c r="E17" s="42" t="str">
        <f>VLOOKUP(Tabelle2834[[#This Row],[2008]],Dropdown!$A$2:$D$4,4,FALSE)</f>
        <v>-</v>
      </c>
      <c r="F17" s="42" t="str">
        <f>VLOOKUP(Tabelle2834[[#This Row],[2009]],Dropdown!$A$2:$D$4,4,FALSE)</f>
        <v>-</v>
      </c>
      <c r="G17" s="42" t="str">
        <f>VLOOKUP(Tabelle2834[[#This Row],[2010]],Dropdown!$A$2:$D$4,4,FALSE)</f>
        <v>-</v>
      </c>
      <c r="H17" s="42" t="str">
        <f>VLOOKUP(Tabelle2834[[#This Row],[2011]],Dropdown!$A$2:$D$4,4,FALSE)</f>
        <v>-</v>
      </c>
      <c r="I17" s="42" t="str">
        <f>VLOOKUP(Tabelle2834[[#This Row],[2012]],Dropdown!$A$2:$D$4,4,FALSE)</f>
        <v>-</v>
      </c>
      <c r="J17" s="42" t="str">
        <f>VLOOKUP(Tabelle2834[[#This Row],[2013]],Dropdown!$A$2:$D$4,4,FALSE)</f>
        <v>-</v>
      </c>
      <c r="K17" s="42" t="str">
        <f>VLOOKUP(Tabelle2834[[#This Row],[2014]],Dropdown!$A$2:$D$4,4,FALSE)</f>
        <v>-</v>
      </c>
      <c r="L17" s="42" t="str">
        <f>VLOOKUP(Tabelle2834[[#This Row],[2015]],Dropdown!$A$2:$D$4,4,FALSE)</f>
        <v>-</v>
      </c>
      <c r="M17" s="42" t="str">
        <f>VLOOKUP(Tabelle2834[[#This Row],[2016]],Dropdown!$A$2:$D$4,4,FALSE)</f>
        <v>-</v>
      </c>
      <c r="N17" s="42" t="str">
        <f>VLOOKUP(Tabelle2834[[#This Row],[2017]],Dropdown!$A$2:$D$4,4,FALSE)</f>
        <v>-</v>
      </c>
      <c r="O17" s="42" t="str">
        <f>VLOOKUP(Tabelle2834[[#This Row],[2018]],Dropdown!$A$2:$D$4,4,FALSE)</f>
        <v>-</v>
      </c>
      <c r="P17" s="42" t="str">
        <f>VLOOKUP(Tabelle2834[[#This Row],[2019]],Dropdown!$A$2:$D$4,4,FALSE)</f>
        <v>-</v>
      </c>
      <c r="Q17" s="42" t="str">
        <f>VLOOKUP(Tabelle2834[[#This Row],[2020]],Dropdown!$A$2:$D$4,4,FALSE)</f>
        <v>-</v>
      </c>
      <c r="R17" s="42" t="str">
        <f>VLOOKUP(Tabelle2834[[#This Row],[nicht spezifiziert]],Dropdown!$A$2:$D$4,4,FALSE)</f>
        <v>X</v>
      </c>
    </row>
    <row r="18" spans="1:18" ht="25.5" x14ac:dyDescent="0.25">
      <c r="A18" s="6" t="s">
        <v>188</v>
      </c>
      <c r="B18" s="42" t="str">
        <f>VLOOKUP(Tabelle2834[[#This Row],[2005]],Dropdown!$A$2:$D$4,4,FALSE)</f>
        <v>-</v>
      </c>
      <c r="C18" s="42" t="str">
        <f>VLOOKUP(Tabelle2834[[#This Row],[2006]],Dropdown!$A$2:$D$4,4,FALSE)</f>
        <v>-</v>
      </c>
      <c r="D18" s="42" t="str">
        <f>VLOOKUP(Tabelle2834[[#This Row],[2007]],Dropdown!$A$2:$D$4,4,FALSE)</f>
        <v>-</v>
      </c>
      <c r="E18" s="42" t="str">
        <f>VLOOKUP(Tabelle2834[[#This Row],[2008]],Dropdown!$A$2:$D$4,4,FALSE)</f>
        <v>-</v>
      </c>
      <c r="F18" s="42" t="str">
        <f>VLOOKUP(Tabelle2834[[#This Row],[2009]],Dropdown!$A$2:$D$4,4,FALSE)</f>
        <v>-</v>
      </c>
      <c r="G18" s="42" t="str">
        <f>VLOOKUP(Tabelle2834[[#This Row],[2010]],Dropdown!$A$2:$D$4,4,FALSE)</f>
        <v>-</v>
      </c>
      <c r="H18" s="42" t="str">
        <f>VLOOKUP(Tabelle2834[[#This Row],[2011]],Dropdown!$A$2:$D$4,4,FALSE)</f>
        <v>-</v>
      </c>
      <c r="I18" s="42" t="str">
        <f>VLOOKUP(Tabelle2834[[#This Row],[2012]],Dropdown!$A$2:$D$4,4,FALSE)</f>
        <v>-</v>
      </c>
      <c r="J18" s="42" t="str">
        <f>VLOOKUP(Tabelle2834[[#This Row],[2013]],Dropdown!$A$2:$D$4,4,FALSE)</f>
        <v>-</v>
      </c>
      <c r="K18" s="42" t="str">
        <f>VLOOKUP(Tabelle2834[[#This Row],[2014]],Dropdown!$A$2:$D$4,4,FALSE)</f>
        <v>-</v>
      </c>
      <c r="L18" s="42" t="str">
        <f>VLOOKUP(Tabelle2834[[#This Row],[2015]],Dropdown!$A$2:$D$4,4,FALSE)</f>
        <v>X</v>
      </c>
      <c r="M18" s="42" t="str">
        <f>VLOOKUP(Tabelle2834[[#This Row],[2016]],Dropdown!$A$2:$D$4,4,FALSE)</f>
        <v>-</v>
      </c>
      <c r="N18" s="42" t="str">
        <f>VLOOKUP(Tabelle2834[[#This Row],[2017]],Dropdown!$A$2:$D$4,4,FALSE)</f>
        <v>-</v>
      </c>
      <c r="O18" s="42" t="str">
        <f>VLOOKUP(Tabelle2834[[#This Row],[2018]],Dropdown!$A$2:$D$4,4,FALSE)</f>
        <v>-</v>
      </c>
      <c r="P18" s="42" t="str">
        <f>VLOOKUP(Tabelle2834[[#This Row],[2019]],Dropdown!$A$2:$D$4,4,FALSE)</f>
        <v>-</v>
      </c>
      <c r="Q18" s="42" t="str">
        <f>VLOOKUP(Tabelle2834[[#This Row],[2020]],Dropdown!$A$2:$D$4,4,FALSE)</f>
        <v>-</v>
      </c>
      <c r="R18" s="42" t="str">
        <f>VLOOKUP(Tabelle2834[[#This Row],[nicht spezifiziert]],Dropdown!$A$2:$D$4,4,FALSE)</f>
        <v>-</v>
      </c>
    </row>
    <row r="19" spans="1:18" ht="38.25" x14ac:dyDescent="0.25">
      <c r="A19" s="6" t="s">
        <v>133</v>
      </c>
      <c r="B19" s="42" t="str">
        <f>VLOOKUP(Tabelle2834[[#This Row],[2005]],Dropdown!$A$2:$D$4,4,FALSE)</f>
        <v>-</v>
      </c>
      <c r="C19" s="42" t="str">
        <f>VLOOKUP(Tabelle2834[[#This Row],[2006]],Dropdown!$A$2:$D$4,4,FALSE)</f>
        <v>-</v>
      </c>
      <c r="D19" s="42" t="str">
        <f>VLOOKUP(Tabelle2834[[#This Row],[2007]],Dropdown!$A$2:$D$4,4,FALSE)</f>
        <v>-</v>
      </c>
      <c r="E19" s="42" t="str">
        <f>VLOOKUP(Tabelle2834[[#This Row],[2008]],Dropdown!$A$2:$D$4,4,FALSE)</f>
        <v>-</v>
      </c>
      <c r="F19" s="42" t="str">
        <f>VLOOKUP(Tabelle2834[[#This Row],[2009]],Dropdown!$A$2:$D$4,4,FALSE)</f>
        <v>-</v>
      </c>
      <c r="G19" s="42" t="str">
        <f>VLOOKUP(Tabelle2834[[#This Row],[2010]],Dropdown!$A$2:$D$4,4,FALSE)</f>
        <v>X</v>
      </c>
      <c r="H19" s="42" t="str">
        <f>VLOOKUP(Tabelle2834[[#This Row],[2011]],Dropdown!$A$2:$D$4,4,FALSE)</f>
        <v>-</v>
      </c>
      <c r="I19" s="42" t="str">
        <f>VLOOKUP(Tabelle2834[[#This Row],[2012]],Dropdown!$A$2:$D$4,4,FALSE)</f>
        <v>-</v>
      </c>
      <c r="J19" s="42" t="str">
        <f>VLOOKUP(Tabelle2834[[#This Row],[2013]],Dropdown!$A$2:$D$4,4,FALSE)</f>
        <v>-</v>
      </c>
      <c r="K19" s="42" t="str">
        <f>VLOOKUP(Tabelle2834[[#This Row],[2014]],Dropdown!$A$2:$D$4,4,FALSE)</f>
        <v>-</v>
      </c>
      <c r="L19" s="42" t="str">
        <f>VLOOKUP(Tabelle2834[[#This Row],[2015]],Dropdown!$A$2:$D$4,4,FALSE)</f>
        <v>-</v>
      </c>
      <c r="M19" s="42" t="str">
        <f>VLOOKUP(Tabelle2834[[#This Row],[2016]],Dropdown!$A$2:$D$4,4,FALSE)</f>
        <v>-</v>
      </c>
      <c r="N19" s="42" t="str">
        <f>VLOOKUP(Tabelle2834[[#This Row],[2017]],Dropdown!$A$2:$D$4,4,FALSE)</f>
        <v>-</v>
      </c>
      <c r="O19" s="42" t="str">
        <f>VLOOKUP(Tabelle2834[[#This Row],[2018]],Dropdown!$A$2:$D$4,4,FALSE)</f>
        <v>-</v>
      </c>
      <c r="P19" s="42" t="str">
        <f>VLOOKUP(Tabelle2834[[#This Row],[2019]],Dropdown!$A$2:$D$4,4,FALSE)</f>
        <v>-</v>
      </c>
      <c r="Q19" s="42" t="str">
        <f>VLOOKUP(Tabelle2834[[#This Row],[2020]],Dropdown!$A$2:$D$4,4,FALSE)</f>
        <v>-</v>
      </c>
      <c r="R19" s="42" t="str">
        <f>VLOOKUP(Tabelle2834[[#This Row],[nicht spezifiziert]],Dropdown!$A$2:$D$4,4,FALSE)</f>
        <v>-</v>
      </c>
    </row>
    <row r="20" spans="1:18" ht="25.5" x14ac:dyDescent="0.25">
      <c r="A20" s="6" t="s">
        <v>10</v>
      </c>
      <c r="B20" s="42" t="str">
        <f>VLOOKUP(Tabelle2834[[#This Row],[2005]],Dropdown!$A$2:$D$4,4,FALSE)</f>
        <v>-</v>
      </c>
      <c r="C20" s="42" t="str">
        <f>VLOOKUP(Tabelle2834[[#This Row],[2006]],Dropdown!$A$2:$D$4,4,FALSE)</f>
        <v>-</v>
      </c>
      <c r="D20" s="42" t="str">
        <f>VLOOKUP(Tabelle2834[[#This Row],[2007]],Dropdown!$A$2:$D$4,4,FALSE)</f>
        <v>-</v>
      </c>
      <c r="E20" s="42" t="str">
        <f>VLOOKUP(Tabelle2834[[#This Row],[2008]],Dropdown!$A$2:$D$4,4,FALSE)</f>
        <v>-</v>
      </c>
      <c r="F20" s="42" t="str">
        <f>VLOOKUP(Tabelle2834[[#This Row],[2009]],Dropdown!$A$2:$D$4,4,FALSE)</f>
        <v>-</v>
      </c>
      <c r="G20" s="42" t="str">
        <f>VLOOKUP(Tabelle2834[[#This Row],[2010]],Dropdown!$A$2:$D$4,4,FALSE)</f>
        <v>-</v>
      </c>
      <c r="H20" s="42" t="str">
        <f>VLOOKUP(Tabelle2834[[#This Row],[2011]],Dropdown!$A$2:$D$4,4,FALSE)</f>
        <v>X</v>
      </c>
      <c r="I20" s="42" t="str">
        <f>VLOOKUP(Tabelle2834[[#This Row],[2012]],Dropdown!$A$2:$D$4,4,FALSE)</f>
        <v>-</v>
      </c>
      <c r="J20" s="42" t="str">
        <f>VLOOKUP(Tabelle2834[[#This Row],[2013]],Dropdown!$A$2:$D$4,4,FALSE)</f>
        <v>-</v>
      </c>
      <c r="K20" s="42" t="str">
        <f>VLOOKUP(Tabelle2834[[#This Row],[2014]],Dropdown!$A$2:$D$4,4,FALSE)</f>
        <v>-</v>
      </c>
      <c r="L20" s="42" t="str">
        <f>VLOOKUP(Tabelle2834[[#This Row],[2015]],Dropdown!$A$2:$D$4,4,FALSE)</f>
        <v>-</v>
      </c>
      <c r="M20" s="42" t="str">
        <f>VLOOKUP(Tabelle2834[[#This Row],[2016]],Dropdown!$A$2:$D$4,4,FALSE)</f>
        <v>-</v>
      </c>
      <c r="N20" s="42" t="str">
        <f>VLOOKUP(Tabelle2834[[#This Row],[2017]],Dropdown!$A$2:$D$4,4,FALSE)</f>
        <v>-</v>
      </c>
      <c r="O20" s="42" t="str">
        <f>VLOOKUP(Tabelle2834[[#This Row],[2018]],Dropdown!$A$2:$D$4,4,FALSE)</f>
        <v>-</v>
      </c>
      <c r="P20" s="42" t="str">
        <f>VLOOKUP(Tabelle2834[[#This Row],[2019]],Dropdown!$A$2:$D$4,4,FALSE)</f>
        <v>-</v>
      </c>
      <c r="Q20" s="42" t="str">
        <f>VLOOKUP(Tabelle2834[[#This Row],[2020]],Dropdown!$A$2:$D$4,4,FALSE)</f>
        <v>-</v>
      </c>
      <c r="R20" s="42" t="str">
        <f>VLOOKUP(Tabelle2834[[#This Row],[nicht spezifiziert]],Dropdown!$A$2:$D$4,4,FALSE)</f>
        <v>-</v>
      </c>
    </row>
    <row r="21" spans="1:18" ht="38.25" x14ac:dyDescent="0.25">
      <c r="A21" s="6" t="s">
        <v>832</v>
      </c>
      <c r="B21" s="42" t="str">
        <f>VLOOKUP(Tabelle2834[[#This Row],[2005]],Dropdown!$A$2:$D$4,4,FALSE)</f>
        <v>-</v>
      </c>
      <c r="C21" s="42" t="str">
        <f>VLOOKUP(Tabelle2834[[#This Row],[2006]],Dropdown!$A$2:$D$4,4,FALSE)</f>
        <v>-</v>
      </c>
      <c r="D21" s="42" t="str">
        <f>VLOOKUP(Tabelle2834[[#This Row],[2007]],Dropdown!$A$2:$D$4,4,FALSE)</f>
        <v>-</v>
      </c>
      <c r="E21" s="42" t="str">
        <f>VLOOKUP(Tabelle2834[[#This Row],[2008]],Dropdown!$A$2:$D$4,4,FALSE)</f>
        <v>-</v>
      </c>
      <c r="F21" s="42" t="str">
        <f>VLOOKUP(Tabelle2834[[#This Row],[2009]],Dropdown!$A$2:$D$4,4,FALSE)</f>
        <v>-</v>
      </c>
      <c r="G21" s="42" t="str">
        <f>VLOOKUP(Tabelle2834[[#This Row],[2010]],Dropdown!$A$2:$D$4,4,FALSE)</f>
        <v>-</v>
      </c>
      <c r="H21" s="42" t="str">
        <f>VLOOKUP(Tabelle2834[[#This Row],[2011]],Dropdown!$A$2:$D$4,4,FALSE)</f>
        <v>-</v>
      </c>
      <c r="I21" s="42" t="str">
        <f>VLOOKUP(Tabelle2834[[#This Row],[2012]],Dropdown!$A$2:$D$4,4,FALSE)</f>
        <v>-</v>
      </c>
      <c r="J21" s="42" t="str">
        <f>VLOOKUP(Tabelle2834[[#This Row],[2013]],Dropdown!$A$2:$D$4,4,FALSE)</f>
        <v>-</v>
      </c>
      <c r="K21" s="42" t="str">
        <f>VLOOKUP(Tabelle2834[[#This Row],[2014]],Dropdown!$A$2:$D$4,4,FALSE)</f>
        <v>-</v>
      </c>
      <c r="L21" s="42" t="str">
        <f>VLOOKUP(Tabelle2834[[#This Row],[2015]],Dropdown!$A$2:$D$4,4,FALSE)</f>
        <v>X</v>
      </c>
      <c r="M21" s="42" t="str">
        <f>VLOOKUP(Tabelle2834[[#This Row],[2016]],Dropdown!$A$2:$D$4,4,FALSE)</f>
        <v>-</v>
      </c>
      <c r="N21" s="42" t="str">
        <f>VLOOKUP(Tabelle2834[[#This Row],[2017]],Dropdown!$A$2:$D$4,4,FALSE)</f>
        <v>-</v>
      </c>
      <c r="O21" s="42" t="str">
        <f>VLOOKUP(Tabelle2834[[#This Row],[2018]],Dropdown!$A$2:$D$4,4,FALSE)</f>
        <v>-</v>
      </c>
      <c r="P21" s="42" t="str">
        <f>VLOOKUP(Tabelle2834[[#This Row],[2019]],Dropdown!$A$2:$D$4,4,FALSE)</f>
        <v>-</v>
      </c>
      <c r="Q21" s="42" t="str">
        <f>VLOOKUP(Tabelle2834[[#This Row],[2020]],Dropdown!$A$2:$D$4,4,FALSE)</f>
        <v>-</v>
      </c>
      <c r="R21" s="42" t="str">
        <f>VLOOKUP(Tabelle2834[[#This Row],[nicht spezifiziert]],Dropdown!$A$2:$D$4,4,FALSE)</f>
        <v>-</v>
      </c>
    </row>
    <row r="22" spans="1:18" x14ac:dyDescent="0.25">
      <c r="A22" s="6" t="s">
        <v>16</v>
      </c>
      <c r="B22" s="42" t="str">
        <f>VLOOKUP(Tabelle2834[[#This Row],[2005]],Dropdown!$A$2:$D$4,4,FALSE)</f>
        <v>-</v>
      </c>
      <c r="C22" s="42" t="str">
        <f>VLOOKUP(Tabelle2834[[#This Row],[2006]],Dropdown!$A$2:$D$4,4,FALSE)</f>
        <v>-</v>
      </c>
      <c r="D22" s="42" t="str">
        <f>VLOOKUP(Tabelle2834[[#This Row],[2007]],Dropdown!$A$2:$D$4,4,FALSE)</f>
        <v>-</v>
      </c>
      <c r="E22" s="42" t="str">
        <f>VLOOKUP(Tabelle2834[[#This Row],[2008]],Dropdown!$A$2:$D$4,4,FALSE)</f>
        <v>-</v>
      </c>
      <c r="F22" s="42" t="str">
        <f>VLOOKUP(Tabelle2834[[#This Row],[2009]],Dropdown!$A$2:$D$4,4,FALSE)</f>
        <v>-</v>
      </c>
      <c r="G22" s="42" t="str">
        <f>VLOOKUP(Tabelle2834[[#This Row],[2010]],Dropdown!$A$2:$D$4,4,FALSE)</f>
        <v>-</v>
      </c>
      <c r="H22" s="42" t="str">
        <f>VLOOKUP(Tabelle2834[[#This Row],[2011]],Dropdown!$A$2:$D$4,4,FALSE)</f>
        <v>-</v>
      </c>
      <c r="I22" s="42" t="str">
        <f>VLOOKUP(Tabelle2834[[#This Row],[2012]],Dropdown!$A$2:$D$4,4,FALSE)</f>
        <v>-</v>
      </c>
      <c r="J22" s="42" t="str">
        <f>VLOOKUP(Tabelle2834[[#This Row],[2013]],Dropdown!$A$2:$D$4,4,FALSE)</f>
        <v>-</v>
      </c>
      <c r="K22" s="42" t="str">
        <f>VLOOKUP(Tabelle2834[[#This Row],[2014]],Dropdown!$A$2:$D$4,4,FALSE)</f>
        <v>X</v>
      </c>
      <c r="L22" s="42" t="str">
        <f>VLOOKUP(Tabelle2834[[#This Row],[2015]],Dropdown!$A$2:$D$4,4,FALSE)</f>
        <v>-</v>
      </c>
      <c r="M22" s="42" t="str">
        <f>VLOOKUP(Tabelle2834[[#This Row],[2016]],Dropdown!$A$2:$D$4,4,FALSE)</f>
        <v>-</v>
      </c>
      <c r="N22" s="42" t="str">
        <f>VLOOKUP(Tabelle2834[[#This Row],[2017]],Dropdown!$A$2:$D$4,4,FALSE)</f>
        <v>-</v>
      </c>
      <c r="O22" s="42" t="str">
        <f>VLOOKUP(Tabelle2834[[#This Row],[2018]],Dropdown!$A$2:$D$4,4,FALSE)</f>
        <v>-</v>
      </c>
      <c r="P22" s="42" t="str">
        <f>VLOOKUP(Tabelle2834[[#This Row],[2019]],Dropdown!$A$2:$D$4,4,FALSE)</f>
        <v>-</v>
      </c>
      <c r="Q22" s="42" t="str">
        <f>VLOOKUP(Tabelle2834[[#This Row],[2020]],Dropdown!$A$2:$D$4,4,FALSE)</f>
        <v>-</v>
      </c>
      <c r="R22" s="42" t="str">
        <f>VLOOKUP(Tabelle2834[[#This Row],[nicht spezifiziert]],Dropdown!$A$2:$D$4,4,FALSE)</f>
        <v>-</v>
      </c>
    </row>
    <row r="23" spans="1:18" ht="25.5" x14ac:dyDescent="0.25">
      <c r="A23" s="6" t="s">
        <v>7</v>
      </c>
      <c r="B23" s="42" t="str">
        <f>VLOOKUP(Tabelle2834[[#This Row],[2005]],Dropdown!$A$2:$D$4,4,FALSE)</f>
        <v>-</v>
      </c>
      <c r="C23" s="42" t="str">
        <f>VLOOKUP(Tabelle2834[[#This Row],[2006]],Dropdown!$A$2:$D$4,4,FALSE)</f>
        <v>-</v>
      </c>
      <c r="D23" s="42" t="str">
        <f>VLOOKUP(Tabelle2834[[#This Row],[2007]],Dropdown!$A$2:$D$4,4,FALSE)</f>
        <v>-</v>
      </c>
      <c r="E23" s="42" t="str">
        <f>VLOOKUP(Tabelle2834[[#This Row],[2008]],Dropdown!$A$2:$D$4,4,FALSE)</f>
        <v>-</v>
      </c>
      <c r="F23" s="42" t="str">
        <f>VLOOKUP(Tabelle2834[[#This Row],[2009]],Dropdown!$A$2:$D$4,4,FALSE)</f>
        <v>-</v>
      </c>
      <c r="G23" s="42" t="str">
        <f>VLOOKUP(Tabelle2834[[#This Row],[2010]],Dropdown!$A$2:$D$4,4,FALSE)</f>
        <v>X</v>
      </c>
      <c r="H23" s="42" t="str">
        <f>VLOOKUP(Tabelle2834[[#This Row],[2011]],Dropdown!$A$2:$D$4,4,FALSE)</f>
        <v>-</v>
      </c>
      <c r="I23" s="42" t="str">
        <f>VLOOKUP(Tabelle2834[[#This Row],[2012]],Dropdown!$A$2:$D$4,4,FALSE)</f>
        <v>-</v>
      </c>
      <c r="J23" s="42" t="str">
        <f>VLOOKUP(Tabelle2834[[#This Row],[2013]],Dropdown!$A$2:$D$4,4,FALSE)</f>
        <v>-</v>
      </c>
      <c r="K23" s="42" t="str">
        <f>VLOOKUP(Tabelle2834[[#This Row],[2014]],Dropdown!$A$2:$D$4,4,FALSE)</f>
        <v>-</v>
      </c>
      <c r="L23" s="42" t="str">
        <f>VLOOKUP(Tabelle2834[[#This Row],[2015]],Dropdown!$A$2:$D$4,4,FALSE)</f>
        <v>-</v>
      </c>
      <c r="M23" s="42" t="str">
        <f>VLOOKUP(Tabelle2834[[#This Row],[2016]],Dropdown!$A$2:$D$4,4,FALSE)</f>
        <v>-</v>
      </c>
      <c r="N23" s="42" t="str">
        <f>VLOOKUP(Tabelle2834[[#This Row],[2017]],Dropdown!$A$2:$D$4,4,FALSE)</f>
        <v>-</v>
      </c>
      <c r="O23" s="42" t="str">
        <f>VLOOKUP(Tabelle2834[[#This Row],[2018]],Dropdown!$A$2:$D$4,4,FALSE)</f>
        <v>-</v>
      </c>
      <c r="P23" s="42" t="str">
        <f>VLOOKUP(Tabelle2834[[#This Row],[2019]],Dropdown!$A$2:$D$4,4,FALSE)</f>
        <v>-</v>
      </c>
      <c r="Q23" s="42" t="str">
        <f>VLOOKUP(Tabelle2834[[#This Row],[2020]],Dropdown!$A$2:$D$4,4,FALSE)</f>
        <v>-</v>
      </c>
      <c r="R23" s="42" t="str">
        <f>VLOOKUP(Tabelle2834[[#This Row],[nicht spezifiziert]],Dropdown!$A$2:$D$4,4,FALSE)</f>
        <v>-</v>
      </c>
    </row>
    <row r="24" spans="1:18" ht="25.5" x14ac:dyDescent="0.25">
      <c r="A24" s="6" t="s">
        <v>18</v>
      </c>
      <c r="B24" s="42" t="str">
        <f>VLOOKUP(Tabelle2834[[#This Row],[2005]],Dropdown!$A$2:$D$4,4,FALSE)</f>
        <v>-</v>
      </c>
      <c r="C24" s="42" t="str">
        <f>VLOOKUP(Tabelle2834[[#This Row],[2006]],Dropdown!$A$2:$D$4,4,FALSE)</f>
        <v>-</v>
      </c>
      <c r="D24" s="42" t="str">
        <f>VLOOKUP(Tabelle2834[[#This Row],[2007]],Dropdown!$A$2:$D$4,4,FALSE)</f>
        <v>-</v>
      </c>
      <c r="E24" s="42" t="str">
        <f>VLOOKUP(Tabelle2834[[#This Row],[2008]],Dropdown!$A$2:$D$4,4,FALSE)</f>
        <v>-</v>
      </c>
      <c r="F24" s="42" t="str">
        <f>VLOOKUP(Tabelle2834[[#This Row],[2009]],Dropdown!$A$2:$D$4,4,FALSE)</f>
        <v>-</v>
      </c>
      <c r="G24" s="42" t="str">
        <f>VLOOKUP(Tabelle2834[[#This Row],[2010]],Dropdown!$A$2:$D$4,4,FALSE)</f>
        <v>X</v>
      </c>
      <c r="H24" s="42" t="str">
        <f>VLOOKUP(Tabelle2834[[#This Row],[2011]],Dropdown!$A$2:$D$4,4,FALSE)</f>
        <v>-</v>
      </c>
      <c r="I24" s="42" t="str">
        <f>VLOOKUP(Tabelle2834[[#This Row],[2012]],Dropdown!$A$2:$D$4,4,FALSE)</f>
        <v>-</v>
      </c>
      <c r="J24" s="42" t="str">
        <f>VLOOKUP(Tabelle2834[[#This Row],[2013]],Dropdown!$A$2:$D$4,4,FALSE)</f>
        <v>-</v>
      </c>
      <c r="K24" s="42" t="str">
        <f>VLOOKUP(Tabelle2834[[#This Row],[2014]],Dropdown!$A$2:$D$4,4,FALSE)</f>
        <v>-</v>
      </c>
      <c r="L24" s="42" t="str">
        <f>VLOOKUP(Tabelle2834[[#This Row],[2015]],Dropdown!$A$2:$D$4,4,FALSE)</f>
        <v>-</v>
      </c>
      <c r="M24" s="42" t="str">
        <f>VLOOKUP(Tabelle2834[[#This Row],[2016]],Dropdown!$A$2:$D$4,4,FALSE)</f>
        <v>-</v>
      </c>
      <c r="N24" s="42" t="str">
        <f>VLOOKUP(Tabelle2834[[#This Row],[2017]],Dropdown!$A$2:$D$4,4,FALSE)</f>
        <v>-</v>
      </c>
      <c r="O24" s="42" t="str">
        <f>VLOOKUP(Tabelle2834[[#This Row],[2018]],Dropdown!$A$2:$D$4,4,FALSE)</f>
        <v>-</v>
      </c>
      <c r="P24" s="42" t="str">
        <f>VLOOKUP(Tabelle2834[[#This Row],[2019]],Dropdown!$A$2:$D$4,4,FALSE)</f>
        <v>-</v>
      </c>
      <c r="Q24" s="42" t="str">
        <f>VLOOKUP(Tabelle2834[[#This Row],[2020]],Dropdown!$A$2:$D$4,4,FALSE)</f>
        <v>-</v>
      </c>
      <c r="R24" s="42" t="str">
        <f>VLOOKUP(Tabelle2834[[#This Row],[nicht spezifiziert]],Dropdown!$A$2:$D$4,4,FALSE)</f>
        <v>-</v>
      </c>
    </row>
    <row r="25" spans="1:18" x14ac:dyDescent="0.25">
      <c r="A25" s="6" t="s">
        <v>338</v>
      </c>
      <c r="B25" s="42" t="str">
        <f>VLOOKUP(Tabelle2834[[#This Row],[2005]],Dropdown!$A$2:$D$4,4,FALSE)</f>
        <v>-</v>
      </c>
      <c r="C25" s="42" t="str">
        <f>VLOOKUP(Tabelle2834[[#This Row],[2006]],Dropdown!$A$2:$D$4,4,FALSE)</f>
        <v>-</v>
      </c>
      <c r="D25" s="42" t="str">
        <f>VLOOKUP(Tabelle2834[[#This Row],[2007]],Dropdown!$A$2:$D$4,4,FALSE)</f>
        <v>-</v>
      </c>
      <c r="E25" s="42" t="str">
        <f>VLOOKUP(Tabelle2834[[#This Row],[2008]],Dropdown!$A$2:$D$4,4,FALSE)</f>
        <v>-</v>
      </c>
      <c r="F25" s="42" t="str">
        <f>VLOOKUP(Tabelle2834[[#This Row],[2009]],Dropdown!$A$2:$D$4,4,FALSE)</f>
        <v>-</v>
      </c>
      <c r="G25" s="42" t="str">
        <f>VLOOKUP(Tabelle2834[[#This Row],[2010]],Dropdown!$A$2:$D$4,4,FALSE)</f>
        <v>-</v>
      </c>
      <c r="H25" s="42" t="str">
        <f>VLOOKUP(Tabelle2834[[#This Row],[2011]],Dropdown!$A$2:$D$4,4,FALSE)</f>
        <v>-</v>
      </c>
      <c r="I25" s="42" t="str">
        <f>VLOOKUP(Tabelle2834[[#This Row],[2012]],Dropdown!$A$2:$D$4,4,FALSE)</f>
        <v>-</v>
      </c>
      <c r="J25" s="42" t="str">
        <f>VLOOKUP(Tabelle2834[[#This Row],[2013]],Dropdown!$A$2:$D$4,4,FALSE)</f>
        <v>-</v>
      </c>
      <c r="K25" s="42" t="str">
        <f>VLOOKUP(Tabelle2834[[#This Row],[2014]],Dropdown!$A$2:$D$4,4,FALSE)</f>
        <v>-</v>
      </c>
      <c r="L25" s="42" t="str">
        <f>VLOOKUP(Tabelle2834[[#This Row],[2015]],Dropdown!$A$2:$D$4,4,FALSE)</f>
        <v>-</v>
      </c>
      <c r="M25" s="42" t="str">
        <f>VLOOKUP(Tabelle2834[[#This Row],[2016]],Dropdown!$A$2:$D$4,4,FALSE)</f>
        <v>-</v>
      </c>
      <c r="N25" s="42" t="str">
        <f>VLOOKUP(Tabelle2834[[#This Row],[2017]],Dropdown!$A$2:$D$4,4,FALSE)</f>
        <v>-</v>
      </c>
      <c r="O25" s="42" t="str">
        <f>VLOOKUP(Tabelle2834[[#This Row],[2018]],Dropdown!$A$2:$D$4,4,FALSE)</f>
        <v>-</v>
      </c>
      <c r="P25" s="42" t="str">
        <f>VLOOKUP(Tabelle2834[[#This Row],[2019]],Dropdown!$A$2:$D$4,4,FALSE)</f>
        <v>-</v>
      </c>
      <c r="Q25" s="42" t="str">
        <f>VLOOKUP(Tabelle2834[[#This Row],[2020]],Dropdown!$A$2:$D$4,4,FALSE)</f>
        <v>-</v>
      </c>
      <c r="R25" s="42" t="str">
        <f>VLOOKUP(Tabelle2834[[#This Row],[nicht spezifiziert]],Dropdown!$A$2:$D$4,4,FALSE)</f>
        <v>X</v>
      </c>
    </row>
    <row r="26" spans="1:18" ht="38.25" x14ac:dyDescent="0.25">
      <c r="A26" s="6" t="s">
        <v>351</v>
      </c>
      <c r="B26" s="42" t="str">
        <f>VLOOKUP(Tabelle2834[[#This Row],[2005]],Dropdown!$A$2:$D$4,4,FALSE)</f>
        <v>-</v>
      </c>
      <c r="C26" s="42" t="str">
        <f>VLOOKUP(Tabelle2834[[#This Row],[2006]],Dropdown!$A$2:$D$4,4,FALSE)</f>
        <v>-</v>
      </c>
      <c r="D26" s="42" t="str">
        <f>VLOOKUP(Tabelle2834[[#This Row],[2007]],Dropdown!$A$2:$D$4,4,FALSE)</f>
        <v>-</v>
      </c>
      <c r="E26" s="42" t="str">
        <f>VLOOKUP(Tabelle2834[[#This Row],[2008]],Dropdown!$A$2:$D$4,4,FALSE)</f>
        <v>-</v>
      </c>
      <c r="F26" s="42" t="str">
        <f>VLOOKUP(Tabelle2834[[#This Row],[2009]],Dropdown!$A$2:$D$4,4,FALSE)</f>
        <v>-</v>
      </c>
      <c r="G26" s="42" t="str">
        <f>VLOOKUP(Tabelle2834[[#This Row],[2010]],Dropdown!$A$2:$D$4,4,FALSE)</f>
        <v>-</v>
      </c>
      <c r="H26" s="42" t="str">
        <f>VLOOKUP(Tabelle2834[[#This Row],[2011]],Dropdown!$A$2:$D$4,4,FALSE)</f>
        <v>-</v>
      </c>
      <c r="I26" s="42" t="str">
        <f>VLOOKUP(Tabelle2834[[#This Row],[2012]],Dropdown!$A$2:$D$4,4,FALSE)</f>
        <v>-</v>
      </c>
      <c r="J26" s="42" t="str">
        <f>VLOOKUP(Tabelle2834[[#This Row],[2013]],Dropdown!$A$2:$D$4,4,FALSE)</f>
        <v>-</v>
      </c>
      <c r="K26" s="42" t="str">
        <f>VLOOKUP(Tabelle2834[[#This Row],[2014]],Dropdown!$A$2:$D$4,4,FALSE)</f>
        <v>-</v>
      </c>
      <c r="L26" s="42" t="str">
        <f>VLOOKUP(Tabelle2834[[#This Row],[2015]],Dropdown!$A$2:$D$4,4,FALSE)</f>
        <v>X</v>
      </c>
      <c r="M26" s="42" t="str">
        <f>VLOOKUP(Tabelle2834[[#This Row],[2016]],Dropdown!$A$2:$D$4,4,FALSE)</f>
        <v>-</v>
      </c>
      <c r="N26" s="42" t="str">
        <f>VLOOKUP(Tabelle2834[[#This Row],[2017]],Dropdown!$A$2:$D$4,4,FALSE)</f>
        <v>-</v>
      </c>
      <c r="O26" s="42" t="str">
        <f>VLOOKUP(Tabelle2834[[#This Row],[2018]],Dropdown!$A$2:$D$4,4,FALSE)</f>
        <v>-</v>
      </c>
      <c r="P26" s="42" t="str">
        <f>VLOOKUP(Tabelle2834[[#This Row],[2019]],Dropdown!$A$2:$D$4,4,FALSE)</f>
        <v>-</v>
      </c>
      <c r="Q26" s="42" t="str">
        <f>VLOOKUP(Tabelle2834[[#This Row],[2020]],Dropdown!$A$2:$D$4,4,FALSE)</f>
        <v>-</v>
      </c>
      <c r="R26" s="42" t="str">
        <f>VLOOKUP(Tabelle2834[[#This Row],[nicht spezifiziert]],Dropdown!$A$2:$D$4,4,FALSE)</f>
        <v>-</v>
      </c>
    </row>
    <row r="27" spans="1:18" ht="51" x14ac:dyDescent="0.25">
      <c r="A27" s="6" t="s">
        <v>24</v>
      </c>
      <c r="B27" s="42" t="str">
        <f>VLOOKUP(Tabelle2834[[#This Row],[2005]],Dropdown!$A$2:$D$4,4,FALSE)</f>
        <v>-</v>
      </c>
      <c r="C27" s="42" t="str">
        <f>VLOOKUP(Tabelle2834[[#This Row],[2006]],Dropdown!$A$2:$D$4,4,FALSE)</f>
        <v>-</v>
      </c>
      <c r="D27" s="42" t="str">
        <f>VLOOKUP(Tabelle2834[[#This Row],[2007]],Dropdown!$A$2:$D$4,4,FALSE)</f>
        <v>-</v>
      </c>
      <c r="E27" s="42" t="str">
        <f>VLOOKUP(Tabelle2834[[#This Row],[2008]],Dropdown!$A$2:$D$4,4,FALSE)</f>
        <v>-</v>
      </c>
      <c r="F27" s="42" t="str">
        <f>VLOOKUP(Tabelle2834[[#This Row],[2009]],Dropdown!$A$2:$D$4,4,FALSE)</f>
        <v>-</v>
      </c>
      <c r="G27" s="42" t="str">
        <f>VLOOKUP(Tabelle2834[[#This Row],[2010]],Dropdown!$A$2:$D$4,4,FALSE)</f>
        <v>-</v>
      </c>
      <c r="H27" s="42" t="str">
        <f>VLOOKUP(Tabelle2834[[#This Row],[2011]],Dropdown!$A$2:$D$4,4,FALSE)</f>
        <v>-</v>
      </c>
      <c r="I27" s="42" t="str">
        <f>VLOOKUP(Tabelle2834[[#This Row],[2012]],Dropdown!$A$2:$D$4,4,FALSE)</f>
        <v>X</v>
      </c>
      <c r="J27" s="42" t="str">
        <f>VLOOKUP(Tabelle2834[[#This Row],[2013]],Dropdown!$A$2:$D$4,4,FALSE)</f>
        <v>-</v>
      </c>
      <c r="K27" s="42" t="str">
        <f>VLOOKUP(Tabelle2834[[#This Row],[2014]],Dropdown!$A$2:$D$4,4,FALSE)</f>
        <v>-</v>
      </c>
      <c r="L27" s="42" t="str">
        <f>VLOOKUP(Tabelle2834[[#This Row],[2015]],Dropdown!$A$2:$D$4,4,FALSE)</f>
        <v>-</v>
      </c>
      <c r="M27" s="42" t="str">
        <f>VLOOKUP(Tabelle2834[[#This Row],[2016]],Dropdown!$A$2:$D$4,4,FALSE)</f>
        <v>-</v>
      </c>
      <c r="N27" s="42" t="str">
        <f>VLOOKUP(Tabelle2834[[#This Row],[2017]],Dropdown!$A$2:$D$4,4,FALSE)</f>
        <v>-</v>
      </c>
      <c r="O27" s="42" t="str">
        <f>VLOOKUP(Tabelle2834[[#This Row],[2018]],Dropdown!$A$2:$D$4,4,FALSE)</f>
        <v>-</v>
      </c>
      <c r="P27" s="42" t="str">
        <f>VLOOKUP(Tabelle2834[[#This Row],[2019]],Dropdown!$A$2:$D$4,4,FALSE)</f>
        <v>-</v>
      </c>
      <c r="Q27" s="42" t="str">
        <f>VLOOKUP(Tabelle2834[[#This Row],[2020]],Dropdown!$A$2:$D$4,4,FALSE)</f>
        <v>-</v>
      </c>
      <c r="R27" s="42" t="str">
        <f>VLOOKUP(Tabelle2834[[#This Row],[nicht spezifiziert]],Dropdown!$A$2:$D$4,4,FALSE)</f>
        <v>-</v>
      </c>
    </row>
    <row r="28" spans="1:18" x14ac:dyDescent="0.25">
      <c r="A28" s="6" t="s">
        <v>854</v>
      </c>
      <c r="B28" s="72">
        <f>Tabelle2834[[#This Row],[2005]]</f>
        <v>1</v>
      </c>
      <c r="C28" s="72">
        <f>Tabelle2834[[#This Row],[2006]]</f>
        <v>0</v>
      </c>
      <c r="D28" s="72">
        <f>Tabelle2834[[#This Row],[2007]]</f>
        <v>0</v>
      </c>
      <c r="E28" s="72">
        <f>Tabelle2834[[#This Row],[2008]]</f>
        <v>0</v>
      </c>
      <c r="F28" s="72">
        <f>Tabelle2834[[#This Row],[2009]]</f>
        <v>0</v>
      </c>
      <c r="G28" s="72">
        <f>Tabelle2834[[#This Row],[2010]]</f>
        <v>6</v>
      </c>
      <c r="H28" s="72">
        <f>Tabelle2834[[#This Row],[2011]]</f>
        <v>3</v>
      </c>
      <c r="I28" s="72">
        <f>Tabelle2834[[#This Row],[2012]]</f>
        <v>2</v>
      </c>
      <c r="J28" s="72">
        <f>Tabelle2834[[#This Row],[2013]]</f>
        <v>3</v>
      </c>
      <c r="K28" s="72">
        <f>Tabelle2834[[#This Row],[2014]]</f>
        <v>1</v>
      </c>
      <c r="L28" s="72">
        <f>Tabelle2834[[#This Row],[2015]]</f>
        <v>4</v>
      </c>
      <c r="M28" s="72">
        <f>Tabelle2834[[#This Row],[2016]]</f>
        <v>0</v>
      </c>
      <c r="N28" s="72">
        <f>Tabelle2834[[#This Row],[2017]]</f>
        <v>0</v>
      </c>
      <c r="O28" s="72">
        <f>Tabelle2834[[#This Row],[2018]]</f>
        <v>0</v>
      </c>
      <c r="P28" s="72">
        <f>Tabelle2834[[#This Row],[2019]]</f>
        <v>0</v>
      </c>
      <c r="Q28" s="72">
        <f>Tabelle2834[[#This Row],[2020]]</f>
        <v>1</v>
      </c>
      <c r="R28" s="72">
        <f>Tabelle2834[[#This Row],[nicht spezifiziert]]</f>
        <v>4</v>
      </c>
    </row>
  </sheetData>
  <pageMargins left="0.7" right="0.7" top="0.78740157499999996" bottom="0.78740157499999996" header="0.3" footer="0.3"/>
  <tableParts count="1">
    <tablePart r:id="rId1"/>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83C0C-47C3-432C-94FE-CEB0DEF5BCDA}">
  <sheetPr codeName="Tabelle58">
    <tabColor theme="9" tint="-0.249977111117893"/>
  </sheetPr>
  <dimension ref="A1:R28"/>
  <sheetViews>
    <sheetView topLeftCell="C5" workbookViewId="0">
      <selection activeCell="S33" sqref="S33"/>
    </sheetView>
  </sheetViews>
  <sheetFormatPr baseColWidth="10" defaultRowHeight="15.75" x14ac:dyDescent="0.25"/>
  <cols>
    <col min="1" max="1" width="13.5" customWidth="1"/>
    <col min="2" max="18" width="5.875" customWidth="1"/>
  </cols>
  <sheetData>
    <row r="1" spans="1:18" ht="25.5" hidden="1" x14ac:dyDescent="0.25">
      <c r="A1" s="64" t="s">
        <v>86</v>
      </c>
      <c r="B1" s="64"/>
      <c r="C1" s="64"/>
      <c r="D1" s="64"/>
      <c r="E1" s="64"/>
      <c r="F1" s="64"/>
      <c r="G1" s="64" t="s">
        <v>2</v>
      </c>
      <c r="H1" s="64" t="s">
        <v>2</v>
      </c>
      <c r="I1" s="64" t="s">
        <v>2</v>
      </c>
      <c r="J1" s="64" t="s">
        <v>2</v>
      </c>
      <c r="K1" s="64" t="s">
        <v>2</v>
      </c>
      <c r="L1" s="64" t="s">
        <v>2</v>
      </c>
      <c r="M1" s="64" t="s">
        <v>2</v>
      </c>
      <c r="N1" s="64" t="s">
        <v>2</v>
      </c>
      <c r="O1" s="64" t="s">
        <v>2</v>
      </c>
      <c r="P1" s="64" t="s">
        <v>2</v>
      </c>
      <c r="Q1" s="64" t="s">
        <v>2</v>
      </c>
      <c r="R1" s="64" t="s">
        <v>2</v>
      </c>
    </row>
    <row r="2" spans="1:18" ht="134.25" customHeight="1" x14ac:dyDescent="0.25">
      <c r="A2" s="65" t="s">
        <v>1</v>
      </c>
      <c r="B2" s="68" t="s">
        <v>1185</v>
      </c>
      <c r="C2" s="68" t="s">
        <v>1186</v>
      </c>
      <c r="D2" s="68" t="s">
        <v>1187</v>
      </c>
      <c r="E2" s="68" t="s">
        <v>1188</v>
      </c>
      <c r="F2" s="68" t="s">
        <v>1189</v>
      </c>
      <c r="G2" s="68" t="s">
        <v>1174</v>
      </c>
      <c r="H2" s="68" t="s">
        <v>1175</v>
      </c>
      <c r="I2" s="68" t="s">
        <v>1176</v>
      </c>
      <c r="J2" s="68" t="s">
        <v>1177</v>
      </c>
      <c r="K2" s="68" t="s">
        <v>1178</v>
      </c>
      <c r="L2" s="71" t="s">
        <v>1179</v>
      </c>
      <c r="M2" s="71" t="s">
        <v>1180</v>
      </c>
      <c r="N2" s="71" t="s">
        <v>1181</v>
      </c>
      <c r="O2" s="71" t="s">
        <v>1182</v>
      </c>
      <c r="P2" s="71" t="s">
        <v>1183</v>
      </c>
      <c r="Q2" s="71" t="s">
        <v>1171</v>
      </c>
      <c r="R2" s="71" t="s">
        <v>1184</v>
      </c>
    </row>
    <row r="3" spans="1:18" x14ac:dyDescent="0.25">
      <c r="A3" s="6">
        <v>1</v>
      </c>
      <c r="B3" s="42" t="str">
        <f>VLOOKUP(Tabelle2834[[#This Row],[2005]],Dropdown!$A$2:$D$4,4,FALSE)</f>
        <v>-</v>
      </c>
      <c r="C3" s="42" t="str">
        <f>VLOOKUP(Tabelle2834[[#This Row],[2006]],Dropdown!$A$2:$D$4,4,FALSE)</f>
        <v>-</v>
      </c>
      <c r="D3" s="42" t="str">
        <f>VLOOKUP(Tabelle2834[[#This Row],[2007]],Dropdown!$A$2:$D$4,4,FALSE)</f>
        <v>-</v>
      </c>
      <c r="E3" s="42" t="str">
        <f>VLOOKUP(Tabelle2834[[#This Row],[2008]],Dropdown!$A$2:$D$4,4,FALSE)</f>
        <v>-</v>
      </c>
      <c r="F3" s="42" t="str">
        <f>VLOOKUP(Tabelle2834[[#This Row],[2009]],Dropdown!$A$2:$D$4,4,FALSE)</f>
        <v>-</v>
      </c>
      <c r="G3" s="42" t="str">
        <f>VLOOKUP(Tabelle2834[[#This Row],[2010]],Dropdown!$A$2:$D$4,4,FALSE)</f>
        <v>X</v>
      </c>
      <c r="H3" s="42" t="str">
        <f>VLOOKUP(Tabelle2834[[#This Row],[2011]],Dropdown!$A$2:$D$4,4,FALSE)</f>
        <v>-</v>
      </c>
      <c r="I3" s="42" t="str">
        <f>VLOOKUP(Tabelle2834[[#This Row],[2012]],Dropdown!$A$2:$D$4,4,FALSE)</f>
        <v>-</v>
      </c>
      <c r="J3" s="42" t="str">
        <f>VLOOKUP(Tabelle2834[[#This Row],[2013]],Dropdown!$A$2:$D$4,4,FALSE)</f>
        <v>-</v>
      </c>
      <c r="K3" s="42" t="str">
        <f>VLOOKUP(Tabelle2834[[#This Row],[2014]],Dropdown!$A$2:$D$4,4,FALSE)</f>
        <v>-</v>
      </c>
      <c r="L3" s="42" t="str">
        <f>VLOOKUP(Tabelle2834[[#This Row],[2015]],Dropdown!$A$2:$D$4,4,FALSE)</f>
        <v>-</v>
      </c>
      <c r="M3" s="42" t="str">
        <f>VLOOKUP(Tabelle2834[[#This Row],[2016]],Dropdown!$A$2:$D$4,4,FALSE)</f>
        <v>-</v>
      </c>
      <c r="N3" s="42" t="str">
        <f>VLOOKUP(Tabelle2834[[#This Row],[2017]],Dropdown!$A$2:$D$4,4,FALSE)</f>
        <v>-</v>
      </c>
      <c r="O3" s="42" t="str">
        <f>VLOOKUP(Tabelle2834[[#This Row],[2018]],Dropdown!$A$2:$D$4,4,FALSE)</f>
        <v>-</v>
      </c>
      <c r="P3" s="42" t="str">
        <f>VLOOKUP(Tabelle2834[[#This Row],[2019]],Dropdown!$A$2:$D$4,4,FALSE)</f>
        <v>-</v>
      </c>
      <c r="Q3" s="42" t="str">
        <f>VLOOKUP(Tabelle2834[[#This Row],[2020]],Dropdown!$A$2:$D$4,4,FALSE)</f>
        <v>-</v>
      </c>
      <c r="R3" s="42" t="str">
        <f>VLOOKUP(Tabelle2834[[#This Row],[nicht spezifiziert]],Dropdown!$A$2:$D$4,4,FALSE)</f>
        <v>-</v>
      </c>
    </row>
    <row r="4" spans="1:18" x14ac:dyDescent="0.25">
      <c r="A4" s="6">
        <v>2</v>
      </c>
      <c r="B4" s="42" t="str">
        <f>VLOOKUP(Tabelle2834[[#This Row],[2005]],Dropdown!$A$2:$D$4,4,FALSE)</f>
        <v>-</v>
      </c>
      <c r="C4" s="42" t="str">
        <f>VLOOKUP(Tabelle2834[[#This Row],[2006]],Dropdown!$A$2:$D$4,4,FALSE)</f>
        <v>-</v>
      </c>
      <c r="D4" s="42" t="str">
        <f>VLOOKUP(Tabelle2834[[#This Row],[2007]],Dropdown!$A$2:$D$4,4,FALSE)</f>
        <v>-</v>
      </c>
      <c r="E4" s="42" t="str">
        <f>VLOOKUP(Tabelle2834[[#This Row],[2008]],Dropdown!$A$2:$D$4,4,FALSE)</f>
        <v>-</v>
      </c>
      <c r="F4" s="42" t="str">
        <f>VLOOKUP(Tabelle2834[[#This Row],[2009]],Dropdown!$A$2:$D$4,4,FALSE)</f>
        <v>-</v>
      </c>
      <c r="G4" s="42" t="str">
        <f>VLOOKUP(Tabelle2834[[#This Row],[2010]],Dropdown!$A$2:$D$4,4,FALSE)</f>
        <v>-</v>
      </c>
      <c r="H4" s="42" t="str">
        <f>VLOOKUP(Tabelle2834[[#This Row],[2011]],Dropdown!$A$2:$D$4,4,FALSE)</f>
        <v>-</v>
      </c>
      <c r="I4" s="42" t="str">
        <f>VLOOKUP(Tabelle2834[[#This Row],[2012]],Dropdown!$A$2:$D$4,4,FALSE)</f>
        <v>-</v>
      </c>
      <c r="J4" s="42" t="str">
        <f>VLOOKUP(Tabelle2834[[#This Row],[2013]],Dropdown!$A$2:$D$4,4,FALSE)</f>
        <v>-</v>
      </c>
      <c r="K4" s="42" t="str">
        <f>VLOOKUP(Tabelle2834[[#This Row],[2014]],Dropdown!$A$2:$D$4,4,FALSE)</f>
        <v>-</v>
      </c>
      <c r="L4" s="42" t="str">
        <f>VLOOKUP(Tabelle2834[[#This Row],[2015]],Dropdown!$A$2:$D$4,4,FALSE)</f>
        <v>-</v>
      </c>
      <c r="M4" s="42" t="str">
        <f>VLOOKUP(Tabelle2834[[#This Row],[2016]],Dropdown!$A$2:$D$4,4,FALSE)</f>
        <v>-</v>
      </c>
      <c r="N4" s="42" t="str">
        <f>VLOOKUP(Tabelle2834[[#This Row],[2017]],Dropdown!$A$2:$D$4,4,FALSE)</f>
        <v>-</v>
      </c>
      <c r="O4" s="42" t="str">
        <f>VLOOKUP(Tabelle2834[[#This Row],[2018]],Dropdown!$A$2:$D$4,4,FALSE)</f>
        <v>-</v>
      </c>
      <c r="P4" s="42" t="str">
        <f>VLOOKUP(Tabelle2834[[#This Row],[2019]],Dropdown!$A$2:$D$4,4,FALSE)</f>
        <v>-</v>
      </c>
      <c r="Q4" s="42" t="str">
        <f>VLOOKUP(Tabelle2834[[#This Row],[2020]],Dropdown!$A$2:$D$4,4,FALSE)</f>
        <v>-</v>
      </c>
      <c r="R4" s="42" t="str">
        <f>VLOOKUP(Tabelle2834[[#This Row],[nicht spezifiziert]],Dropdown!$A$2:$D$4,4,FALSE)</f>
        <v>X</v>
      </c>
    </row>
    <row r="5" spans="1:18" x14ac:dyDescent="0.25">
      <c r="A5" s="6">
        <v>3</v>
      </c>
      <c r="B5" s="42" t="str">
        <f>VLOOKUP(Tabelle2834[[#This Row],[2005]],Dropdown!$A$2:$D$4,4,FALSE)</f>
        <v>-</v>
      </c>
      <c r="C5" s="42" t="str">
        <f>VLOOKUP(Tabelle2834[[#This Row],[2006]],Dropdown!$A$2:$D$4,4,FALSE)</f>
        <v>-</v>
      </c>
      <c r="D5" s="42" t="str">
        <f>VLOOKUP(Tabelle2834[[#This Row],[2007]],Dropdown!$A$2:$D$4,4,FALSE)</f>
        <v>-</v>
      </c>
      <c r="E5" s="42" t="str">
        <f>VLOOKUP(Tabelle2834[[#This Row],[2008]],Dropdown!$A$2:$D$4,4,FALSE)</f>
        <v>-</v>
      </c>
      <c r="F5" s="42" t="str">
        <f>VLOOKUP(Tabelle2834[[#This Row],[2009]],Dropdown!$A$2:$D$4,4,FALSE)</f>
        <v>-</v>
      </c>
      <c r="G5" s="42" t="str">
        <f>VLOOKUP(Tabelle2834[[#This Row],[2010]],Dropdown!$A$2:$D$4,4,FALSE)</f>
        <v>-</v>
      </c>
      <c r="H5" s="42" t="str">
        <f>VLOOKUP(Tabelle2834[[#This Row],[2011]],Dropdown!$A$2:$D$4,4,FALSE)</f>
        <v>X</v>
      </c>
      <c r="I5" s="42" t="str">
        <f>VLOOKUP(Tabelle2834[[#This Row],[2012]],Dropdown!$A$2:$D$4,4,FALSE)</f>
        <v>-</v>
      </c>
      <c r="J5" s="42" t="str">
        <f>VLOOKUP(Tabelle2834[[#This Row],[2013]],Dropdown!$A$2:$D$4,4,FALSE)</f>
        <v>-</v>
      </c>
      <c r="K5" s="42" t="str">
        <f>VLOOKUP(Tabelle2834[[#This Row],[2014]],Dropdown!$A$2:$D$4,4,FALSE)</f>
        <v>-</v>
      </c>
      <c r="L5" s="42" t="str">
        <f>VLOOKUP(Tabelle2834[[#This Row],[2015]],Dropdown!$A$2:$D$4,4,FALSE)</f>
        <v>-</v>
      </c>
      <c r="M5" s="42" t="str">
        <f>VLOOKUP(Tabelle2834[[#This Row],[2016]],Dropdown!$A$2:$D$4,4,FALSE)</f>
        <v>-</v>
      </c>
      <c r="N5" s="42" t="str">
        <f>VLOOKUP(Tabelle2834[[#This Row],[2017]],Dropdown!$A$2:$D$4,4,FALSE)</f>
        <v>-</v>
      </c>
      <c r="O5" s="42" t="str">
        <f>VLOOKUP(Tabelle2834[[#This Row],[2018]],Dropdown!$A$2:$D$4,4,FALSE)</f>
        <v>-</v>
      </c>
      <c r="P5" s="42" t="str">
        <f>VLOOKUP(Tabelle2834[[#This Row],[2019]],Dropdown!$A$2:$D$4,4,FALSE)</f>
        <v>-</v>
      </c>
      <c r="Q5" s="42" t="str">
        <f>VLOOKUP(Tabelle2834[[#This Row],[2020]],Dropdown!$A$2:$D$4,4,FALSE)</f>
        <v>-</v>
      </c>
      <c r="R5" s="42" t="str">
        <f>VLOOKUP(Tabelle2834[[#This Row],[nicht spezifiziert]],Dropdown!$A$2:$D$4,4,FALSE)</f>
        <v>-</v>
      </c>
    </row>
    <row r="6" spans="1:18" x14ac:dyDescent="0.25">
      <c r="A6" s="6">
        <v>4</v>
      </c>
      <c r="B6" s="42" t="str">
        <f>VLOOKUP(Tabelle2834[[#This Row],[2005]],Dropdown!$A$2:$D$4,4,FALSE)</f>
        <v>-</v>
      </c>
      <c r="C6" s="42" t="str">
        <f>VLOOKUP(Tabelle2834[[#This Row],[2006]],Dropdown!$A$2:$D$4,4,FALSE)</f>
        <v>-</v>
      </c>
      <c r="D6" s="42" t="str">
        <f>VLOOKUP(Tabelle2834[[#This Row],[2007]],Dropdown!$A$2:$D$4,4,FALSE)</f>
        <v>-</v>
      </c>
      <c r="E6" s="42" t="str">
        <f>VLOOKUP(Tabelle2834[[#This Row],[2008]],Dropdown!$A$2:$D$4,4,FALSE)</f>
        <v>-</v>
      </c>
      <c r="F6" s="42" t="str">
        <f>VLOOKUP(Tabelle2834[[#This Row],[2009]],Dropdown!$A$2:$D$4,4,FALSE)</f>
        <v>-</v>
      </c>
      <c r="G6" s="42" t="str">
        <f>VLOOKUP(Tabelle2834[[#This Row],[2010]],Dropdown!$A$2:$D$4,4,FALSE)</f>
        <v>-</v>
      </c>
      <c r="H6" s="42" t="str">
        <f>VLOOKUP(Tabelle2834[[#This Row],[2011]],Dropdown!$A$2:$D$4,4,FALSE)</f>
        <v>X</v>
      </c>
      <c r="I6" s="42" t="str">
        <f>VLOOKUP(Tabelle2834[[#This Row],[2012]],Dropdown!$A$2:$D$4,4,FALSE)</f>
        <v>-</v>
      </c>
      <c r="J6" s="42" t="str">
        <f>VLOOKUP(Tabelle2834[[#This Row],[2013]],Dropdown!$A$2:$D$4,4,FALSE)</f>
        <v>-</v>
      </c>
      <c r="K6" s="42" t="str">
        <f>VLOOKUP(Tabelle2834[[#This Row],[2014]],Dropdown!$A$2:$D$4,4,FALSE)</f>
        <v>-</v>
      </c>
      <c r="L6" s="42" t="str">
        <f>VLOOKUP(Tabelle2834[[#This Row],[2015]],Dropdown!$A$2:$D$4,4,FALSE)</f>
        <v>-</v>
      </c>
      <c r="M6" s="42" t="str">
        <f>VLOOKUP(Tabelle2834[[#This Row],[2016]],Dropdown!$A$2:$D$4,4,FALSE)</f>
        <v>-</v>
      </c>
      <c r="N6" s="42" t="str">
        <f>VLOOKUP(Tabelle2834[[#This Row],[2017]],Dropdown!$A$2:$D$4,4,FALSE)</f>
        <v>-</v>
      </c>
      <c r="O6" s="42" t="str">
        <f>VLOOKUP(Tabelle2834[[#This Row],[2018]],Dropdown!$A$2:$D$4,4,FALSE)</f>
        <v>-</v>
      </c>
      <c r="P6" s="42" t="str">
        <f>VLOOKUP(Tabelle2834[[#This Row],[2019]],Dropdown!$A$2:$D$4,4,FALSE)</f>
        <v>-</v>
      </c>
      <c r="Q6" s="42" t="str">
        <f>VLOOKUP(Tabelle2834[[#This Row],[2020]],Dropdown!$A$2:$D$4,4,FALSE)</f>
        <v>-</v>
      </c>
      <c r="R6" s="42" t="str">
        <f>VLOOKUP(Tabelle2834[[#This Row],[nicht spezifiziert]],Dropdown!$A$2:$D$4,4,FALSE)</f>
        <v>-</v>
      </c>
    </row>
    <row r="7" spans="1:18" x14ac:dyDescent="0.25">
      <c r="A7" s="6">
        <v>5</v>
      </c>
      <c r="B7" s="42" t="str">
        <f>VLOOKUP(Tabelle2834[[#This Row],[2005]],Dropdown!$A$2:$D$4,4,FALSE)</f>
        <v>-</v>
      </c>
      <c r="C7" s="42" t="str">
        <f>VLOOKUP(Tabelle2834[[#This Row],[2006]],Dropdown!$A$2:$D$4,4,FALSE)</f>
        <v>-</v>
      </c>
      <c r="D7" s="42" t="str">
        <f>VLOOKUP(Tabelle2834[[#This Row],[2007]],Dropdown!$A$2:$D$4,4,FALSE)</f>
        <v>-</v>
      </c>
      <c r="E7" s="42" t="str">
        <f>VLOOKUP(Tabelle2834[[#This Row],[2008]],Dropdown!$A$2:$D$4,4,FALSE)</f>
        <v>-</v>
      </c>
      <c r="F7" s="42" t="str">
        <f>VLOOKUP(Tabelle2834[[#This Row],[2009]],Dropdown!$A$2:$D$4,4,FALSE)</f>
        <v>-</v>
      </c>
      <c r="G7" s="42" t="str">
        <f>VLOOKUP(Tabelle2834[[#This Row],[2010]],Dropdown!$A$2:$D$4,4,FALSE)</f>
        <v>X</v>
      </c>
      <c r="H7" s="42" t="str">
        <f>VLOOKUP(Tabelle2834[[#This Row],[2011]],Dropdown!$A$2:$D$4,4,FALSE)</f>
        <v>-</v>
      </c>
      <c r="I7" s="42" t="str">
        <f>VLOOKUP(Tabelle2834[[#This Row],[2012]],Dropdown!$A$2:$D$4,4,FALSE)</f>
        <v>-</v>
      </c>
      <c r="J7" s="42" t="str">
        <f>VLOOKUP(Tabelle2834[[#This Row],[2013]],Dropdown!$A$2:$D$4,4,FALSE)</f>
        <v>-</v>
      </c>
      <c r="K7" s="42" t="str">
        <f>VLOOKUP(Tabelle2834[[#This Row],[2014]],Dropdown!$A$2:$D$4,4,FALSE)</f>
        <v>-</v>
      </c>
      <c r="L7" s="42" t="str">
        <f>VLOOKUP(Tabelle2834[[#This Row],[2015]],Dropdown!$A$2:$D$4,4,FALSE)</f>
        <v>-</v>
      </c>
      <c r="M7" s="42" t="str">
        <f>VLOOKUP(Tabelle2834[[#This Row],[2016]],Dropdown!$A$2:$D$4,4,FALSE)</f>
        <v>-</v>
      </c>
      <c r="N7" s="42" t="str">
        <f>VLOOKUP(Tabelle2834[[#This Row],[2017]],Dropdown!$A$2:$D$4,4,FALSE)</f>
        <v>-</v>
      </c>
      <c r="O7" s="42" t="str">
        <f>VLOOKUP(Tabelle2834[[#This Row],[2018]],Dropdown!$A$2:$D$4,4,FALSE)</f>
        <v>-</v>
      </c>
      <c r="P7" s="42" t="str">
        <f>VLOOKUP(Tabelle2834[[#This Row],[2019]],Dropdown!$A$2:$D$4,4,FALSE)</f>
        <v>-</v>
      </c>
      <c r="Q7" s="42" t="str">
        <f>VLOOKUP(Tabelle2834[[#This Row],[2020]],Dropdown!$A$2:$D$4,4,FALSE)</f>
        <v>-</v>
      </c>
      <c r="R7" s="42" t="str">
        <f>VLOOKUP(Tabelle2834[[#This Row],[nicht spezifiziert]],Dropdown!$A$2:$D$4,4,FALSE)</f>
        <v>-</v>
      </c>
    </row>
    <row r="8" spans="1:18" x14ac:dyDescent="0.25">
      <c r="A8" s="6">
        <v>6</v>
      </c>
      <c r="B8" s="42" t="str">
        <f>VLOOKUP(Tabelle2834[[#This Row],[2005]],Dropdown!$A$2:$D$4,4,FALSE)</f>
        <v>-</v>
      </c>
      <c r="C8" s="42" t="str">
        <f>VLOOKUP(Tabelle2834[[#This Row],[2006]],Dropdown!$A$2:$D$4,4,FALSE)</f>
        <v>-</v>
      </c>
      <c r="D8" s="42" t="str">
        <f>VLOOKUP(Tabelle2834[[#This Row],[2007]],Dropdown!$A$2:$D$4,4,FALSE)</f>
        <v>-</v>
      </c>
      <c r="E8" s="42" t="str">
        <f>VLOOKUP(Tabelle2834[[#This Row],[2008]],Dropdown!$A$2:$D$4,4,FALSE)</f>
        <v>-</v>
      </c>
      <c r="F8" s="42" t="str">
        <f>VLOOKUP(Tabelle2834[[#This Row],[2009]],Dropdown!$A$2:$D$4,4,FALSE)</f>
        <v>-</v>
      </c>
      <c r="G8" s="42" t="str">
        <f>VLOOKUP(Tabelle2834[[#This Row],[2010]],Dropdown!$A$2:$D$4,4,FALSE)</f>
        <v>-</v>
      </c>
      <c r="H8" s="42" t="str">
        <f>VLOOKUP(Tabelle2834[[#This Row],[2011]],Dropdown!$A$2:$D$4,4,FALSE)</f>
        <v>-</v>
      </c>
      <c r="I8" s="42" t="str">
        <f>VLOOKUP(Tabelle2834[[#This Row],[2012]],Dropdown!$A$2:$D$4,4,FALSE)</f>
        <v>-</v>
      </c>
      <c r="J8" s="42" t="str">
        <f>VLOOKUP(Tabelle2834[[#This Row],[2013]],Dropdown!$A$2:$D$4,4,FALSE)</f>
        <v>-</v>
      </c>
      <c r="K8" s="42" t="str">
        <f>VLOOKUP(Tabelle2834[[#This Row],[2014]],Dropdown!$A$2:$D$4,4,FALSE)</f>
        <v>-</v>
      </c>
      <c r="L8" s="42" t="str">
        <f>VLOOKUP(Tabelle2834[[#This Row],[2015]],Dropdown!$A$2:$D$4,4,FALSE)</f>
        <v>-</v>
      </c>
      <c r="M8" s="42" t="str">
        <f>VLOOKUP(Tabelle2834[[#This Row],[2016]],Dropdown!$A$2:$D$4,4,FALSE)</f>
        <v>-</v>
      </c>
      <c r="N8" s="42" t="str">
        <f>VLOOKUP(Tabelle2834[[#This Row],[2017]],Dropdown!$A$2:$D$4,4,FALSE)</f>
        <v>-</v>
      </c>
      <c r="O8" s="42" t="str">
        <f>VLOOKUP(Tabelle2834[[#This Row],[2018]],Dropdown!$A$2:$D$4,4,FALSE)</f>
        <v>-</v>
      </c>
      <c r="P8" s="42" t="str">
        <f>VLOOKUP(Tabelle2834[[#This Row],[2019]],Dropdown!$A$2:$D$4,4,FALSE)</f>
        <v>-</v>
      </c>
      <c r="Q8" s="42" t="str">
        <f>VLOOKUP(Tabelle2834[[#This Row],[2020]],Dropdown!$A$2:$D$4,4,FALSE)</f>
        <v>X</v>
      </c>
      <c r="R8" s="42" t="str">
        <f>VLOOKUP(Tabelle2834[[#This Row],[nicht spezifiziert]],Dropdown!$A$2:$D$4,4,FALSE)</f>
        <v>-</v>
      </c>
    </row>
    <row r="9" spans="1:18" x14ac:dyDescent="0.25">
      <c r="A9" s="6">
        <v>7</v>
      </c>
      <c r="B9" s="42" t="str">
        <f>VLOOKUP(Tabelle2834[[#This Row],[2005]],Dropdown!$A$2:$D$4,4,FALSE)</f>
        <v>-</v>
      </c>
      <c r="C9" s="42" t="str">
        <f>VLOOKUP(Tabelle2834[[#This Row],[2006]],Dropdown!$A$2:$D$4,4,FALSE)</f>
        <v>-</v>
      </c>
      <c r="D9" s="42" t="str">
        <f>VLOOKUP(Tabelle2834[[#This Row],[2007]],Dropdown!$A$2:$D$4,4,FALSE)</f>
        <v>-</v>
      </c>
      <c r="E9" s="42" t="str">
        <f>VLOOKUP(Tabelle2834[[#This Row],[2008]],Dropdown!$A$2:$D$4,4,FALSE)</f>
        <v>-</v>
      </c>
      <c r="F9" s="42" t="str">
        <f>VLOOKUP(Tabelle2834[[#This Row],[2009]],Dropdown!$A$2:$D$4,4,FALSE)</f>
        <v>-</v>
      </c>
      <c r="G9" s="42" t="str">
        <f>VLOOKUP(Tabelle2834[[#This Row],[2010]],Dropdown!$A$2:$D$4,4,FALSE)</f>
        <v>-</v>
      </c>
      <c r="H9" s="42" t="str">
        <f>VLOOKUP(Tabelle2834[[#This Row],[2011]],Dropdown!$A$2:$D$4,4,FALSE)</f>
        <v>-</v>
      </c>
      <c r="I9" s="42" t="str">
        <f>VLOOKUP(Tabelle2834[[#This Row],[2012]],Dropdown!$A$2:$D$4,4,FALSE)</f>
        <v>-</v>
      </c>
      <c r="J9" s="42" t="str">
        <f>VLOOKUP(Tabelle2834[[#This Row],[2013]],Dropdown!$A$2:$D$4,4,FALSE)</f>
        <v>X</v>
      </c>
      <c r="K9" s="42" t="str">
        <f>VLOOKUP(Tabelle2834[[#This Row],[2014]],Dropdown!$A$2:$D$4,4,FALSE)</f>
        <v>-</v>
      </c>
      <c r="L9" s="42" t="str">
        <f>VLOOKUP(Tabelle2834[[#This Row],[2015]],Dropdown!$A$2:$D$4,4,FALSE)</f>
        <v>-</v>
      </c>
      <c r="M9" s="42" t="str">
        <f>VLOOKUP(Tabelle2834[[#This Row],[2016]],Dropdown!$A$2:$D$4,4,FALSE)</f>
        <v>-</v>
      </c>
      <c r="N9" s="42" t="str">
        <f>VLOOKUP(Tabelle2834[[#This Row],[2017]],Dropdown!$A$2:$D$4,4,FALSE)</f>
        <v>-</v>
      </c>
      <c r="O9" s="42" t="str">
        <f>VLOOKUP(Tabelle2834[[#This Row],[2018]],Dropdown!$A$2:$D$4,4,FALSE)</f>
        <v>-</v>
      </c>
      <c r="P9" s="42" t="str">
        <f>VLOOKUP(Tabelle2834[[#This Row],[2019]],Dropdown!$A$2:$D$4,4,FALSE)</f>
        <v>-</v>
      </c>
      <c r="Q9" s="42" t="str">
        <f>VLOOKUP(Tabelle2834[[#This Row],[2020]],Dropdown!$A$2:$D$4,4,FALSE)</f>
        <v>-</v>
      </c>
      <c r="R9" s="42" t="str">
        <f>VLOOKUP(Tabelle2834[[#This Row],[nicht spezifiziert]],Dropdown!$A$2:$D$4,4,FALSE)</f>
        <v>-</v>
      </c>
    </row>
    <row r="10" spans="1:18" x14ac:dyDescent="0.25">
      <c r="A10" s="6">
        <v>8</v>
      </c>
      <c r="B10" s="42" t="str">
        <f>VLOOKUP(Tabelle2834[[#This Row],[2005]],Dropdown!$A$2:$D$4,4,FALSE)</f>
        <v>-</v>
      </c>
      <c r="C10" s="42" t="str">
        <f>VLOOKUP(Tabelle2834[[#This Row],[2006]],Dropdown!$A$2:$D$4,4,FALSE)</f>
        <v>-</v>
      </c>
      <c r="D10" s="42" t="str">
        <f>VLOOKUP(Tabelle2834[[#This Row],[2007]],Dropdown!$A$2:$D$4,4,FALSE)</f>
        <v>-</v>
      </c>
      <c r="E10" s="42" t="str">
        <f>VLOOKUP(Tabelle2834[[#This Row],[2008]],Dropdown!$A$2:$D$4,4,FALSE)</f>
        <v>-</v>
      </c>
      <c r="F10" s="42" t="str">
        <f>VLOOKUP(Tabelle2834[[#This Row],[2009]],Dropdown!$A$2:$D$4,4,FALSE)</f>
        <v>-</v>
      </c>
      <c r="G10" s="42" t="str">
        <f>VLOOKUP(Tabelle2834[[#This Row],[2010]],Dropdown!$A$2:$D$4,4,FALSE)</f>
        <v>-</v>
      </c>
      <c r="H10" s="42" t="str">
        <f>VLOOKUP(Tabelle2834[[#This Row],[2011]],Dropdown!$A$2:$D$4,4,FALSE)</f>
        <v>-</v>
      </c>
      <c r="I10" s="42" t="str">
        <f>VLOOKUP(Tabelle2834[[#This Row],[2012]],Dropdown!$A$2:$D$4,4,FALSE)</f>
        <v>X</v>
      </c>
      <c r="J10" s="42" t="str">
        <f>VLOOKUP(Tabelle2834[[#This Row],[2013]],Dropdown!$A$2:$D$4,4,FALSE)</f>
        <v>-</v>
      </c>
      <c r="K10" s="42" t="str">
        <f>VLOOKUP(Tabelle2834[[#This Row],[2014]],Dropdown!$A$2:$D$4,4,FALSE)</f>
        <v>-</v>
      </c>
      <c r="L10" s="42" t="str">
        <f>VLOOKUP(Tabelle2834[[#This Row],[2015]],Dropdown!$A$2:$D$4,4,FALSE)</f>
        <v>-</v>
      </c>
      <c r="M10" s="42" t="str">
        <f>VLOOKUP(Tabelle2834[[#This Row],[2016]],Dropdown!$A$2:$D$4,4,FALSE)</f>
        <v>-</v>
      </c>
      <c r="N10" s="42" t="str">
        <f>VLOOKUP(Tabelle2834[[#This Row],[2017]],Dropdown!$A$2:$D$4,4,FALSE)</f>
        <v>-</v>
      </c>
      <c r="O10" s="42" t="str">
        <f>VLOOKUP(Tabelle2834[[#This Row],[2018]],Dropdown!$A$2:$D$4,4,FALSE)</f>
        <v>-</v>
      </c>
      <c r="P10" s="42" t="str">
        <f>VLOOKUP(Tabelle2834[[#This Row],[2019]],Dropdown!$A$2:$D$4,4,FALSE)</f>
        <v>-</v>
      </c>
      <c r="Q10" s="42" t="str">
        <f>VLOOKUP(Tabelle2834[[#This Row],[2020]],Dropdown!$A$2:$D$4,4,FALSE)</f>
        <v>-</v>
      </c>
      <c r="R10" s="42" t="str">
        <f>VLOOKUP(Tabelle2834[[#This Row],[nicht spezifiziert]],Dropdown!$A$2:$D$4,4,FALSE)</f>
        <v>-</v>
      </c>
    </row>
    <row r="11" spans="1:18" x14ac:dyDescent="0.25">
      <c r="A11" s="6">
        <v>9</v>
      </c>
      <c r="B11" s="42" t="str">
        <f>VLOOKUP(Tabelle2834[[#This Row],[2005]],Dropdown!$A$2:$D$4,4,FALSE)</f>
        <v>-</v>
      </c>
      <c r="C11" s="42" t="str">
        <f>VLOOKUP(Tabelle2834[[#This Row],[2006]],Dropdown!$A$2:$D$4,4,FALSE)</f>
        <v>-</v>
      </c>
      <c r="D11" s="42" t="str">
        <f>VLOOKUP(Tabelle2834[[#This Row],[2007]],Dropdown!$A$2:$D$4,4,FALSE)</f>
        <v>-</v>
      </c>
      <c r="E11" s="42" t="str">
        <f>VLOOKUP(Tabelle2834[[#This Row],[2008]],Dropdown!$A$2:$D$4,4,FALSE)</f>
        <v>-</v>
      </c>
      <c r="F11" s="42" t="str">
        <f>VLOOKUP(Tabelle2834[[#This Row],[2009]],Dropdown!$A$2:$D$4,4,FALSE)</f>
        <v>-</v>
      </c>
      <c r="G11" s="42" t="str">
        <f>VLOOKUP(Tabelle2834[[#This Row],[2010]],Dropdown!$A$2:$D$4,4,FALSE)</f>
        <v>-</v>
      </c>
      <c r="H11" s="42" t="str">
        <f>VLOOKUP(Tabelle2834[[#This Row],[2011]],Dropdown!$A$2:$D$4,4,FALSE)</f>
        <v>-</v>
      </c>
      <c r="I11" s="42" t="str">
        <f>VLOOKUP(Tabelle2834[[#This Row],[2012]],Dropdown!$A$2:$D$4,4,FALSE)</f>
        <v>-</v>
      </c>
      <c r="J11" s="42" t="str">
        <f>VLOOKUP(Tabelle2834[[#This Row],[2013]],Dropdown!$A$2:$D$4,4,FALSE)</f>
        <v>-</v>
      </c>
      <c r="K11" s="42" t="str">
        <f>VLOOKUP(Tabelle2834[[#This Row],[2014]],Dropdown!$A$2:$D$4,4,FALSE)</f>
        <v>-</v>
      </c>
      <c r="L11" s="42" t="str">
        <f>VLOOKUP(Tabelle2834[[#This Row],[2015]],Dropdown!$A$2:$D$4,4,FALSE)</f>
        <v>X</v>
      </c>
      <c r="M11" s="42" t="str">
        <f>VLOOKUP(Tabelle2834[[#This Row],[2016]],Dropdown!$A$2:$D$4,4,FALSE)</f>
        <v>-</v>
      </c>
      <c r="N11" s="42" t="str">
        <f>VLOOKUP(Tabelle2834[[#This Row],[2017]],Dropdown!$A$2:$D$4,4,FALSE)</f>
        <v>-</v>
      </c>
      <c r="O11" s="42" t="str">
        <f>VLOOKUP(Tabelle2834[[#This Row],[2018]],Dropdown!$A$2:$D$4,4,FALSE)</f>
        <v>-</v>
      </c>
      <c r="P11" s="42" t="str">
        <f>VLOOKUP(Tabelle2834[[#This Row],[2019]],Dropdown!$A$2:$D$4,4,FALSE)</f>
        <v>-</v>
      </c>
      <c r="Q11" s="42" t="str">
        <f>VLOOKUP(Tabelle2834[[#This Row],[2020]],Dropdown!$A$2:$D$4,4,FALSE)</f>
        <v>-</v>
      </c>
      <c r="R11" s="42" t="str">
        <f>VLOOKUP(Tabelle2834[[#This Row],[nicht spezifiziert]],Dropdown!$A$2:$D$4,4,FALSE)</f>
        <v>-</v>
      </c>
    </row>
    <row r="12" spans="1:18" x14ac:dyDescent="0.25">
      <c r="A12" s="6">
        <v>10</v>
      </c>
      <c r="B12" s="42" t="str">
        <f>VLOOKUP(Tabelle2834[[#This Row],[2005]],Dropdown!$A$2:$D$4,4,FALSE)</f>
        <v>-</v>
      </c>
      <c r="C12" s="42" t="str">
        <f>VLOOKUP(Tabelle2834[[#This Row],[2006]],Dropdown!$A$2:$D$4,4,FALSE)</f>
        <v>-</v>
      </c>
      <c r="D12" s="42" t="str">
        <f>VLOOKUP(Tabelle2834[[#This Row],[2007]],Dropdown!$A$2:$D$4,4,FALSE)</f>
        <v>-</v>
      </c>
      <c r="E12" s="42" t="str">
        <f>VLOOKUP(Tabelle2834[[#This Row],[2008]],Dropdown!$A$2:$D$4,4,FALSE)</f>
        <v>-</v>
      </c>
      <c r="F12" s="42" t="str">
        <f>VLOOKUP(Tabelle2834[[#This Row],[2009]],Dropdown!$A$2:$D$4,4,FALSE)</f>
        <v>-</v>
      </c>
      <c r="G12" s="42" t="str">
        <f>VLOOKUP(Tabelle2834[[#This Row],[2010]],Dropdown!$A$2:$D$4,4,FALSE)</f>
        <v>-</v>
      </c>
      <c r="H12" s="42" t="str">
        <f>VLOOKUP(Tabelle2834[[#This Row],[2011]],Dropdown!$A$2:$D$4,4,FALSE)</f>
        <v>-</v>
      </c>
      <c r="I12" s="42" t="str">
        <f>VLOOKUP(Tabelle2834[[#This Row],[2012]],Dropdown!$A$2:$D$4,4,FALSE)</f>
        <v>-</v>
      </c>
      <c r="J12" s="42" t="str">
        <f>VLOOKUP(Tabelle2834[[#This Row],[2013]],Dropdown!$A$2:$D$4,4,FALSE)</f>
        <v>X</v>
      </c>
      <c r="K12" s="42" t="str">
        <f>VLOOKUP(Tabelle2834[[#This Row],[2014]],Dropdown!$A$2:$D$4,4,FALSE)</f>
        <v>-</v>
      </c>
      <c r="L12" s="42" t="str">
        <f>VLOOKUP(Tabelle2834[[#This Row],[2015]],Dropdown!$A$2:$D$4,4,FALSE)</f>
        <v>-</v>
      </c>
      <c r="M12" s="42" t="str">
        <f>VLOOKUP(Tabelle2834[[#This Row],[2016]],Dropdown!$A$2:$D$4,4,FALSE)</f>
        <v>-</v>
      </c>
      <c r="N12" s="42" t="str">
        <f>VLOOKUP(Tabelle2834[[#This Row],[2017]],Dropdown!$A$2:$D$4,4,FALSE)</f>
        <v>-</v>
      </c>
      <c r="O12" s="42" t="str">
        <f>VLOOKUP(Tabelle2834[[#This Row],[2018]],Dropdown!$A$2:$D$4,4,FALSE)</f>
        <v>-</v>
      </c>
      <c r="P12" s="42" t="str">
        <f>VLOOKUP(Tabelle2834[[#This Row],[2019]],Dropdown!$A$2:$D$4,4,FALSE)</f>
        <v>-</v>
      </c>
      <c r="Q12" s="42" t="str">
        <f>VLOOKUP(Tabelle2834[[#This Row],[2020]],Dropdown!$A$2:$D$4,4,FALSE)</f>
        <v>-</v>
      </c>
      <c r="R12" s="42" t="str">
        <f>VLOOKUP(Tabelle2834[[#This Row],[nicht spezifiziert]],Dropdown!$A$2:$D$4,4,FALSE)</f>
        <v>-</v>
      </c>
    </row>
    <row r="13" spans="1:18" x14ac:dyDescent="0.25">
      <c r="A13" s="6">
        <v>11</v>
      </c>
      <c r="B13" s="42" t="str">
        <f>VLOOKUP(Tabelle2834[[#This Row],[2005]],Dropdown!$A$2:$D$4,4,FALSE)</f>
        <v>X</v>
      </c>
      <c r="C13" s="42" t="str">
        <f>VLOOKUP(Tabelle2834[[#This Row],[2006]],Dropdown!$A$2:$D$4,4,FALSE)</f>
        <v>-</v>
      </c>
      <c r="D13" s="42" t="str">
        <f>VLOOKUP(Tabelle2834[[#This Row],[2007]],Dropdown!$A$2:$D$4,4,FALSE)</f>
        <v>-</v>
      </c>
      <c r="E13" s="42" t="str">
        <f>VLOOKUP(Tabelle2834[[#This Row],[2008]],Dropdown!$A$2:$D$4,4,FALSE)</f>
        <v>-</v>
      </c>
      <c r="F13" s="42" t="str">
        <f>VLOOKUP(Tabelle2834[[#This Row],[2009]],Dropdown!$A$2:$D$4,4,FALSE)</f>
        <v>-</v>
      </c>
      <c r="G13" s="42" t="str">
        <f>VLOOKUP(Tabelle2834[[#This Row],[2010]],Dropdown!$A$2:$D$4,4,FALSE)</f>
        <v>-</v>
      </c>
      <c r="H13" s="42" t="str">
        <f>VLOOKUP(Tabelle2834[[#This Row],[2011]],Dropdown!$A$2:$D$4,4,FALSE)</f>
        <v>-</v>
      </c>
      <c r="I13" s="42" t="str">
        <f>VLOOKUP(Tabelle2834[[#This Row],[2012]],Dropdown!$A$2:$D$4,4,FALSE)</f>
        <v>-</v>
      </c>
      <c r="J13" s="42" t="str">
        <f>VLOOKUP(Tabelle2834[[#This Row],[2013]],Dropdown!$A$2:$D$4,4,FALSE)</f>
        <v>-</v>
      </c>
      <c r="K13" s="42" t="str">
        <f>VLOOKUP(Tabelle2834[[#This Row],[2014]],Dropdown!$A$2:$D$4,4,FALSE)</f>
        <v>-</v>
      </c>
      <c r="L13" s="42" t="str">
        <f>VLOOKUP(Tabelle2834[[#This Row],[2015]],Dropdown!$A$2:$D$4,4,FALSE)</f>
        <v>-</v>
      </c>
      <c r="M13" s="42" t="str">
        <f>VLOOKUP(Tabelle2834[[#This Row],[2016]],Dropdown!$A$2:$D$4,4,FALSE)</f>
        <v>-</v>
      </c>
      <c r="N13" s="42" t="str">
        <f>VLOOKUP(Tabelle2834[[#This Row],[2017]],Dropdown!$A$2:$D$4,4,FALSE)</f>
        <v>-</v>
      </c>
      <c r="O13" s="42" t="str">
        <f>VLOOKUP(Tabelle2834[[#This Row],[2018]],Dropdown!$A$2:$D$4,4,FALSE)</f>
        <v>-</v>
      </c>
      <c r="P13" s="42" t="str">
        <f>VLOOKUP(Tabelle2834[[#This Row],[2019]],Dropdown!$A$2:$D$4,4,FALSE)</f>
        <v>-</v>
      </c>
      <c r="Q13" s="42" t="str">
        <f>VLOOKUP(Tabelle2834[[#This Row],[2020]],Dropdown!$A$2:$D$4,4,FALSE)</f>
        <v>-</v>
      </c>
      <c r="R13" s="42" t="str">
        <f>VLOOKUP(Tabelle2834[[#This Row],[nicht spezifiziert]],Dropdown!$A$2:$D$4,4,FALSE)</f>
        <v>-</v>
      </c>
    </row>
    <row r="14" spans="1:18" x14ac:dyDescent="0.25">
      <c r="A14" s="6">
        <v>12</v>
      </c>
      <c r="B14" s="42" t="str">
        <f>VLOOKUP(Tabelle2834[[#This Row],[2005]],Dropdown!$A$2:$D$4,4,FALSE)</f>
        <v>-</v>
      </c>
      <c r="C14" s="42" t="str">
        <f>VLOOKUP(Tabelle2834[[#This Row],[2006]],Dropdown!$A$2:$D$4,4,FALSE)</f>
        <v>-</v>
      </c>
      <c r="D14" s="42" t="str">
        <f>VLOOKUP(Tabelle2834[[#This Row],[2007]],Dropdown!$A$2:$D$4,4,FALSE)</f>
        <v>-</v>
      </c>
      <c r="E14" s="42" t="str">
        <f>VLOOKUP(Tabelle2834[[#This Row],[2008]],Dropdown!$A$2:$D$4,4,FALSE)</f>
        <v>-</v>
      </c>
      <c r="F14" s="42" t="str">
        <f>VLOOKUP(Tabelle2834[[#This Row],[2009]],Dropdown!$A$2:$D$4,4,FALSE)</f>
        <v>-</v>
      </c>
      <c r="G14" s="42" t="str">
        <f>VLOOKUP(Tabelle2834[[#This Row],[2010]],Dropdown!$A$2:$D$4,4,FALSE)</f>
        <v>-</v>
      </c>
      <c r="H14" s="42" t="str">
        <f>VLOOKUP(Tabelle2834[[#This Row],[2011]],Dropdown!$A$2:$D$4,4,FALSE)</f>
        <v>-</v>
      </c>
      <c r="I14" s="42" t="str">
        <f>VLOOKUP(Tabelle2834[[#This Row],[2012]],Dropdown!$A$2:$D$4,4,FALSE)</f>
        <v>-</v>
      </c>
      <c r="J14" s="42" t="str">
        <f>VLOOKUP(Tabelle2834[[#This Row],[2013]],Dropdown!$A$2:$D$4,4,FALSE)</f>
        <v>-</v>
      </c>
      <c r="K14" s="42" t="str">
        <f>VLOOKUP(Tabelle2834[[#This Row],[2014]],Dropdown!$A$2:$D$4,4,FALSE)</f>
        <v>-</v>
      </c>
      <c r="L14" s="42" t="str">
        <f>VLOOKUP(Tabelle2834[[#This Row],[2015]],Dropdown!$A$2:$D$4,4,FALSE)</f>
        <v>-</v>
      </c>
      <c r="M14" s="42" t="str">
        <f>VLOOKUP(Tabelle2834[[#This Row],[2016]],Dropdown!$A$2:$D$4,4,FALSE)</f>
        <v>-</v>
      </c>
      <c r="N14" s="42" t="str">
        <f>VLOOKUP(Tabelle2834[[#This Row],[2017]],Dropdown!$A$2:$D$4,4,FALSE)</f>
        <v>-</v>
      </c>
      <c r="O14" s="42" t="str">
        <f>VLOOKUP(Tabelle2834[[#This Row],[2018]],Dropdown!$A$2:$D$4,4,FALSE)</f>
        <v>-</v>
      </c>
      <c r="P14" s="42" t="str">
        <f>VLOOKUP(Tabelle2834[[#This Row],[2019]],Dropdown!$A$2:$D$4,4,FALSE)</f>
        <v>-</v>
      </c>
      <c r="Q14" s="42" t="str">
        <f>VLOOKUP(Tabelle2834[[#This Row],[2020]],Dropdown!$A$2:$D$4,4,FALSE)</f>
        <v>-</v>
      </c>
      <c r="R14" s="42" t="str">
        <f>VLOOKUP(Tabelle2834[[#This Row],[nicht spezifiziert]],Dropdown!$A$2:$D$4,4,FALSE)</f>
        <v>X</v>
      </c>
    </row>
    <row r="15" spans="1:18" x14ac:dyDescent="0.25">
      <c r="A15" s="6">
        <v>13</v>
      </c>
      <c r="B15" s="42" t="str">
        <f>VLOOKUP(Tabelle2834[[#This Row],[2005]],Dropdown!$A$2:$D$4,4,FALSE)</f>
        <v>-</v>
      </c>
      <c r="C15" s="42" t="str">
        <f>VLOOKUP(Tabelle2834[[#This Row],[2006]],Dropdown!$A$2:$D$4,4,FALSE)</f>
        <v>-</v>
      </c>
      <c r="D15" s="42" t="str">
        <f>VLOOKUP(Tabelle2834[[#This Row],[2007]],Dropdown!$A$2:$D$4,4,FALSE)</f>
        <v>-</v>
      </c>
      <c r="E15" s="42" t="str">
        <f>VLOOKUP(Tabelle2834[[#This Row],[2008]],Dropdown!$A$2:$D$4,4,FALSE)</f>
        <v>-</v>
      </c>
      <c r="F15" s="42" t="str">
        <f>VLOOKUP(Tabelle2834[[#This Row],[2009]],Dropdown!$A$2:$D$4,4,FALSE)</f>
        <v>-</v>
      </c>
      <c r="G15" s="42" t="str">
        <f>VLOOKUP(Tabelle2834[[#This Row],[2010]],Dropdown!$A$2:$D$4,4,FALSE)</f>
        <v>X</v>
      </c>
      <c r="H15" s="42" t="str">
        <f>VLOOKUP(Tabelle2834[[#This Row],[2011]],Dropdown!$A$2:$D$4,4,FALSE)</f>
        <v>-</v>
      </c>
      <c r="I15" s="42" t="str">
        <f>VLOOKUP(Tabelle2834[[#This Row],[2012]],Dropdown!$A$2:$D$4,4,FALSE)</f>
        <v>-</v>
      </c>
      <c r="J15" s="42" t="str">
        <f>VLOOKUP(Tabelle2834[[#This Row],[2013]],Dropdown!$A$2:$D$4,4,FALSE)</f>
        <v>-</v>
      </c>
      <c r="K15" s="42" t="str">
        <f>VLOOKUP(Tabelle2834[[#This Row],[2014]],Dropdown!$A$2:$D$4,4,FALSE)</f>
        <v>-</v>
      </c>
      <c r="L15" s="42" t="str">
        <f>VLOOKUP(Tabelle2834[[#This Row],[2015]],Dropdown!$A$2:$D$4,4,FALSE)</f>
        <v>-</v>
      </c>
      <c r="M15" s="42" t="str">
        <f>VLOOKUP(Tabelle2834[[#This Row],[2016]],Dropdown!$A$2:$D$4,4,FALSE)</f>
        <v>-</v>
      </c>
      <c r="N15" s="42" t="str">
        <f>VLOOKUP(Tabelle2834[[#This Row],[2017]],Dropdown!$A$2:$D$4,4,FALSE)</f>
        <v>-</v>
      </c>
      <c r="O15" s="42" t="str">
        <f>VLOOKUP(Tabelle2834[[#This Row],[2018]],Dropdown!$A$2:$D$4,4,FALSE)</f>
        <v>-</v>
      </c>
      <c r="P15" s="42" t="str">
        <f>VLOOKUP(Tabelle2834[[#This Row],[2019]],Dropdown!$A$2:$D$4,4,FALSE)</f>
        <v>-</v>
      </c>
      <c r="Q15" s="42" t="str">
        <f>VLOOKUP(Tabelle2834[[#This Row],[2020]],Dropdown!$A$2:$D$4,4,FALSE)</f>
        <v>-</v>
      </c>
      <c r="R15" s="42" t="str">
        <f>VLOOKUP(Tabelle2834[[#This Row],[nicht spezifiziert]],Dropdown!$A$2:$D$4,4,FALSE)</f>
        <v>-</v>
      </c>
    </row>
    <row r="16" spans="1:18" x14ac:dyDescent="0.25">
      <c r="A16" s="6">
        <v>14</v>
      </c>
      <c r="B16" s="42" t="str">
        <f>VLOOKUP(Tabelle2834[[#This Row],[2005]],Dropdown!$A$2:$D$4,4,FALSE)</f>
        <v>-</v>
      </c>
      <c r="C16" s="42" t="str">
        <f>VLOOKUP(Tabelle2834[[#This Row],[2006]],Dropdown!$A$2:$D$4,4,FALSE)</f>
        <v>-</v>
      </c>
      <c r="D16" s="42" t="str">
        <f>VLOOKUP(Tabelle2834[[#This Row],[2007]],Dropdown!$A$2:$D$4,4,FALSE)</f>
        <v>-</v>
      </c>
      <c r="E16" s="42" t="str">
        <f>VLOOKUP(Tabelle2834[[#This Row],[2008]],Dropdown!$A$2:$D$4,4,FALSE)</f>
        <v>-</v>
      </c>
      <c r="F16" s="42" t="str">
        <f>VLOOKUP(Tabelle2834[[#This Row],[2009]],Dropdown!$A$2:$D$4,4,FALSE)</f>
        <v>-</v>
      </c>
      <c r="G16" s="42" t="str">
        <f>VLOOKUP(Tabelle2834[[#This Row],[2010]],Dropdown!$A$2:$D$4,4,FALSE)</f>
        <v>-</v>
      </c>
      <c r="H16" s="42" t="str">
        <f>VLOOKUP(Tabelle2834[[#This Row],[2011]],Dropdown!$A$2:$D$4,4,FALSE)</f>
        <v>-</v>
      </c>
      <c r="I16" s="42" t="str">
        <f>VLOOKUP(Tabelle2834[[#This Row],[2012]],Dropdown!$A$2:$D$4,4,FALSE)</f>
        <v>-</v>
      </c>
      <c r="J16" s="42" t="str">
        <f>VLOOKUP(Tabelle2834[[#This Row],[2013]],Dropdown!$A$2:$D$4,4,FALSE)</f>
        <v>X</v>
      </c>
      <c r="K16" s="42" t="str">
        <f>VLOOKUP(Tabelle2834[[#This Row],[2014]],Dropdown!$A$2:$D$4,4,FALSE)</f>
        <v>-</v>
      </c>
      <c r="L16" s="42" t="str">
        <f>VLOOKUP(Tabelle2834[[#This Row],[2015]],Dropdown!$A$2:$D$4,4,FALSE)</f>
        <v>-</v>
      </c>
      <c r="M16" s="42" t="str">
        <f>VLOOKUP(Tabelle2834[[#This Row],[2016]],Dropdown!$A$2:$D$4,4,FALSE)</f>
        <v>-</v>
      </c>
      <c r="N16" s="42" t="str">
        <f>VLOOKUP(Tabelle2834[[#This Row],[2017]],Dropdown!$A$2:$D$4,4,FALSE)</f>
        <v>-</v>
      </c>
      <c r="O16" s="42" t="str">
        <f>VLOOKUP(Tabelle2834[[#This Row],[2018]],Dropdown!$A$2:$D$4,4,FALSE)</f>
        <v>-</v>
      </c>
      <c r="P16" s="42" t="str">
        <f>VLOOKUP(Tabelle2834[[#This Row],[2019]],Dropdown!$A$2:$D$4,4,FALSE)</f>
        <v>-</v>
      </c>
      <c r="Q16" s="42" t="str">
        <f>VLOOKUP(Tabelle2834[[#This Row],[2020]],Dropdown!$A$2:$D$4,4,FALSE)</f>
        <v>-</v>
      </c>
      <c r="R16" s="42" t="str">
        <f>VLOOKUP(Tabelle2834[[#This Row],[nicht spezifiziert]],Dropdown!$A$2:$D$4,4,FALSE)</f>
        <v>-</v>
      </c>
    </row>
    <row r="17" spans="1:18" x14ac:dyDescent="0.25">
      <c r="A17" s="6">
        <v>15</v>
      </c>
      <c r="B17" s="42" t="str">
        <f>VLOOKUP(Tabelle2834[[#This Row],[2005]],Dropdown!$A$2:$D$4,4,FALSE)</f>
        <v>-</v>
      </c>
      <c r="C17" s="42" t="str">
        <f>VLOOKUP(Tabelle2834[[#This Row],[2006]],Dropdown!$A$2:$D$4,4,FALSE)</f>
        <v>-</v>
      </c>
      <c r="D17" s="42" t="str">
        <f>VLOOKUP(Tabelle2834[[#This Row],[2007]],Dropdown!$A$2:$D$4,4,FALSE)</f>
        <v>-</v>
      </c>
      <c r="E17" s="42" t="str">
        <f>VLOOKUP(Tabelle2834[[#This Row],[2008]],Dropdown!$A$2:$D$4,4,FALSE)</f>
        <v>-</v>
      </c>
      <c r="F17" s="42" t="str">
        <f>VLOOKUP(Tabelle2834[[#This Row],[2009]],Dropdown!$A$2:$D$4,4,FALSE)</f>
        <v>-</v>
      </c>
      <c r="G17" s="42" t="str">
        <f>VLOOKUP(Tabelle2834[[#This Row],[2010]],Dropdown!$A$2:$D$4,4,FALSE)</f>
        <v>-</v>
      </c>
      <c r="H17" s="42" t="str">
        <f>VLOOKUP(Tabelle2834[[#This Row],[2011]],Dropdown!$A$2:$D$4,4,FALSE)</f>
        <v>-</v>
      </c>
      <c r="I17" s="42" t="str">
        <f>VLOOKUP(Tabelle2834[[#This Row],[2012]],Dropdown!$A$2:$D$4,4,FALSE)</f>
        <v>-</v>
      </c>
      <c r="J17" s="42" t="str">
        <f>VLOOKUP(Tabelle2834[[#This Row],[2013]],Dropdown!$A$2:$D$4,4,FALSE)</f>
        <v>-</v>
      </c>
      <c r="K17" s="42" t="str">
        <f>VLOOKUP(Tabelle2834[[#This Row],[2014]],Dropdown!$A$2:$D$4,4,FALSE)</f>
        <v>-</v>
      </c>
      <c r="L17" s="42" t="str">
        <f>VLOOKUP(Tabelle2834[[#This Row],[2015]],Dropdown!$A$2:$D$4,4,FALSE)</f>
        <v>-</v>
      </c>
      <c r="M17" s="42" t="str">
        <f>VLOOKUP(Tabelle2834[[#This Row],[2016]],Dropdown!$A$2:$D$4,4,FALSE)</f>
        <v>-</v>
      </c>
      <c r="N17" s="42" t="str">
        <f>VLOOKUP(Tabelle2834[[#This Row],[2017]],Dropdown!$A$2:$D$4,4,FALSE)</f>
        <v>-</v>
      </c>
      <c r="O17" s="42" t="str">
        <f>VLOOKUP(Tabelle2834[[#This Row],[2018]],Dropdown!$A$2:$D$4,4,FALSE)</f>
        <v>-</v>
      </c>
      <c r="P17" s="42" t="str">
        <f>VLOOKUP(Tabelle2834[[#This Row],[2019]],Dropdown!$A$2:$D$4,4,FALSE)</f>
        <v>-</v>
      </c>
      <c r="Q17" s="42" t="str">
        <f>VLOOKUP(Tabelle2834[[#This Row],[2020]],Dropdown!$A$2:$D$4,4,FALSE)</f>
        <v>-</v>
      </c>
      <c r="R17" s="42" t="str">
        <f>VLOOKUP(Tabelle2834[[#This Row],[nicht spezifiziert]],Dropdown!$A$2:$D$4,4,FALSE)</f>
        <v>X</v>
      </c>
    </row>
    <row r="18" spans="1:18" x14ac:dyDescent="0.25">
      <c r="A18" s="6">
        <v>16</v>
      </c>
      <c r="B18" s="42" t="str">
        <f>VLOOKUP(Tabelle2834[[#This Row],[2005]],Dropdown!$A$2:$D$4,4,FALSE)</f>
        <v>-</v>
      </c>
      <c r="C18" s="42" t="str">
        <f>VLOOKUP(Tabelle2834[[#This Row],[2006]],Dropdown!$A$2:$D$4,4,FALSE)</f>
        <v>-</v>
      </c>
      <c r="D18" s="42" t="str">
        <f>VLOOKUP(Tabelle2834[[#This Row],[2007]],Dropdown!$A$2:$D$4,4,FALSE)</f>
        <v>-</v>
      </c>
      <c r="E18" s="42" t="str">
        <f>VLOOKUP(Tabelle2834[[#This Row],[2008]],Dropdown!$A$2:$D$4,4,FALSE)</f>
        <v>-</v>
      </c>
      <c r="F18" s="42" t="str">
        <f>VLOOKUP(Tabelle2834[[#This Row],[2009]],Dropdown!$A$2:$D$4,4,FALSE)</f>
        <v>-</v>
      </c>
      <c r="G18" s="42" t="str">
        <f>VLOOKUP(Tabelle2834[[#This Row],[2010]],Dropdown!$A$2:$D$4,4,FALSE)</f>
        <v>-</v>
      </c>
      <c r="H18" s="42" t="str">
        <f>VLOOKUP(Tabelle2834[[#This Row],[2011]],Dropdown!$A$2:$D$4,4,FALSE)</f>
        <v>-</v>
      </c>
      <c r="I18" s="42" t="str">
        <f>VLOOKUP(Tabelle2834[[#This Row],[2012]],Dropdown!$A$2:$D$4,4,FALSE)</f>
        <v>-</v>
      </c>
      <c r="J18" s="42" t="str">
        <f>VLOOKUP(Tabelle2834[[#This Row],[2013]],Dropdown!$A$2:$D$4,4,FALSE)</f>
        <v>-</v>
      </c>
      <c r="K18" s="42" t="str">
        <f>VLOOKUP(Tabelle2834[[#This Row],[2014]],Dropdown!$A$2:$D$4,4,FALSE)</f>
        <v>-</v>
      </c>
      <c r="L18" s="42" t="str">
        <f>VLOOKUP(Tabelle2834[[#This Row],[2015]],Dropdown!$A$2:$D$4,4,FALSE)</f>
        <v>X</v>
      </c>
      <c r="M18" s="42" t="str">
        <f>VLOOKUP(Tabelle2834[[#This Row],[2016]],Dropdown!$A$2:$D$4,4,FALSE)</f>
        <v>-</v>
      </c>
      <c r="N18" s="42" t="str">
        <f>VLOOKUP(Tabelle2834[[#This Row],[2017]],Dropdown!$A$2:$D$4,4,FALSE)</f>
        <v>-</v>
      </c>
      <c r="O18" s="42" t="str">
        <f>VLOOKUP(Tabelle2834[[#This Row],[2018]],Dropdown!$A$2:$D$4,4,FALSE)</f>
        <v>-</v>
      </c>
      <c r="P18" s="42" t="str">
        <f>VLOOKUP(Tabelle2834[[#This Row],[2019]],Dropdown!$A$2:$D$4,4,FALSE)</f>
        <v>-</v>
      </c>
      <c r="Q18" s="42" t="str">
        <f>VLOOKUP(Tabelle2834[[#This Row],[2020]],Dropdown!$A$2:$D$4,4,FALSE)</f>
        <v>-</v>
      </c>
      <c r="R18" s="42" t="str">
        <f>VLOOKUP(Tabelle2834[[#This Row],[nicht spezifiziert]],Dropdown!$A$2:$D$4,4,FALSE)</f>
        <v>-</v>
      </c>
    </row>
    <row r="19" spans="1:18" x14ac:dyDescent="0.25">
      <c r="A19" s="6">
        <v>17</v>
      </c>
      <c r="B19" s="42" t="str">
        <f>VLOOKUP(Tabelle2834[[#This Row],[2005]],Dropdown!$A$2:$D$4,4,FALSE)</f>
        <v>-</v>
      </c>
      <c r="C19" s="42" t="str">
        <f>VLOOKUP(Tabelle2834[[#This Row],[2006]],Dropdown!$A$2:$D$4,4,FALSE)</f>
        <v>-</v>
      </c>
      <c r="D19" s="42" t="str">
        <f>VLOOKUP(Tabelle2834[[#This Row],[2007]],Dropdown!$A$2:$D$4,4,FALSE)</f>
        <v>-</v>
      </c>
      <c r="E19" s="42" t="str">
        <f>VLOOKUP(Tabelle2834[[#This Row],[2008]],Dropdown!$A$2:$D$4,4,FALSE)</f>
        <v>-</v>
      </c>
      <c r="F19" s="42" t="str">
        <f>VLOOKUP(Tabelle2834[[#This Row],[2009]],Dropdown!$A$2:$D$4,4,FALSE)</f>
        <v>-</v>
      </c>
      <c r="G19" s="42" t="str">
        <f>VLOOKUP(Tabelle2834[[#This Row],[2010]],Dropdown!$A$2:$D$4,4,FALSE)</f>
        <v>X</v>
      </c>
      <c r="H19" s="42" t="str">
        <f>VLOOKUP(Tabelle2834[[#This Row],[2011]],Dropdown!$A$2:$D$4,4,FALSE)</f>
        <v>-</v>
      </c>
      <c r="I19" s="42" t="str">
        <f>VLOOKUP(Tabelle2834[[#This Row],[2012]],Dropdown!$A$2:$D$4,4,FALSE)</f>
        <v>-</v>
      </c>
      <c r="J19" s="42" t="str">
        <f>VLOOKUP(Tabelle2834[[#This Row],[2013]],Dropdown!$A$2:$D$4,4,FALSE)</f>
        <v>-</v>
      </c>
      <c r="K19" s="42" t="str">
        <f>VLOOKUP(Tabelle2834[[#This Row],[2014]],Dropdown!$A$2:$D$4,4,FALSE)</f>
        <v>-</v>
      </c>
      <c r="L19" s="42" t="str">
        <f>VLOOKUP(Tabelle2834[[#This Row],[2015]],Dropdown!$A$2:$D$4,4,FALSE)</f>
        <v>-</v>
      </c>
      <c r="M19" s="42" t="str">
        <f>VLOOKUP(Tabelle2834[[#This Row],[2016]],Dropdown!$A$2:$D$4,4,FALSE)</f>
        <v>-</v>
      </c>
      <c r="N19" s="42" t="str">
        <f>VLOOKUP(Tabelle2834[[#This Row],[2017]],Dropdown!$A$2:$D$4,4,FALSE)</f>
        <v>-</v>
      </c>
      <c r="O19" s="42" t="str">
        <f>VLOOKUP(Tabelle2834[[#This Row],[2018]],Dropdown!$A$2:$D$4,4,FALSE)</f>
        <v>-</v>
      </c>
      <c r="P19" s="42" t="str">
        <f>VLOOKUP(Tabelle2834[[#This Row],[2019]],Dropdown!$A$2:$D$4,4,FALSE)</f>
        <v>-</v>
      </c>
      <c r="Q19" s="42" t="str">
        <f>VLOOKUP(Tabelle2834[[#This Row],[2020]],Dropdown!$A$2:$D$4,4,FALSE)</f>
        <v>-</v>
      </c>
      <c r="R19" s="42" t="str">
        <f>VLOOKUP(Tabelle2834[[#This Row],[nicht spezifiziert]],Dropdown!$A$2:$D$4,4,FALSE)</f>
        <v>-</v>
      </c>
    </row>
    <row r="20" spans="1:18" x14ac:dyDescent="0.25">
      <c r="A20" s="6">
        <v>18</v>
      </c>
      <c r="B20" s="42" t="str">
        <f>VLOOKUP(Tabelle2834[[#This Row],[2005]],Dropdown!$A$2:$D$4,4,FALSE)</f>
        <v>-</v>
      </c>
      <c r="C20" s="42" t="str">
        <f>VLOOKUP(Tabelle2834[[#This Row],[2006]],Dropdown!$A$2:$D$4,4,FALSE)</f>
        <v>-</v>
      </c>
      <c r="D20" s="42" t="str">
        <f>VLOOKUP(Tabelle2834[[#This Row],[2007]],Dropdown!$A$2:$D$4,4,FALSE)</f>
        <v>-</v>
      </c>
      <c r="E20" s="42" t="str">
        <f>VLOOKUP(Tabelle2834[[#This Row],[2008]],Dropdown!$A$2:$D$4,4,FALSE)</f>
        <v>-</v>
      </c>
      <c r="F20" s="42" t="str">
        <f>VLOOKUP(Tabelle2834[[#This Row],[2009]],Dropdown!$A$2:$D$4,4,FALSE)</f>
        <v>-</v>
      </c>
      <c r="G20" s="42" t="str">
        <f>VLOOKUP(Tabelle2834[[#This Row],[2010]],Dropdown!$A$2:$D$4,4,FALSE)</f>
        <v>-</v>
      </c>
      <c r="H20" s="42" t="str">
        <f>VLOOKUP(Tabelle2834[[#This Row],[2011]],Dropdown!$A$2:$D$4,4,FALSE)</f>
        <v>X</v>
      </c>
      <c r="I20" s="42" t="str">
        <f>VLOOKUP(Tabelle2834[[#This Row],[2012]],Dropdown!$A$2:$D$4,4,FALSE)</f>
        <v>-</v>
      </c>
      <c r="J20" s="42" t="str">
        <f>VLOOKUP(Tabelle2834[[#This Row],[2013]],Dropdown!$A$2:$D$4,4,FALSE)</f>
        <v>-</v>
      </c>
      <c r="K20" s="42" t="str">
        <f>VLOOKUP(Tabelle2834[[#This Row],[2014]],Dropdown!$A$2:$D$4,4,FALSE)</f>
        <v>-</v>
      </c>
      <c r="L20" s="42" t="str">
        <f>VLOOKUP(Tabelle2834[[#This Row],[2015]],Dropdown!$A$2:$D$4,4,FALSE)</f>
        <v>-</v>
      </c>
      <c r="M20" s="42" t="str">
        <f>VLOOKUP(Tabelle2834[[#This Row],[2016]],Dropdown!$A$2:$D$4,4,FALSE)</f>
        <v>-</v>
      </c>
      <c r="N20" s="42" t="str">
        <f>VLOOKUP(Tabelle2834[[#This Row],[2017]],Dropdown!$A$2:$D$4,4,FALSE)</f>
        <v>-</v>
      </c>
      <c r="O20" s="42" t="str">
        <f>VLOOKUP(Tabelle2834[[#This Row],[2018]],Dropdown!$A$2:$D$4,4,FALSE)</f>
        <v>-</v>
      </c>
      <c r="P20" s="42" t="str">
        <f>VLOOKUP(Tabelle2834[[#This Row],[2019]],Dropdown!$A$2:$D$4,4,FALSE)</f>
        <v>-</v>
      </c>
      <c r="Q20" s="42" t="str">
        <f>VLOOKUP(Tabelle2834[[#This Row],[2020]],Dropdown!$A$2:$D$4,4,FALSE)</f>
        <v>-</v>
      </c>
      <c r="R20" s="42" t="str">
        <f>VLOOKUP(Tabelle2834[[#This Row],[nicht spezifiziert]],Dropdown!$A$2:$D$4,4,FALSE)</f>
        <v>-</v>
      </c>
    </row>
    <row r="21" spans="1:18" x14ac:dyDescent="0.25">
      <c r="A21" s="6">
        <v>19</v>
      </c>
      <c r="B21" s="42" t="str">
        <f>VLOOKUP(Tabelle2834[[#This Row],[2005]],Dropdown!$A$2:$D$4,4,FALSE)</f>
        <v>-</v>
      </c>
      <c r="C21" s="42" t="str">
        <f>VLOOKUP(Tabelle2834[[#This Row],[2006]],Dropdown!$A$2:$D$4,4,FALSE)</f>
        <v>-</v>
      </c>
      <c r="D21" s="42" t="str">
        <f>VLOOKUP(Tabelle2834[[#This Row],[2007]],Dropdown!$A$2:$D$4,4,FALSE)</f>
        <v>-</v>
      </c>
      <c r="E21" s="42" t="str">
        <f>VLOOKUP(Tabelle2834[[#This Row],[2008]],Dropdown!$A$2:$D$4,4,FALSE)</f>
        <v>-</v>
      </c>
      <c r="F21" s="42" t="str">
        <f>VLOOKUP(Tabelle2834[[#This Row],[2009]],Dropdown!$A$2:$D$4,4,FALSE)</f>
        <v>-</v>
      </c>
      <c r="G21" s="42" t="str">
        <f>VLOOKUP(Tabelle2834[[#This Row],[2010]],Dropdown!$A$2:$D$4,4,FALSE)</f>
        <v>-</v>
      </c>
      <c r="H21" s="42" t="str">
        <f>VLOOKUP(Tabelle2834[[#This Row],[2011]],Dropdown!$A$2:$D$4,4,FALSE)</f>
        <v>-</v>
      </c>
      <c r="I21" s="42" t="str">
        <f>VLOOKUP(Tabelle2834[[#This Row],[2012]],Dropdown!$A$2:$D$4,4,FALSE)</f>
        <v>-</v>
      </c>
      <c r="J21" s="42" t="str">
        <f>VLOOKUP(Tabelle2834[[#This Row],[2013]],Dropdown!$A$2:$D$4,4,FALSE)</f>
        <v>-</v>
      </c>
      <c r="K21" s="42" t="str">
        <f>VLOOKUP(Tabelle2834[[#This Row],[2014]],Dropdown!$A$2:$D$4,4,FALSE)</f>
        <v>-</v>
      </c>
      <c r="L21" s="42" t="str">
        <f>VLOOKUP(Tabelle2834[[#This Row],[2015]],Dropdown!$A$2:$D$4,4,FALSE)</f>
        <v>X</v>
      </c>
      <c r="M21" s="42" t="str">
        <f>VLOOKUP(Tabelle2834[[#This Row],[2016]],Dropdown!$A$2:$D$4,4,FALSE)</f>
        <v>-</v>
      </c>
      <c r="N21" s="42" t="str">
        <f>VLOOKUP(Tabelle2834[[#This Row],[2017]],Dropdown!$A$2:$D$4,4,FALSE)</f>
        <v>-</v>
      </c>
      <c r="O21" s="42" t="str">
        <f>VLOOKUP(Tabelle2834[[#This Row],[2018]],Dropdown!$A$2:$D$4,4,FALSE)</f>
        <v>-</v>
      </c>
      <c r="P21" s="42" t="str">
        <f>VLOOKUP(Tabelle2834[[#This Row],[2019]],Dropdown!$A$2:$D$4,4,FALSE)</f>
        <v>-</v>
      </c>
      <c r="Q21" s="42" t="str">
        <f>VLOOKUP(Tabelle2834[[#This Row],[2020]],Dropdown!$A$2:$D$4,4,FALSE)</f>
        <v>-</v>
      </c>
      <c r="R21" s="42" t="str">
        <f>VLOOKUP(Tabelle2834[[#This Row],[nicht spezifiziert]],Dropdown!$A$2:$D$4,4,FALSE)</f>
        <v>-</v>
      </c>
    </row>
    <row r="22" spans="1:18" x14ac:dyDescent="0.25">
      <c r="A22" s="6">
        <v>20</v>
      </c>
      <c r="B22" s="42" t="str">
        <f>VLOOKUP(Tabelle2834[[#This Row],[2005]],Dropdown!$A$2:$D$4,4,FALSE)</f>
        <v>-</v>
      </c>
      <c r="C22" s="42" t="str">
        <f>VLOOKUP(Tabelle2834[[#This Row],[2006]],Dropdown!$A$2:$D$4,4,FALSE)</f>
        <v>-</v>
      </c>
      <c r="D22" s="42" t="str">
        <f>VLOOKUP(Tabelle2834[[#This Row],[2007]],Dropdown!$A$2:$D$4,4,FALSE)</f>
        <v>-</v>
      </c>
      <c r="E22" s="42" t="str">
        <f>VLOOKUP(Tabelle2834[[#This Row],[2008]],Dropdown!$A$2:$D$4,4,FALSE)</f>
        <v>-</v>
      </c>
      <c r="F22" s="42" t="str">
        <f>VLOOKUP(Tabelle2834[[#This Row],[2009]],Dropdown!$A$2:$D$4,4,FALSE)</f>
        <v>-</v>
      </c>
      <c r="G22" s="42" t="str">
        <f>VLOOKUP(Tabelle2834[[#This Row],[2010]],Dropdown!$A$2:$D$4,4,FALSE)</f>
        <v>-</v>
      </c>
      <c r="H22" s="42" t="str">
        <f>VLOOKUP(Tabelle2834[[#This Row],[2011]],Dropdown!$A$2:$D$4,4,FALSE)</f>
        <v>-</v>
      </c>
      <c r="I22" s="42" t="str">
        <f>VLOOKUP(Tabelle2834[[#This Row],[2012]],Dropdown!$A$2:$D$4,4,FALSE)</f>
        <v>-</v>
      </c>
      <c r="J22" s="42" t="str">
        <f>VLOOKUP(Tabelle2834[[#This Row],[2013]],Dropdown!$A$2:$D$4,4,FALSE)</f>
        <v>-</v>
      </c>
      <c r="K22" s="42" t="str">
        <f>VLOOKUP(Tabelle2834[[#This Row],[2014]],Dropdown!$A$2:$D$4,4,FALSE)</f>
        <v>X</v>
      </c>
      <c r="L22" s="42" t="str">
        <f>VLOOKUP(Tabelle2834[[#This Row],[2015]],Dropdown!$A$2:$D$4,4,FALSE)</f>
        <v>-</v>
      </c>
      <c r="M22" s="42" t="str">
        <f>VLOOKUP(Tabelle2834[[#This Row],[2016]],Dropdown!$A$2:$D$4,4,FALSE)</f>
        <v>-</v>
      </c>
      <c r="N22" s="42" t="str">
        <f>VLOOKUP(Tabelle2834[[#This Row],[2017]],Dropdown!$A$2:$D$4,4,FALSE)</f>
        <v>-</v>
      </c>
      <c r="O22" s="42" t="str">
        <f>VLOOKUP(Tabelle2834[[#This Row],[2018]],Dropdown!$A$2:$D$4,4,FALSE)</f>
        <v>-</v>
      </c>
      <c r="P22" s="42" t="str">
        <f>VLOOKUP(Tabelle2834[[#This Row],[2019]],Dropdown!$A$2:$D$4,4,FALSE)</f>
        <v>-</v>
      </c>
      <c r="Q22" s="42" t="str">
        <f>VLOOKUP(Tabelle2834[[#This Row],[2020]],Dropdown!$A$2:$D$4,4,FALSE)</f>
        <v>-</v>
      </c>
      <c r="R22" s="42" t="str">
        <f>VLOOKUP(Tabelle2834[[#This Row],[nicht spezifiziert]],Dropdown!$A$2:$D$4,4,FALSE)</f>
        <v>-</v>
      </c>
    </row>
    <row r="23" spans="1:18" x14ac:dyDescent="0.25">
      <c r="A23" s="6">
        <v>21</v>
      </c>
      <c r="B23" s="42" t="str">
        <f>VLOOKUP(Tabelle2834[[#This Row],[2005]],Dropdown!$A$2:$D$4,4,FALSE)</f>
        <v>-</v>
      </c>
      <c r="C23" s="42" t="str">
        <f>VLOOKUP(Tabelle2834[[#This Row],[2006]],Dropdown!$A$2:$D$4,4,FALSE)</f>
        <v>-</v>
      </c>
      <c r="D23" s="42" t="str">
        <f>VLOOKUP(Tabelle2834[[#This Row],[2007]],Dropdown!$A$2:$D$4,4,FALSE)</f>
        <v>-</v>
      </c>
      <c r="E23" s="42" t="str">
        <f>VLOOKUP(Tabelle2834[[#This Row],[2008]],Dropdown!$A$2:$D$4,4,FALSE)</f>
        <v>-</v>
      </c>
      <c r="F23" s="42" t="str">
        <f>VLOOKUP(Tabelle2834[[#This Row],[2009]],Dropdown!$A$2:$D$4,4,FALSE)</f>
        <v>-</v>
      </c>
      <c r="G23" s="42" t="str">
        <f>VLOOKUP(Tabelle2834[[#This Row],[2010]],Dropdown!$A$2:$D$4,4,FALSE)</f>
        <v>X</v>
      </c>
      <c r="H23" s="42" t="str">
        <f>VLOOKUP(Tabelle2834[[#This Row],[2011]],Dropdown!$A$2:$D$4,4,FALSE)</f>
        <v>-</v>
      </c>
      <c r="I23" s="42" t="str">
        <f>VLOOKUP(Tabelle2834[[#This Row],[2012]],Dropdown!$A$2:$D$4,4,FALSE)</f>
        <v>-</v>
      </c>
      <c r="J23" s="42" t="str">
        <f>VLOOKUP(Tabelle2834[[#This Row],[2013]],Dropdown!$A$2:$D$4,4,FALSE)</f>
        <v>-</v>
      </c>
      <c r="K23" s="42" t="str">
        <f>VLOOKUP(Tabelle2834[[#This Row],[2014]],Dropdown!$A$2:$D$4,4,FALSE)</f>
        <v>-</v>
      </c>
      <c r="L23" s="42" t="str">
        <f>VLOOKUP(Tabelle2834[[#This Row],[2015]],Dropdown!$A$2:$D$4,4,FALSE)</f>
        <v>-</v>
      </c>
      <c r="M23" s="42" t="str">
        <f>VLOOKUP(Tabelle2834[[#This Row],[2016]],Dropdown!$A$2:$D$4,4,FALSE)</f>
        <v>-</v>
      </c>
      <c r="N23" s="42" t="str">
        <f>VLOOKUP(Tabelle2834[[#This Row],[2017]],Dropdown!$A$2:$D$4,4,FALSE)</f>
        <v>-</v>
      </c>
      <c r="O23" s="42" t="str">
        <f>VLOOKUP(Tabelle2834[[#This Row],[2018]],Dropdown!$A$2:$D$4,4,FALSE)</f>
        <v>-</v>
      </c>
      <c r="P23" s="42" t="str">
        <f>VLOOKUP(Tabelle2834[[#This Row],[2019]],Dropdown!$A$2:$D$4,4,FALSE)</f>
        <v>-</v>
      </c>
      <c r="Q23" s="42" t="str">
        <f>VLOOKUP(Tabelle2834[[#This Row],[2020]],Dropdown!$A$2:$D$4,4,FALSE)</f>
        <v>-</v>
      </c>
      <c r="R23" s="42" t="str">
        <f>VLOOKUP(Tabelle2834[[#This Row],[nicht spezifiziert]],Dropdown!$A$2:$D$4,4,FALSE)</f>
        <v>-</v>
      </c>
    </row>
    <row r="24" spans="1:18" x14ac:dyDescent="0.25">
      <c r="A24" s="6">
        <v>22</v>
      </c>
      <c r="B24" s="42" t="str">
        <f>VLOOKUP(Tabelle2834[[#This Row],[2005]],Dropdown!$A$2:$D$4,4,FALSE)</f>
        <v>-</v>
      </c>
      <c r="C24" s="42" t="str">
        <f>VLOOKUP(Tabelle2834[[#This Row],[2006]],Dropdown!$A$2:$D$4,4,FALSE)</f>
        <v>-</v>
      </c>
      <c r="D24" s="42" t="str">
        <f>VLOOKUP(Tabelle2834[[#This Row],[2007]],Dropdown!$A$2:$D$4,4,FALSE)</f>
        <v>-</v>
      </c>
      <c r="E24" s="42" t="str">
        <f>VLOOKUP(Tabelle2834[[#This Row],[2008]],Dropdown!$A$2:$D$4,4,FALSE)</f>
        <v>-</v>
      </c>
      <c r="F24" s="42" t="str">
        <f>VLOOKUP(Tabelle2834[[#This Row],[2009]],Dropdown!$A$2:$D$4,4,FALSE)</f>
        <v>-</v>
      </c>
      <c r="G24" s="42" t="str">
        <f>VLOOKUP(Tabelle2834[[#This Row],[2010]],Dropdown!$A$2:$D$4,4,FALSE)</f>
        <v>X</v>
      </c>
      <c r="H24" s="42" t="str">
        <f>VLOOKUP(Tabelle2834[[#This Row],[2011]],Dropdown!$A$2:$D$4,4,FALSE)</f>
        <v>-</v>
      </c>
      <c r="I24" s="42" t="str">
        <f>VLOOKUP(Tabelle2834[[#This Row],[2012]],Dropdown!$A$2:$D$4,4,FALSE)</f>
        <v>-</v>
      </c>
      <c r="J24" s="42" t="str">
        <f>VLOOKUP(Tabelle2834[[#This Row],[2013]],Dropdown!$A$2:$D$4,4,FALSE)</f>
        <v>-</v>
      </c>
      <c r="K24" s="42" t="str">
        <f>VLOOKUP(Tabelle2834[[#This Row],[2014]],Dropdown!$A$2:$D$4,4,FALSE)</f>
        <v>-</v>
      </c>
      <c r="L24" s="42" t="str">
        <f>VLOOKUP(Tabelle2834[[#This Row],[2015]],Dropdown!$A$2:$D$4,4,FALSE)</f>
        <v>-</v>
      </c>
      <c r="M24" s="42" t="str">
        <f>VLOOKUP(Tabelle2834[[#This Row],[2016]],Dropdown!$A$2:$D$4,4,FALSE)</f>
        <v>-</v>
      </c>
      <c r="N24" s="42" t="str">
        <f>VLOOKUP(Tabelle2834[[#This Row],[2017]],Dropdown!$A$2:$D$4,4,FALSE)</f>
        <v>-</v>
      </c>
      <c r="O24" s="42" t="str">
        <f>VLOOKUP(Tabelle2834[[#This Row],[2018]],Dropdown!$A$2:$D$4,4,FALSE)</f>
        <v>-</v>
      </c>
      <c r="P24" s="42" t="str">
        <f>VLOOKUP(Tabelle2834[[#This Row],[2019]],Dropdown!$A$2:$D$4,4,FALSE)</f>
        <v>-</v>
      </c>
      <c r="Q24" s="42" t="str">
        <f>VLOOKUP(Tabelle2834[[#This Row],[2020]],Dropdown!$A$2:$D$4,4,FALSE)</f>
        <v>-</v>
      </c>
      <c r="R24" s="42" t="str">
        <f>VLOOKUP(Tabelle2834[[#This Row],[nicht spezifiziert]],Dropdown!$A$2:$D$4,4,FALSE)</f>
        <v>-</v>
      </c>
    </row>
    <row r="25" spans="1:18" x14ac:dyDescent="0.25">
      <c r="A25" s="6">
        <v>23</v>
      </c>
      <c r="B25" s="42" t="str">
        <f>VLOOKUP(Tabelle2834[[#This Row],[2005]],Dropdown!$A$2:$D$4,4,FALSE)</f>
        <v>-</v>
      </c>
      <c r="C25" s="42" t="str">
        <f>VLOOKUP(Tabelle2834[[#This Row],[2006]],Dropdown!$A$2:$D$4,4,FALSE)</f>
        <v>-</v>
      </c>
      <c r="D25" s="42" t="str">
        <f>VLOOKUP(Tabelle2834[[#This Row],[2007]],Dropdown!$A$2:$D$4,4,FALSE)</f>
        <v>-</v>
      </c>
      <c r="E25" s="42" t="str">
        <f>VLOOKUP(Tabelle2834[[#This Row],[2008]],Dropdown!$A$2:$D$4,4,FALSE)</f>
        <v>-</v>
      </c>
      <c r="F25" s="42" t="str">
        <f>VLOOKUP(Tabelle2834[[#This Row],[2009]],Dropdown!$A$2:$D$4,4,FALSE)</f>
        <v>-</v>
      </c>
      <c r="G25" s="42" t="str">
        <f>VLOOKUP(Tabelle2834[[#This Row],[2010]],Dropdown!$A$2:$D$4,4,FALSE)</f>
        <v>-</v>
      </c>
      <c r="H25" s="42" t="str">
        <f>VLOOKUP(Tabelle2834[[#This Row],[2011]],Dropdown!$A$2:$D$4,4,FALSE)</f>
        <v>-</v>
      </c>
      <c r="I25" s="42" t="str">
        <f>VLOOKUP(Tabelle2834[[#This Row],[2012]],Dropdown!$A$2:$D$4,4,FALSE)</f>
        <v>-</v>
      </c>
      <c r="J25" s="42" t="str">
        <f>VLOOKUP(Tabelle2834[[#This Row],[2013]],Dropdown!$A$2:$D$4,4,FALSE)</f>
        <v>-</v>
      </c>
      <c r="K25" s="42" t="str">
        <f>VLOOKUP(Tabelle2834[[#This Row],[2014]],Dropdown!$A$2:$D$4,4,FALSE)</f>
        <v>-</v>
      </c>
      <c r="L25" s="42" t="str">
        <f>VLOOKUP(Tabelle2834[[#This Row],[2015]],Dropdown!$A$2:$D$4,4,FALSE)</f>
        <v>-</v>
      </c>
      <c r="M25" s="42" t="str">
        <f>VLOOKUP(Tabelle2834[[#This Row],[2016]],Dropdown!$A$2:$D$4,4,FALSE)</f>
        <v>-</v>
      </c>
      <c r="N25" s="42" t="str">
        <f>VLOOKUP(Tabelle2834[[#This Row],[2017]],Dropdown!$A$2:$D$4,4,FALSE)</f>
        <v>-</v>
      </c>
      <c r="O25" s="42" t="str">
        <f>VLOOKUP(Tabelle2834[[#This Row],[2018]],Dropdown!$A$2:$D$4,4,FALSE)</f>
        <v>-</v>
      </c>
      <c r="P25" s="42" t="str">
        <f>VLOOKUP(Tabelle2834[[#This Row],[2019]],Dropdown!$A$2:$D$4,4,FALSE)</f>
        <v>-</v>
      </c>
      <c r="Q25" s="42" t="str">
        <f>VLOOKUP(Tabelle2834[[#This Row],[2020]],Dropdown!$A$2:$D$4,4,FALSE)</f>
        <v>-</v>
      </c>
      <c r="R25" s="42" t="str">
        <f>VLOOKUP(Tabelle2834[[#This Row],[nicht spezifiziert]],Dropdown!$A$2:$D$4,4,FALSE)</f>
        <v>X</v>
      </c>
    </row>
    <row r="26" spans="1:18" x14ac:dyDescent="0.25">
      <c r="A26" s="6">
        <v>24</v>
      </c>
      <c r="B26" s="42" t="str">
        <f>VLOOKUP(Tabelle2834[[#This Row],[2005]],Dropdown!$A$2:$D$4,4,FALSE)</f>
        <v>-</v>
      </c>
      <c r="C26" s="42" t="str">
        <f>VLOOKUP(Tabelle2834[[#This Row],[2006]],Dropdown!$A$2:$D$4,4,FALSE)</f>
        <v>-</v>
      </c>
      <c r="D26" s="42" t="str">
        <f>VLOOKUP(Tabelle2834[[#This Row],[2007]],Dropdown!$A$2:$D$4,4,FALSE)</f>
        <v>-</v>
      </c>
      <c r="E26" s="42" t="str">
        <f>VLOOKUP(Tabelle2834[[#This Row],[2008]],Dropdown!$A$2:$D$4,4,FALSE)</f>
        <v>-</v>
      </c>
      <c r="F26" s="42" t="str">
        <f>VLOOKUP(Tabelle2834[[#This Row],[2009]],Dropdown!$A$2:$D$4,4,FALSE)</f>
        <v>-</v>
      </c>
      <c r="G26" s="42" t="str">
        <f>VLOOKUP(Tabelle2834[[#This Row],[2010]],Dropdown!$A$2:$D$4,4,FALSE)</f>
        <v>-</v>
      </c>
      <c r="H26" s="42" t="str">
        <f>VLOOKUP(Tabelle2834[[#This Row],[2011]],Dropdown!$A$2:$D$4,4,FALSE)</f>
        <v>-</v>
      </c>
      <c r="I26" s="42" t="str">
        <f>VLOOKUP(Tabelle2834[[#This Row],[2012]],Dropdown!$A$2:$D$4,4,FALSE)</f>
        <v>-</v>
      </c>
      <c r="J26" s="42" t="str">
        <f>VLOOKUP(Tabelle2834[[#This Row],[2013]],Dropdown!$A$2:$D$4,4,FALSE)</f>
        <v>-</v>
      </c>
      <c r="K26" s="42" t="str">
        <f>VLOOKUP(Tabelle2834[[#This Row],[2014]],Dropdown!$A$2:$D$4,4,FALSE)</f>
        <v>-</v>
      </c>
      <c r="L26" s="42" t="str">
        <f>VLOOKUP(Tabelle2834[[#This Row],[2015]],Dropdown!$A$2:$D$4,4,FALSE)</f>
        <v>X</v>
      </c>
      <c r="M26" s="42" t="str">
        <f>VLOOKUP(Tabelle2834[[#This Row],[2016]],Dropdown!$A$2:$D$4,4,FALSE)</f>
        <v>-</v>
      </c>
      <c r="N26" s="42" t="str">
        <f>VLOOKUP(Tabelle2834[[#This Row],[2017]],Dropdown!$A$2:$D$4,4,FALSE)</f>
        <v>-</v>
      </c>
      <c r="O26" s="42" t="str">
        <f>VLOOKUP(Tabelle2834[[#This Row],[2018]],Dropdown!$A$2:$D$4,4,FALSE)</f>
        <v>-</v>
      </c>
      <c r="P26" s="42" t="str">
        <f>VLOOKUP(Tabelle2834[[#This Row],[2019]],Dropdown!$A$2:$D$4,4,FALSE)</f>
        <v>-</v>
      </c>
      <c r="Q26" s="42" t="str">
        <f>VLOOKUP(Tabelle2834[[#This Row],[2020]],Dropdown!$A$2:$D$4,4,FALSE)</f>
        <v>-</v>
      </c>
      <c r="R26" s="42" t="str">
        <f>VLOOKUP(Tabelle2834[[#This Row],[nicht spezifiziert]],Dropdown!$A$2:$D$4,4,FALSE)</f>
        <v>-</v>
      </c>
    </row>
    <row r="27" spans="1:18" x14ac:dyDescent="0.25">
      <c r="A27" s="6">
        <v>25</v>
      </c>
      <c r="B27" s="42" t="str">
        <f>VLOOKUP(Tabelle2834[[#This Row],[2005]],Dropdown!$A$2:$D$4,4,FALSE)</f>
        <v>-</v>
      </c>
      <c r="C27" s="42" t="str">
        <f>VLOOKUP(Tabelle2834[[#This Row],[2006]],Dropdown!$A$2:$D$4,4,FALSE)</f>
        <v>-</v>
      </c>
      <c r="D27" s="42" t="str">
        <f>VLOOKUP(Tabelle2834[[#This Row],[2007]],Dropdown!$A$2:$D$4,4,FALSE)</f>
        <v>-</v>
      </c>
      <c r="E27" s="42" t="str">
        <f>VLOOKUP(Tabelle2834[[#This Row],[2008]],Dropdown!$A$2:$D$4,4,FALSE)</f>
        <v>-</v>
      </c>
      <c r="F27" s="42" t="str">
        <f>VLOOKUP(Tabelle2834[[#This Row],[2009]],Dropdown!$A$2:$D$4,4,FALSE)</f>
        <v>-</v>
      </c>
      <c r="G27" s="42" t="str">
        <f>VLOOKUP(Tabelle2834[[#This Row],[2010]],Dropdown!$A$2:$D$4,4,FALSE)</f>
        <v>-</v>
      </c>
      <c r="H27" s="42" t="str">
        <f>VLOOKUP(Tabelle2834[[#This Row],[2011]],Dropdown!$A$2:$D$4,4,FALSE)</f>
        <v>-</v>
      </c>
      <c r="I27" s="42" t="str">
        <f>VLOOKUP(Tabelle2834[[#This Row],[2012]],Dropdown!$A$2:$D$4,4,FALSE)</f>
        <v>X</v>
      </c>
      <c r="J27" s="42" t="str">
        <f>VLOOKUP(Tabelle2834[[#This Row],[2013]],Dropdown!$A$2:$D$4,4,FALSE)</f>
        <v>-</v>
      </c>
      <c r="K27" s="42" t="str">
        <f>VLOOKUP(Tabelle2834[[#This Row],[2014]],Dropdown!$A$2:$D$4,4,FALSE)</f>
        <v>-</v>
      </c>
      <c r="L27" s="42" t="str">
        <f>VLOOKUP(Tabelle2834[[#This Row],[2015]],Dropdown!$A$2:$D$4,4,FALSE)</f>
        <v>-</v>
      </c>
      <c r="M27" s="42" t="str">
        <f>VLOOKUP(Tabelle2834[[#This Row],[2016]],Dropdown!$A$2:$D$4,4,FALSE)</f>
        <v>-</v>
      </c>
      <c r="N27" s="42" t="str">
        <f>VLOOKUP(Tabelle2834[[#This Row],[2017]],Dropdown!$A$2:$D$4,4,FALSE)</f>
        <v>-</v>
      </c>
      <c r="O27" s="42" t="str">
        <f>VLOOKUP(Tabelle2834[[#This Row],[2018]],Dropdown!$A$2:$D$4,4,FALSE)</f>
        <v>-</v>
      </c>
      <c r="P27" s="42" t="str">
        <f>VLOOKUP(Tabelle2834[[#This Row],[2019]],Dropdown!$A$2:$D$4,4,FALSE)</f>
        <v>-</v>
      </c>
      <c r="Q27" s="42" t="str">
        <f>VLOOKUP(Tabelle2834[[#This Row],[2020]],Dropdown!$A$2:$D$4,4,FALSE)</f>
        <v>-</v>
      </c>
      <c r="R27" s="42" t="str">
        <f>VLOOKUP(Tabelle2834[[#This Row],[nicht spezifiziert]],Dropdown!$A$2:$D$4,4,FALSE)</f>
        <v>-</v>
      </c>
    </row>
    <row r="28" spans="1:18" x14ac:dyDescent="0.25">
      <c r="A28" s="6" t="s">
        <v>854</v>
      </c>
      <c r="B28" s="72">
        <f>Tabelle2834[[#This Row],[2005]]</f>
        <v>1</v>
      </c>
      <c r="C28" s="72">
        <f>Tabelle2834[[#This Row],[2006]]</f>
        <v>0</v>
      </c>
      <c r="D28" s="72">
        <f>Tabelle2834[[#This Row],[2007]]</f>
        <v>0</v>
      </c>
      <c r="E28" s="72">
        <f>Tabelle2834[[#This Row],[2008]]</f>
        <v>0</v>
      </c>
      <c r="F28" s="72">
        <f>Tabelle2834[[#This Row],[2009]]</f>
        <v>0</v>
      </c>
      <c r="G28" s="72">
        <f>Tabelle2834[[#This Row],[2010]]</f>
        <v>6</v>
      </c>
      <c r="H28" s="72">
        <f>Tabelle2834[[#This Row],[2011]]</f>
        <v>3</v>
      </c>
      <c r="I28" s="72">
        <f>Tabelle2834[[#This Row],[2012]]</f>
        <v>2</v>
      </c>
      <c r="J28" s="72">
        <f>Tabelle2834[[#This Row],[2013]]</f>
        <v>3</v>
      </c>
      <c r="K28" s="72">
        <f>Tabelle2834[[#This Row],[2014]]</f>
        <v>1</v>
      </c>
      <c r="L28" s="72">
        <f>Tabelle2834[[#This Row],[2015]]</f>
        <v>4</v>
      </c>
      <c r="M28" s="72">
        <f>Tabelle2834[[#This Row],[2016]]</f>
        <v>0</v>
      </c>
      <c r="N28" s="72">
        <f>Tabelle2834[[#This Row],[2017]]</f>
        <v>0</v>
      </c>
      <c r="O28" s="72">
        <f>Tabelle2834[[#This Row],[2018]]</f>
        <v>0</v>
      </c>
      <c r="P28" s="72">
        <f>Tabelle2834[[#This Row],[2019]]</f>
        <v>0</v>
      </c>
      <c r="Q28" s="72">
        <f>Tabelle2834[[#This Row],[2020]]</f>
        <v>1</v>
      </c>
      <c r="R28" s="72">
        <f>Tabelle2834[[#This Row],[nicht spezifiziert]]</f>
        <v>4</v>
      </c>
    </row>
  </sheetData>
  <pageMargins left="0.7" right="0.7" top="0.78740157499999996" bottom="0.78740157499999996"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17048-B4F4-491A-B150-7B4E172468C1}">
  <sheetPr codeName="Tabelle6">
    <tabColor theme="9" tint="0.79998168889431442"/>
  </sheetPr>
  <dimension ref="A1:B26"/>
  <sheetViews>
    <sheetView workbookViewId="0">
      <selection activeCell="A26" sqref="A26"/>
    </sheetView>
  </sheetViews>
  <sheetFormatPr baseColWidth="10" defaultRowHeight="15.75" x14ac:dyDescent="0.25"/>
  <cols>
    <col min="1" max="1" width="17.625" customWidth="1"/>
  </cols>
  <sheetData>
    <row r="1" spans="1:2" x14ac:dyDescent="0.25">
      <c r="A1" s="50" t="s">
        <v>1</v>
      </c>
      <c r="B1" s="63" t="s">
        <v>1169</v>
      </c>
    </row>
    <row r="2" spans="1:2" x14ac:dyDescent="0.25">
      <c r="A2" s="6" t="s">
        <v>12</v>
      </c>
      <c r="B2" s="62">
        <v>1</v>
      </c>
    </row>
    <row r="3" spans="1:2" ht="25.5" x14ac:dyDescent="0.25">
      <c r="A3" s="6" t="s">
        <v>347</v>
      </c>
      <c r="B3" s="42">
        <v>2</v>
      </c>
    </row>
    <row r="4" spans="1:2" ht="25.5" x14ac:dyDescent="0.25">
      <c r="A4" s="6" t="s">
        <v>348</v>
      </c>
      <c r="B4" s="62">
        <v>3</v>
      </c>
    </row>
    <row r="5" spans="1:2" x14ac:dyDescent="0.25">
      <c r="A5" s="6" t="s">
        <v>183</v>
      </c>
      <c r="B5" s="42">
        <v>4</v>
      </c>
    </row>
    <row r="6" spans="1:2" ht="25.5" x14ac:dyDescent="0.25">
      <c r="A6" s="6" t="s">
        <v>258</v>
      </c>
      <c r="B6" s="62">
        <v>5</v>
      </c>
    </row>
    <row r="7" spans="1:2" x14ac:dyDescent="0.25">
      <c r="A7" s="18" t="s">
        <v>355</v>
      </c>
      <c r="B7" s="42">
        <v>6</v>
      </c>
    </row>
    <row r="8" spans="1:2" x14ac:dyDescent="0.25">
      <c r="A8" s="18" t="s">
        <v>431</v>
      </c>
      <c r="B8" s="62">
        <v>7</v>
      </c>
    </row>
    <row r="9" spans="1:2" x14ac:dyDescent="0.25">
      <c r="A9" s="6" t="s">
        <v>410</v>
      </c>
      <c r="B9" s="42">
        <v>8</v>
      </c>
    </row>
    <row r="10" spans="1:2" x14ac:dyDescent="0.25">
      <c r="A10" s="6" t="s">
        <v>393</v>
      </c>
      <c r="B10" s="62">
        <v>9</v>
      </c>
    </row>
    <row r="11" spans="1:2" ht="38.25" x14ac:dyDescent="0.25">
      <c r="A11" s="21" t="s">
        <v>380</v>
      </c>
      <c r="B11" s="42">
        <v>10</v>
      </c>
    </row>
    <row r="12" spans="1:2" ht="25.5" x14ac:dyDescent="0.25">
      <c r="A12" s="6" t="s">
        <v>95</v>
      </c>
      <c r="B12" s="62">
        <v>11</v>
      </c>
    </row>
    <row r="13" spans="1:2" ht="38.25" x14ac:dyDescent="0.25">
      <c r="A13" s="6" t="s">
        <v>1709</v>
      </c>
      <c r="B13" s="42">
        <v>12</v>
      </c>
    </row>
    <row r="14" spans="1:2" x14ac:dyDescent="0.25">
      <c r="A14" s="6" t="s">
        <v>179</v>
      </c>
      <c r="B14" s="62">
        <v>13</v>
      </c>
    </row>
    <row r="15" spans="1:2" x14ac:dyDescent="0.25">
      <c r="A15" s="6" t="s">
        <v>341</v>
      </c>
      <c r="B15" s="42">
        <v>14</v>
      </c>
    </row>
    <row r="16" spans="1:2" x14ac:dyDescent="0.25">
      <c r="A16" s="6" t="s">
        <v>22</v>
      </c>
      <c r="B16" s="62">
        <v>15</v>
      </c>
    </row>
    <row r="17" spans="1:2" ht="25.5" x14ac:dyDescent="0.25">
      <c r="A17" s="6" t="s">
        <v>188</v>
      </c>
      <c r="B17" s="42">
        <v>16</v>
      </c>
    </row>
    <row r="18" spans="1:2" ht="25.5" x14ac:dyDescent="0.25">
      <c r="A18" s="6" t="s">
        <v>133</v>
      </c>
      <c r="B18" s="62">
        <v>17</v>
      </c>
    </row>
    <row r="19" spans="1:2" ht="25.5" x14ac:dyDescent="0.25">
      <c r="A19" s="6" t="s">
        <v>10</v>
      </c>
      <c r="B19" s="42">
        <v>18</v>
      </c>
    </row>
    <row r="20" spans="1:2" ht="38.25" x14ac:dyDescent="0.25">
      <c r="A20" s="6" t="s">
        <v>832</v>
      </c>
      <c r="B20" s="62">
        <v>19</v>
      </c>
    </row>
    <row r="21" spans="1:2" x14ac:dyDescent="0.25">
      <c r="A21" s="6" t="s">
        <v>16</v>
      </c>
      <c r="B21" s="42">
        <v>20</v>
      </c>
    </row>
    <row r="22" spans="1:2" ht="25.5" x14ac:dyDescent="0.25">
      <c r="A22" s="6" t="s">
        <v>7</v>
      </c>
      <c r="B22" s="62">
        <v>21</v>
      </c>
    </row>
    <row r="23" spans="1:2" x14ac:dyDescent="0.25">
      <c r="A23" s="6" t="s">
        <v>18</v>
      </c>
      <c r="B23" s="42">
        <v>22</v>
      </c>
    </row>
    <row r="24" spans="1:2" x14ac:dyDescent="0.25">
      <c r="A24" s="6" t="s">
        <v>338</v>
      </c>
      <c r="B24" s="62">
        <v>23</v>
      </c>
    </row>
    <row r="25" spans="1:2" ht="25.5" x14ac:dyDescent="0.25">
      <c r="A25" s="6" t="s">
        <v>351</v>
      </c>
      <c r="B25" s="42">
        <v>24</v>
      </c>
    </row>
    <row r="26" spans="1:2" ht="38.25" x14ac:dyDescent="0.25">
      <c r="A26" s="51" t="s">
        <v>24</v>
      </c>
      <c r="B26" s="62">
        <v>25</v>
      </c>
    </row>
  </sheetData>
  <pageMargins left="0.7" right="0.7" top="0.78740157499999996" bottom="0.78740157499999996" header="0.3" footer="0.3"/>
  <pageSetup paperSize="9" orientation="portrait" r:id="rId1"/>
  <tableParts count="1">
    <tablePart r:id="rId2"/>
  </tableParts>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9"/>
  <dimension ref="A1:D6"/>
  <sheetViews>
    <sheetView workbookViewId="0">
      <selection activeCell="B5" sqref="B5"/>
    </sheetView>
  </sheetViews>
  <sheetFormatPr baseColWidth="10" defaultColWidth="11" defaultRowHeight="14.25" x14ac:dyDescent="0.2"/>
  <cols>
    <col min="1" max="1" width="21.75" style="1" customWidth="1"/>
    <col min="2" max="2" width="23" style="1" bestFit="1" customWidth="1"/>
    <col min="3" max="16384" width="11" style="1"/>
  </cols>
  <sheetData>
    <row r="1" spans="1:4" ht="15" x14ac:dyDescent="0.25">
      <c r="A1" s="2" t="s">
        <v>74</v>
      </c>
      <c r="B1" s="1" t="s">
        <v>118</v>
      </c>
      <c r="C1" s="1" t="s">
        <v>844</v>
      </c>
      <c r="D1" s="1" t="s">
        <v>850</v>
      </c>
    </row>
    <row r="2" spans="1:4" x14ac:dyDescent="0.2">
      <c r="A2" s="1">
        <v>1</v>
      </c>
      <c r="B2" s="1" t="s">
        <v>109</v>
      </c>
      <c r="C2" s="1" t="s">
        <v>531</v>
      </c>
      <c r="D2" s="1" t="s">
        <v>851</v>
      </c>
    </row>
    <row r="3" spans="1:4" x14ac:dyDescent="0.2">
      <c r="A3" s="1">
        <v>0.5</v>
      </c>
      <c r="B3" s="1" t="s">
        <v>110</v>
      </c>
      <c r="C3" s="1" t="s">
        <v>845</v>
      </c>
      <c r="D3" s="1" t="s">
        <v>852</v>
      </c>
    </row>
    <row r="4" spans="1:4" x14ac:dyDescent="0.2">
      <c r="A4" s="1">
        <v>0</v>
      </c>
      <c r="B4" s="1" t="s">
        <v>214</v>
      </c>
      <c r="C4" s="1" t="s">
        <v>846</v>
      </c>
      <c r="D4" s="1" t="s">
        <v>131</v>
      </c>
    </row>
    <row r="5" spans="1:4" x14ac:dyDescent="0.2">
      <c r="B5" s="1" t="s">
        <v>271</v>
      </c>
    </row>
    <row r="6" spans="1:4" x14ac:dyDescent="0.2">
      <c r="B6" s="1" t="s">
        <v>158</v>
      </c>
    </row>
  </sheetData>
  <pageMargins left="0.7" right="0.7" top="0.78740157499999996" bottom="0.78740157499999996" header="0.3" footer="0.3"/>
  <legacyDrawing r:id="rId1"/>
  <tableParts count="1">
    <tablePart r:id="rId2"/>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6FA52-56BA-4C04-9C44-5CE183DB2F4F}">
  <sheetPr codeName="Tabelle60"/>
  <dimension ref="A1:H25"/>
  <sheetViews>
    <sheetView workbookViewId="0">
      <pane xSplit="1" ySplit="2" topLeftCell="B3" activePane="bottomRight" state="frozen"/>
      <selection activeCell="M14" sqref="M14"/>
      <selection pane="topRight" activeCell="M14" sqref="M14"/>
      <selection pane="bottomLeft" activeCell="M14" sqref="M14"/>
      <selection pane="bottomRight" activeCell="M14" sqref="M14"/>
    </sheetView>
  </sheetViews>
  <sheetFormatPr baseColWidth="10" defaultRowHeight="15.75" x14ac:dyDescent="0.25"/>
  <cols>
    <col min="1" max="1" width="13.625" style="7" customWidth="1"/>
    <col min="2" max="2" width="33" style="7" customWidth="1"/>
    <col min="3" max="4" width="18.375" style="7" customWidth="1"/>
    <col min="5" max="8" width="13.25" style="7" customWidth="1"/>
  </cols>
  <sheetData>
    <row r="1" spans="1:8" x14ac:dyDescent="0.25">
      <c r="A1" s="3" t="s">
        <v>86</v>
      </c>
      <c r="B1" s="3" t="s">
        <v>86</v>
      </c>
      <c r="C1" s="4" t="s">
        <v>90</v>
      </c>
      <c r="D1" s="4" t="s">
        <v>90</v>
      </c>
      <c r="E1" s="4" t="s">
        <v>90</v>
      </c>
      <c r="F1" s="4" t="s">
        <v>90</v>
      </c>
      <c r="G1" s="4" t="s">
        <v>90</v>
      </c>
      <c r="H1" s="4" t="s">
        <v>90</v>
      </c>
    </row>
    <row r="2" spans="1:8" ht="38.25" x14ac:dyDescent="0.25">
      <c r="A2" s="3" t="s">
        <v>1</v>
      </c>
      <c r="B2" s="3" t="s">
        <v>793</v>
      </c>
      <c r="C2" s="4" t="s">
        <v>137</v>
      </c>
      <c r="D2" s="4" t="s">
        <v>146</v>
      </c>
      <c r="E2" s="4" t="s">
        <v>138</v>
      </c>
      <c r="F2" s="4" t="s">
        <v>142</v>
      </c>
      <c r="G2" s="4" t="s">
        <v>140</v>
      </c>
      <c r="H2" s="4" t="s">
        <v>144</v>
      </c>
    </row>
    <row r="3" spans="1:8" ht="38.25" x14ac:dyDescent="0.25">
      <c r="A3" s="6" t="s">
        <v>12</v>
      </c>
      <c r="B3" s="6" t="s">
        <v>11</v>
      </c>
      <c r="C3" s="10">
        <v>4.4000000000000004</v>
      </c>
      <c r="D3" s="10">
        <v>0.5</v>
      </c>
      <c r="E3" s="10">
        <v>1.4</v>
      </c>
      <c r="F3" s="10"/>
      <c r="G3" s="10">
        <v>2.6</v>
      </c>
      <c r="H3" s="10"/>
    </row>
    <row r="4" spans="1:8" ht="51" x14ac:dyDescent="0.25">
      <c r="A4" s="6" t="s">
        <v>183</v>
      </c>
      <c r="B4" s="6" t="s">
        <v>184</v>
      </c>
      <c r="C4" s="10"/>
      <c r="D4" s="10"/>
      <c r="E4" s="10">
        <v>0.47</v>
      </c>
      <c r="F4" s="10">
        <v>0.47</v>
      </c>
      <c r="G4" s="10"/>
      <c r="H4" s="10"/>
    </row>
    <row r="5" spans="1:8" ht="127.5" x14ac:dyDescent="0.25">
      <c r="A5" s="6" t="s">
        <v>258</v>
      </c>
      <c r="B5" s="6" t="s">
        <v>259</v>
      </c>
      <c r="C5" s="10">
        <v>3.54</v>
      </c>
      <c r="D5" s="10">
        <v>0.81</v>
      </c>
      <c r="E5" s="10">
        <v>4.2329999999999997</v>
      </c>
      <c r="F5" s="10">
        <v>18.530999999999999</v>
      </c>
      <c r="G5" s="10">
        <v>8.4</v>
      </c>
      <c r="H5" s="10">
        <v>98.2</v>
      </c>
    </row>
    <row r="6" spans="1:8" ht="38.25" x14ac:dyDescent="0.25">
      <c r="A6" s="18" t="s">
        <v>431</v>
      </c>
      <c r="B6" s="18" t="s">
        <v>413</v>
      </c>
      <c r="C6" s="20">
        <v>1.6</v>
      </c>
      <c r="D6" s="20">
        <v>0.85</v>
      </c>
      <c r="E6" s="20">
        <v>1.7</v>
      </c>
      <c r="F6" s="20">
        <v>4</v>
      </c>
      <c r="G6" s="20">
        <v>3.1</v>
      </c>
      <c r="H6" s="20">
        <v>11.7</v>
      </c>
    </row>
    <row r="7" spans="1:8" ht="76.5" x14ac:dyDescent="0.25">
      <c r="A7" s="6" t="s">
        <v>410</v>
      </c>
      <c r="B7" s="6" t="s">
        <v>346</v>
      </c>
      <c r="C7" s="10" t="s">
        <v>4</v>
      </c>
      <c r="D7" s="10"/>
      <c r="E7" s="10"/>
      <c r="F7" s="10"/>
      <c r="G7" s="10"/>
      <c r="H7" s="10"/>
    </row>
    <row r="8" spans="1:8" ht="63.75" x14ac:dyDescent="0.25">
      <c r="A8" s="6" t="s">
        <v>95</v>
      </c>
      <c r="B8" s="6" t="s">
        <v>32</v>
      </c>
      <c r="C8" s="10">
        <v>2.8</v>
      </c>
      <c r="D8" s="10"/>
      <c r="E8" s="10">
        <v>6.3</v>
      </c>
      <c r="F8" s="10"/>
      <c r="G8" s="10">
        <v>20.585000000000001</v>
      </c>
      <c r="H8" s="10">
        <v>3.7050000000000001</v>
      </c>
    </row>
    <row r="9" spans="1:8" ht="63.75" x14ac:dyDescent="0.25">
      <c r="A9" s="6" t="s">
        <v>1709</v>
      </c>
      <c r="B9" s="6" t="s">
        <v>220</v>
      </c>
      <c r="C9" s="10">
        <v>0.45</v>
      </c>
      <c r="D9" s="10"/>
      <c r="E9" s="10"/>
      <c r="F9" s="10"/>
      <c r="G9" s="10"/>
      <c r="H9" s="10"/>
    </row>
    <row r="10" spans="1:8" ht="51" x14ac:dyDescent="0.25">
      <c r="A10" s="6" t="s">
        <v>22</v>
      </c>
      <c r="B10" s="6" t="s">
        <v>21</v>
      </c>
      <c r="C10" s="10" t="s">
        <v>45</v>
      </c>
      <c r="D10" s="10"/>
      <c r="E10" s="10"/>
      <c r="F10" s="10"/>
      <c r="G10" s="10"/>
      <c r="H10" s="10"/>
    </row>
    <row r="11" spans="1:8" ht="51" x14ac:dyDescent="0.25">
      <c r="A11" s="6" t="s">
        <v>133</v>
      </c>
      <c r="B11" s="6" t="s">
        <v>54</v>
      </c>
      <c r="C11" s="10">
        <v>2</v>
      </c>
      <c r="D11" s="10">
        <v>0.48499999999999999</v>
      </c>
      <c r="E11" s="10">
        <v>2.1429999999999998</v>
      </c>
      <c r="F11" s="10">
        <v>14.275</v>
      </c>
      <c r="G11" s="10">
        <v>6.7320000000000002</v>
      </c>
      <c r="H11" s="10">
        <v>35.728000000000002</v>
      </c>
    </row>
    <row r="12" spans="1:8" ht="51" x14ac:dyDescent="0.25">
      <c r="A12" s="6" t="s">
        <v>10</v>
      </c>
      <c r="B12" s="6" t="s">
        <v>9</v>
      </c>
      <c r="C12" s="10">
        <v>2.66</v>
      </c>
      <c r="D12" s="10"/>
      <c r="E12" s="10"/>
      <c r="F12" s="10"/>
      <c r="G12" s="10"/>
      <c r="H12" s="10"/>
    </row>
    <row r="13" spans="1:8" ht="76.5" x14ac:dyDescent="0.25">
      <c r="A13" s="6" t="s">
        <v>832</v>
      </c>
      <c r="B13" s="6" t="s">
        <v>409</v>
      </c>
      <c r="C13" s="10" t="s">
        <v>26</v>
      </c>
      <c r="D13" s="10"/>
      <c r="E13" s="10"/>
      <c r="F13" s="10"/>
      <c r="G13" s="10"/>
      <c r="H13" s="10"/>
    </row>
    <row r="14" spans="1:8" ht="38.25" x14ac:dyDescent="0.25">
      <c r="A14" s="6" t="s">
        <v>16</v>
      </c>
      <c r="B14" s="6" t="s">
        <v>15</v>
      </c>
      <c r="C14" s="10" t="s">
        <v>46</v>
      </c>
      <c r="D14" s="10"/>
      <c r="E14" s="10"/>
      <c r="F14" s="10"/>
      <c r="G14" s="10"/>
      <c r="H14" s="10"/>
    </row>
    <row r="15" spans="1:8" ht="25.5" x14ac:dyDescent="0.25">
      <c r="A15" s="6" t="s">
        <v>7</v>
      </c>
      <c r="B15" s="6" t="s">
        <v>6</v>
      </c>
      <c r="C15" s="10">
        <v>2.4</v>
      </c>
      <c r="D15" s="10"/>
      <c r="E15" s="10"/>
      <c r="F15" s="10"/>
      <c r="G15" s="10"/>
      <c r="H15" s="10"/>
    </row>
    <row r="16" spans="1:8" ht="76.5" x14ac:dyDescent="0.25">
      <c r="A16" s="6" t="s">
        <v>18</v>
      </c>
      <c r="B16" s="6" t="s">
        <v>48</v>
      </c>
      <c r="C16" s="10" t="s">
        <v>20</v>
      </c>
      <c r="D16" s="10"/>
      <c r="E16" s="10"/>
      <c r="F16" s="10"/>
      <c r="G16" s="10"/>
      <c r="H16" s="10"/>
    </row>
    <row r="17" spans="1:8" ht="89.25" x14ac:dyDescent="0.25">
      <c r="A17" s="6" t="s">
        <v>351</v>
      </c>
      <c r="B17" s="6" t="s">
        <v>352</v>
      </c>
      <c r="C17" s="10" t="s">
        <v>29</v>
      </c>
      <c r="D17" s="10"/>
      <c r="E17" s="10"/>
      <c r="F17" s="10"/>
      <c r="G17" s="10"/>
      <c r="H17" s="10"/>
    </row>
    <row r="18" spans="1:8" ht="38.25" x14ac:dyDescent="0.25">
      <c r="A18" s="6" t="s">
        <v>181</v>
      </c>
      <c r="B18" s="6" t="s">
        <v>182</v>
      </c>
      <c r="C18" s="10"/>
      <c r="D18" s="10"/>
      <c r="E18" s="10"/>
      <c r="F18" s="10"/>
      <c r="G18" s="10" t="s">
        <v>299</v>
      </c>
      <c r="H18" s="10"/>
    </row>
    <row r="19" spans="1:8" ht="51" x14ac:dyDescent="0.25">
      <c r="A19" s="6" t="s">
        <v>24</v>
      </c>
      <c r="B19" s="6" t="s">
        <v>23</v>
      </c>
      <c r="C19" s="10" t="s">
        <v>4</v>
      </c>
      <c r="D19" s="10"/>
      <c r="E19" s="10">
        <v>1.9</v>
      </c>
      <c r="F19" s="10">
        <v>1.7</v>
      </c>
      <c r="G19" s="10">
        <v>120</v>
      </c>
      <c r="H19" s="10">
        <v>120</v>
      </c>
    </row>
    <row r="21" spans="1:8" x14ac:dyDescent="0.25">
      <c r="B21" s="7" t="s">
        <v>451</v>
      </c>
      <c r="C21" s="7">
        <f t="shared" ref="C21:H21" si="0">COUNT(C$3:C$19)</f>
        <v>8</v>
      </c>
      <c r="D21" s="7">
        <f t="shared" si="0"/>
        <v>4</v>
      </c>
      <c r="E21" s="7">
        <f t="shared" si="0"/>
        <v>7</v>
      </c>
      <c r="F21" s="7">
        <f t="shared" si="0"/>
        <v>5</v>
      </c>
      <c r="G21" s="7">
        <f t="shared" si="0"/>
        <v>6</v>
      </c>
      <c r="H21" s="7">
        <f t="shared" si="0"/>
        <v>5</v>
      </c>
    </row>
    <row r="22" spans="1:8" x14ac:dyDescent="0.25">
      <c r="B22" s="7" t="s">
        <v>452</v>
      </c>
      <c r="C22" s="26">
        <f t="shared" ref="C22:H22" si="1">MIN(C$3:C$19)</f>
        <v>0.45</v>
      </c>
      <c r="D22" s="26">
        <f t="shared" si="1"/>
        <v>0.48499999999999999</v>
      </c>
      <c r="E22" s="26">
        <f t="shared" si="1"/>
        <v>0.47</v>
      </c>
      <c r="F22" s="26">
        <f t="shared" si="1"/>
        <v>0.47</v>
      </c>
      <c r="G22" s="26">
        <f t="shared" si="1"/>
        <v>2.6</v>
      </c>
      <c r="H22" s="26">
        <f t="shared" si="1"/>
        <v>3.7050000000000001</v>
      </c>
    </row>
    <row r="23" spans="1:8" x14ac:dyDescent="0.25">
      <c r="B23" s="7" t="s">
        <v>453</v>
      </c>
      <c r="C23" s="26">
        <f t="shared" ref="C23:H23" si="2">MAX(C$3:C$19)</f>
        <v>4.4000000000000004</v>
      </c>
      <c r="D23" s="26">
        <f t="shared" si="2"/>
        <v>0.85</v>
      </c>
      <c r="E23" s="26">
        <f t="shared" si="2"/>
        <v>6.3</v>
      </c>
      <c r="F23" s="26">
        <f t="shared" si="2"/>
        <v>18.530999999999999</v>
      </c>
      <c r="G23" s="26">
        <f t="shared" si="2"/>
        <v>120</v>
      </c>
      <c r="H23" s="26">
        <f t="shared" si="2"/>
        <v>120</v>
      </c>
    </row>
    <row r="24" spans="1:8" x14ac:dyDescent="0.25">
      <c r="B24" s="7" t="s">
        <v>454</v>
      </c>
      <c r="C24" s="26">
        <f t="shared" ref="C24:H24" si="3">AVERAGE(C$3:C$19)</f>
        <v>2.4812499999999997</v>
      </c>
      <c r="D24" s="26">
        <f t="shared" si="3"/>
        <v>0.66125</v>
      </c>
      <c r="E24" s="26">
        <f t="shared" si="3"/>
        <v>2.5922857142857141</v>
      </c>
      <c r="F24" s="26">
        <f t="shared" si="3"/>
        <v>7.7951999999999995</v>
      </c>
      <c r="G24" s="26">
        <f t="shared" si="3"/>
        <v>26.902833333333334</v>
      </c>
      <c r="H24" s="26">
        <f t="shared" si="3"/>
        <v>53.866599999999991</v>
      </c>
    </row>
    <row r="25" spans="1:8" x14ac:dyDescent="0.25">
      <c r="B25" s="7" t="s">
        <v>455</v>
      </c>
      <c r="C25" s="26">
        <f t="shared" ref="C25:H25" si="4">MEDIAN(C$3:C$19)</f>
        <v>2.5300000000000002</v>
      </c>
      <c r="D25" s="26">
        <f t="shared" si="4"/>
        <v>0.65500000000000003</v>
      </c>
      <c r="E25" s="26">
        <f t="shared" si="4"/>
        <v>1.9</v>
      </c>
      <c r="F25" s="26">
        <f t="shared" si="4"/>
        <v>4</v>
      </c>
      <c r="G25" s="26">
        <f t="shared" si="4"/>
        <v>7.5660000000000007</v>
      </c>
      <c r="H25" s="26">
        <f t="shared" si="4"/>
        <v>35.728000000000002</v>
      </c>
    </row>
  </sheetData>
  <pageMargins left="0.7" right="0.7" top="0.78740157499999996" bottom="0.78740157499999996"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E0AD6-FD6C-4B29-A893-B6DBECB29926}">
  <sheetPr codeName="Tabelle61" filterMode="1"/>
  <dimension ref="A1:O92"/>
  <sheetViews>
    <sheetView topLeftCell="A2" workbookViewId="0">
      <pane xSplit="3" ySplit="5" topLeftCell="D23" activePane="bottomRight" state="frozen"/>
      <selection activeCell="M14" sqref="M14"/>
      <selection pane="topRight" activeCell="M14" sqref="M14"/>
      <selection pane="bottomLeft" activeCell="M14" sqref="M14"/>
      <selection pane="bottomRight" activeCell="A27" sqref="A27"/>
    </sheetView>
  </sheetViews>
  <sheetFormatPr baseColWidth="10" defaultRowHeight="15.75" x14ac:dyDescent="0.25"/>
  <cols>
    <col min="1" max="1" width="75.25" style="29" customWidth="1"/>
    <col min="2" max="2" width="22.625" style="27" bestFit="1" customWidth="1"/>
    <col min="3" max="3" width="22.625" style="27" customWidth="1"/>
    <col min="4" max="13" width="28.25" style="27" customWidth="1"/>
    <col min="14" max="15" width="11" style="27"/>
  </cols>
  <sheetData>
    <row r="1" spans="1:13" x14ac:dyDescent="0.25">
      <c r="A1" s="29" t="s">
        <v>456</v>
      </c>
    </row>
    <row r="2" spans="1:13" x14ac:dyDescent="0.25">
      <c r="A2" s="29" t="s">
        <v>457</v>
      </c>
    </row>
    <row r="3" spans="1:13" x14ac:dyDescent="0.25">
      <c r="A3" s="29" t="s">
        <v>482</v>
      </c>
    </row>
    <row r="4" spans="1:13" x14ac:dyDescent="0.25">
      <c r="A4" s="29" t="s">
        <v>792</v>
      </c>
    </row>
    <row r="6" spans="1:13" x14ac:dyDescent="0.25">
      <c r="A6" s="30" t="s">
        <v>458</v>
      </c>
      <c r="B6" s="28" t="s">
        <v>459</v>
      </c>
      <c r="C6" s="28" t="s">
        <v>530</v>
      </c>
      <c r="D6" s="28" t="s">
        <v>463</v>
      </c>
      <c r="E6" s="28" t="s">
        <v>464</v>
      </c>
      <c r="F6" s="28" t="s">
        <v>465</v>
      </c>
      <c r="G6" s="28" t="s">
        <v>520</v>
      </c>
      <c r="H6" s="28" t="s">
        <v>545</v>
      </c>
      <c r="I6" s="28" t="s">
        <v>546</v>
      </c>
      <c r="J6" s="28" t="s">
        <v>547</v>
      </c>
      <c r="K6" s="28" t="s">
        <v>548</v>
      </c>
      <c r="L6" s="28" t="s">
        <v>663</v>
      </c>
      <c r="M6" s="28" t="s">
        <v>664</v>
      </c>
    </row>
    <row r="7" spans="1:13" ht="117.75" customHeight="1" x14ac:dyDescent="0.25">
      <c r="A7" s="31" t="s">
        <v>498</v>
      </c>
      <c r="B7" s="27" t="s">
        <v>460</v>
      </c>
      <c r="C7" s="27" t="s">
        <v>531</v>
      </c>
      <c r="D7" s="27" t="s">
        <v>461</v>
      </c>
      <c r="E7" s="27" t="s">
        <v>462</v>
      </c>
      <c r="F7" s="27" t="s">
        <v>466</v>
      </c>
    </row>
    <row r="8" spans="1:13" ht="117.75" customHeight="1" x14ac:dyDescent="0.25">
      <c r="A8" s="31" t="s">
        <v>499</v>
      </c>
      <c r="B8" s="27" t="s">
        <v>467</v>
      </c>
      <c r="C8" s="27" t="s">
        <v>531</v>
      </c>
      <c r="D8" s="27" t="s">
        <v>468</v>
      </c>
    </row>
    <row r="9" spans="1:13" ht="117.75" customHeight="1" x14ac:dyDescent="0.25">
      <c r="A9" s="31" t="s">
        <v>500</v>
      </c>
      <c r="B9" s="27" t="s">
        <v>472</v>
      </c>
      <c r="C9" s="27" t="s">
        <v>531</v>
      </c>
      <c r="D9" s="27" t="s">
        <v>469</v>
      </c>
      <c r="E9" s="27" t="s">
        <v>470</v>
      </c>
      <c r="F9" s="27" t="s">
        <v>471</v>
      </c>
    </row>
    <row r="10" spans="1:13" ht="117.75" customHeight="1" x14ac:dyDescent="0.25">
      <c r="A10" s="31" t="s">
        <v>501</v>
      </c>
      <c r="B10" s="27" t="s">
        <v>474</v>
      </c>
      <c r="C10" s="27" t="s">
        <v>531</v>
      </c>
      <c r="D10" s="27" t="s">
        <v>473</v>
      </c>
      <c r="E10" s="27" t="s">
        <v>477</v>
      </c>
      <c r="F10" s="27" t="s">
        <v>478</v>
      </c>
    </row>
    <row r="11" spans="1:13" ht="117.75" customHeight="1" x14ac:dyDescent="0.25">
      <c r="A11" s="31" t="s">
        <v>502</v>
      </c>
      <c r="B11" s="27" t="s">
        <v>475</v>
      </c>
      <c r="C11" s="27" t="s">
        <v>531</v>
      </c>
      <c r="D11" s="27" t="s">
        <v>476</v>
      </c>
    </row>
    <row r="12" spans="1:13" ht="117.75" customHeight="1" x14ac:dyDescent="0.25">
      <c r="A12" s="31" t="s">
        <v>479</v>
      </c>
      <c r="B12" s="27" t="s">
        <v>481</v>
      </c>
      <c r="C12" s="27" t="s">
        <v>531</v>
      </c>
      <c r="D12" s="27" t="s">
        <v>480</v>
      </c>
      <c r="E12" s="27" t="s">
        <v>466</v>
      </c>
      <c r="F12" s="27" t="s">
        <v>468</v>
      </c>
    </row>
    <row r="13" spans="1:13" ht="117.75" customHeight="1" x14ac:dyDescent="0.25">
      <c r="A13" s="31" t="s">
        <v>503</v>
      </c>
      <c r="B13" s="27" t="s">
        <v>483</v>
      </c>
      <c r="C13" s="27" t="s">
        <v>531</v>
      </c>
      <c r="D13" s="27" t="s">
        <v>484</v>
      </c>
      <c r="E13" s="27" t="s">
        <v>517</v>
      </c>
      <c r="F13" s="27" t="s">
        <v>519</v>
      </c>
      <c r="G13" s="27" t="s">
        <v>549</v>
      </c>
      <c r="H13" s="27" t="s">
        <v>587</v>
      </c>
      <c r="I13" s="27" t="s">
        <v>591</v>
      </c>
      <c r="J13" s="27" t="s">
        <v>598</v>
      </c>
      <c r="K13" s="27" t="s">
        <v>618</v>
      </c>
      <c r="L13" s="27" t="s">
        <v>618</v>
      </c>
      <c r="M13" s="27" t="s">
        <v>657</v>
      </c>
    </row>
    <row r="14" spans="1:13" ht="117.75" hidden="1" customHeight="1" x14ac:dyDescent="0.25">
      <c r="A14" s="31" t="s">
        <v>485</v>
      </c>
      <c r="B14" s="27" t="s">
        <v>487</v>
      </c>
      <c r="C14" s="27" t="s">
        <v>532</v>
      </c>
      <c r="D14" s="27" t="s">
        <v>486</v>
      </c>
      <c r="E14" s="27" t="s">
        <v>488</v>
      </c>
      <c r="F14" s="27" t="s">
        <v>497</v>
      </c>
      <c r="G14" s="27" t="s">
        <v>509</v>
      </c>
    </row>
    <row r="15" spans="1:13" ht="117.75" customHeight="1" x14ac:dyDescent="0.25">
      <c r="A15" s="31" t="s">
        <v>489</v>
      </c>
      <c r="B15" s="27" t="s">
        <v>491</v>
      </c>
      <c r="C15" s="27" t="s">
        <v>531</v>
      </c>
      <c r="D15" s="27" t="s">
        <v>490</v>
      </c>
    </row>
    <row r="16" spans="1:13" ht="117.75" customHeight="1" x14ac:dyDescent="0.25">
      <c r="A16" s="31" t="s">
        <v>492</v>
      </c>
      <c r="B16" s="27" t="s">
        <v>472</v>
      </c>
      <c r="C16" s="27" t="s">
        <v>531</v>
      </c>
      <c r="D16" s="27" t="s">
        <v>493</v>
      </c>
    </row>
    <row r="17" spans="1:15" ht="117.75" customHeight="1" x14ac:dyDescent="0.25">
      <c r="A17" s="31" t="s">
        <v>494</v>
      </c>
      <c r="B17" s="27" t="s">
        <v>495</v>
      </c>
      <c r="C17" s="27" t="s">
        <v>531</v>
      </c>
      <c r="D17" s="27" t="s">
        <v>496</v>
      </c>
    </row>
    <row r="18" spans="1:15" ht="117.75" customHeight="1" x14ac:dyDescent="0.25">
      <c r="A18" s="31" t="s">
        <v>504</v>
      </c>
      <c r="B18" s="27" t="s">
        <v>505</v>
      </c>
      <c r="C18" s="27" t="s">
        <v>531</v>
      </c>
      <c r="D18" s="27" t="s">
        <v>506</v>
      </c>
      <c r="E18" s="27" t="s">
        <v>513</v>
      </c>
      <c r="F18" s="27" t="s">
        <v>556</v>
      </c>
      <c r="G18" s="27" t="s">
        <v>557</v>
      </c>
      <c r="H18" s="27" t="s">
        <v>564</v>
      </c>
      <c r="I18" s="27" t="s">
        <v>586</v>
      </c>
      <c r="J18" s="27" t="s">
        <v>745</v>
      </c>
      <c r="K18" s="27" t="s">
        <v>746</v>
      </c>
      <c r="L18" s="27" t="s">
        <v>748</v>
      </c>
      <c r="M18" s="27" t="s">
        <v>769</v>
      </c>
    </row>
    <row r="19" spans="1:15" ht="117.75" customHeight="1" x14ac:dyDescent="0.25">
      <c r="A19" s="31" t="s">
        <v>507</v>
      </c>
      <c r="B19" s="27" t="s">
        <v>483</v>
      </c>
      <c r="C19" s="27" t="s">
        <v>531</v>
      </c>
      <c r="D19" s="27" t="s">
        <v>508</v>
      </c>
      <c r="E19" s="27" t="s">
        <v>518</v>
      </c>
      <c r="F19" s="27" t="s">
        <v>525</v>
      </c>
      <c r="G19" s="27" t="s">
        <v>543</v>
      </c>
      <c r="H19" s="27" t="s">
        <v>544</v>
      </c>
      <c r="I19" s="27" t="s">
        <v>624</v>
      </c>
      <c r="J19" s="27" t="s">
        <v>635</v>
      </c>
      <c r="K19" s="27" t="s">
        <v>466</v>
      </c>
      <c r="L19" s="27" t="s">
        <v>642</v>
      </c>
      <c r="M19" s="27" t="s">
        <v>675</v>
      </c>
      <c r="N19" s="27" t="s">
        <v>698</v>
      </c>
      <c r="O19" s="27" t="s">
        <v>594</v>
      </c>
    </row>
    <row r="20" spans="1:15" ht="117.75" customHeight="1" x14ac:dyDescent="0.25">
      <c r="A20" s="31" t="s">
        <v>510</v>
      </c>
      <c r="B20" s="27" t="s">
        <v>511</v>
      </c>
      <c r="C20" s="27" t="s">
        <v>531</v>
      </c>
      <c r="D20" s="27" t="s">
        <v>512</v>
      </c>
      <c r="E20" s="27" t="s">
        <v>572</v>
      </c>
      <c r="F20" s="27" t="s">
        <v>585</v>
      </c>
      <c r="G20" s="27" t="s">
        <v>609</v>
      </c>
      <c r="H20" s="27" t="s">
        <v>671</v>
      </c>
    </row>
    <row r="21" spans="1:15" ht="117.75" customHeight="1" x14ac:dyDescent="0.25">
      <c r="A21" s="31" t="s">
        <v>514</v>
      </c>
      <c r="B21" s="27" t="s">
        <v>515</v>
      </c>
      <c r="C21" s="27" t="s">
        <v>531</v>
      </c>
      <c r="D21" s="27" t="s">
        <v>516</v>
      </c>
    </row>
    <row r="22" spans="1:15" ht="117.75" customHeight="1" x14ac:dyDescent="0.25">
      <c r="A22" s="31" t="s">
        <v>521</v>
      </c>
      <c r="B22" s="27" t="s">
        <v>505</v>
      </c>
      <c r="C22" s="27" t="s">
        <v>531</v>
      </c>
      <c r="D22" s="27" t="s">
        <v>522</v>
      </c>
      <c r="E22" s="27" t="s">
        <v>668</v>
      </c>
      <c r="F22" s="27" t="s">
        <v>755</v>
      </c>
    </row>
    <row r="23" spans="1:15" ht="117.75" customHeight="1" x14ac:dyDescent="0.25">
      <c r="A23" s="31" t="s">
        <v>523</v>
      </c>
      <c r="B23" s="27" t="s">
        <v>483</v>
      </c>
      <c r="C23" s="27" t="s">
        <v>531</v>
      </c>
      <c r="D23" s="27" t="s">
        <v>524</v>
      </c>
      <c r="E23" s="27" t="s">
        <v>608</v>
      </c>
      <c r="F23" s="27" t="s">
        <v>618</v>
      </c>
      <c r="G23" s="27" t="s">
        <v>696</v>
      </c>
    </row>
    <row r="24" spans="1:15" ht="117.75" hidden="1" customHeight="1" x14ac:dyDescent="0.25">
      <c r="A24" s="31" t="s">
        <v>526</v>
      </c>
      <c r="B24" s="27" t="s">
        <v>527</v>
      </c>
      <c r="C24" s="27" t="s">
        <v>532</v>
      </c>
      <c r="D24" s="27" t="s">
        <v>528</v>
      </c>
    </row>
    <row r="25" spans="1:15" ht="117.75" hidden="1" customHeight="1" x14ac:dyDescent="0.25">
      <c r="A25" s="31" t="s">
        <v>529</v>
      </c>
      <c r="B25" s="27" t="s">
        <v>534</v>
      </c>
      <c r="C25" s="27" t="s">
        <v>532</v>
      </c>
      <c r="D25" s="27" t="s">
        <v>533</v>
      </c>
    </row>
    <row r="26" spans="1:15" ht="117.75" hidden="1" customHeight="1" x14ac:dyDescent="0.25">
      <c r="A26" s="31" t="s">
        <v>535</v>
      </c>
      <c r="B26" s="27" t="s">
        <v>536</v>
      </c>
      <c r="C26" s="27" t="s">
        <v>532</v>
      </c>
      <c r="D26" s="27" t="s">
        <v>488</v>
      </c>
      <c r="E26" s="27" t="s">
        <v>493</v>
      </c>
      <c r="F26" s="27" t="s">
        <v>537</v>
      </c>
      <c r="G26" s="27" t="s">
        <v>538</v>
      </c>
      <c r="H26" s="27" t="s">
        <v>539</v>
      </c>
    </row>
    <row r="27" spans="1:15" ht="117.75" customHeight="1" x14ac:dyDescent="0.25">
      <c r="A27" s="31" t="s">
        <v>540</v>
      </c>
      <c r="B27" s="27" t="s">
        <v>541</v>
      </c>
      <c r="C27" s="27" t="s">
        <v>531</v>
      </c>
      <c r="D27" s="27" t="s">
        <v>542</v>
      </c>
    </row>
    <row r="28" spans="1:15" ht="117.75" customHeight="1" x14ac:dyDescent="0.25">
      <c r="A28" s="31" t="s">
        <v>550</v>
      </c>
      <c r="B28" s="27" t="s">
        <v>551</v>
      </c>
      <c r="C28" s="27" t="s">
        <v>531</v>
      </c>
      <c r="D28" s="27" t="s">
        <v>552</v>
      </c>
    </row>
    <row r="29" spans="1:15" ht="117.75" customHeight="1" x14ac:dyDescent="0.25">
      <c r="A29" s="31" t="s">
        <v>553</v>
      </c>
      <c r="B29" s="27" t="s">
        <v>554</v>
      </c>
      <c r="C29" s="27" t="s">
        <v>531</v>
      </c>
      <c r="D29" s="27" t="s">
        <v>555</v>
      </c>
    </row>
    <row r="30" spans="1:15" ht="117.75" hidden="1" customHeight="1" x14ac:dyDescent="0.25">
      <c r="A30" s="31" t="s">
        <v>558</v>
      </c>
      <c r="B30" s="27" t="s">
        <v>559</v>
      </c>
      <c r="C30" s="27" t="s">
        <v>532</v>
      </c>
      <c r="D30" s="27" t="s">
        <v>560</v>
      </c>
    </row>
    <row r="31" spans="1:15" ht="117.75" customHeight="1" x14ac:dyDescent="0.25">
      <c r="A31" s="31" t="s">
        <v>561</v>
      </c>
      <c r="B31" s="27" t="s">
        <v>562</v>
      </c>
      <c r="C31" s="27" t="s">
        <v>531</v>
      </c>
      <c r="D31" s="27" t="s">
        <v>563</v>
      </c>
      <c r="E31" s="27" t="s">
        <v>484</v>
      </c>
      <c r="F31" s="27" t="s">
        <v>568</v>
      </c>
      <c r="G31" s="27" t="s">
        <v>595</v>
      </c>
      <c r="H31" s="27" t="s">
        <v>621</v>
      </c>
    </row>
    <row r="32" spans="1:15" ht="117.75" customHeight="1" x14ac:dyDescent="0.25">
      <c r="A32" s="31" t="s">
        <v>565</v>
      </c>
      <c r="B32" s="27" t="s">
        <v>566</v>
      </c>
      <c r="C32" s="27" t="s">
        <v>531</v>
      </c>
      <c r="D32" s="27" t="s">
        <v>468</v>
      </c>
      <c r="E32" s="27" t="s">
        <v>539</v>
      </c>
      <c r="F32" s="27" t="s">
        <v>567</v>
      </c>
    </row>
    <row r="33" spans="1:10" ht="117.75" customHeight="1" x14ac:dyDescent="0.25">
      <c r="A33" s="31" t="s">
        <v>569</v>
      </c>
      <c r="B33" s="27" t="s">
        <v>570</v>
      </c>
      <c r="C33" s="27" t="s">
        <v>531</v>
      </c>
      <c r="D33" s="27" t="s">
        <v>571</v>
      </c>
      <c r="E33" s="27" t="s">
        <v>584</v>
      </c>
      <c r="F33" s="27" t="s">
        <v>605</v>
      </c>
      <c r="G33" s="27" t="s">
        <v>476</v>
      </c>
      <c r="H33" s="27" t="s">
        <v>617</v>
      </c>
    </row>
    <row r="34" spans="1:10" ht="117.75" customHeight="1" x14ac:dyDescent="0.25">
      <c r="A34" s="31" t="s">
        <v>573</v>
      </c>
      <c r="B34" s="27" t="s">
        <v>574</v>
      </c>
      <c r="C34" s="27" t="s">
        <v>531</v>
      </c>
      <c r="D34" s="27" t="s">
        <v>490</v>
      </c>
      <c r="E34" s="27" t="s">
        <v>575</v>
      </c>
      <c r="F34" s="27" t="s">
        <v>576</v>
      </c>
    </row>
    <row r="35" spans="1:10" ht="117.75" customHeight="1" x14ac:dyDescent="0.25">
      <c r="A35" s="31" t="s">
        <v>577</v>
      </c>
      <c r="B35" s="27" t="s">
        <v>578</v>
      </c>
      <c r="C35" s="27" t="s">
        <v>531</v>
      </c>
      <c r="D35" s="27" t="s">
        <v>579</v>
      </c>
      <c r="E35" s="27" t="s">
        <v>621</v>
      </c>
      <c r="F35" s="27" t="s">
        <v>636</v>
      </c>
      <c r="G35" s="27" t="s">
        <v>686</v>
      </c>
      <c r="H35" s="27" t="s">
        <v>615</v>
      </c>
    </row>
    <row r="36" spans="1:10" ht="117.75" customHeight="1" x14ac:dyDescent="0.25">
      <c r="A36" s="31" t="s">
        <v>580</v>
      </c>
      <c r="B36" s="27" t="s">
        <v>581</v>
      </c>
      <c r="C36" s="27" t="s">
        <v>531</v>
      </c>
      <c r="D36" s="27" t="s">
        <v>582</v>
      </c>
      <c r="E36" s="27" t="s">
        <v>583</v>
      </c>
      <c r="F36" s="27" t="s">
        <v>724</v>
      </c>
    </row>
    <row r="37" spans="1:10" ht="117.75" customHeight="1" x14ac:dyDescent="0.25">
      <c r="A37" s="31" t="s">
        <v>588</v>
      </c>
      <c r="B37" s="27" t="s">
        <v>589</v>
      </c>
      <c r="C37" s="27" t="s">
        <v>531</v>
      </c>
      <c r="D37" s="27" t="s">
        <v>590</v>
      </c>
      <c r="E37" s="27" t="s">
        <v>662</v>
      </c>
    </row>
    <row r="38" spans="1:10" ht="117.75" customHeight="1" x14ac:dyDescent="0.25">
      <c r="A38" s="31" t="s">
        <v>592</v>
      </c>
      <c r="B38" s="27" t="s">
        <v>593</v>
      </c>
      <c r="C38" s="27" t="s">
        <v>531</v>
      </c>
      <c r="D38" s="27" t="s">
        <v>594</v>
      </c>
      <c r="E38" s="27" t="s">
        <v>760</v>
      </c>
    </row>
    <row r="39" spans="1:10" ht="117.75" hidden="1" customHeight="1" x14ac:dyDescent="0.25">
      <c r="A39" s="31" t="s">
        <v>596</v>
      </c>
      <c r="B39" s="27" t="s">
        <v>515</v>
      </c>
      <c r="C39" s="27" t="s">
        <v>532</v>
      </c>
      <c r="D39" s="27" t="s">
        <v>597</v>
      </c>
    </row>
    <row r="40" spans="1:10" ht="117.75" customHeight="1" x14ac:dyDescent="0.25">
      <c r="A40" s="31" t="s">
        <v>599</v>
      </c>
      <c r="B40" s="27" t="s">
        <v>600</v>
      </c>
      <c r="C40" s="27" t="s">
        <v>531</v>
      </c>
      <c r="D40" s="27" t="s">
        <v>601</v>
      </c>
      <c r="E40" s="27" t="s">
        <v>620</v>
      </c>
      <c r="F40" s="27" t="s">
        <v>653</v>
      </c>
    </row>
    <row r="41" spans="1:10" ht="117.75" hidden="1" customHeight="1" x14ac:dyDescent="0.25">
      <c r="A41" s="31" t="s">
        <v>602</v>
      </c>
      <c r="B41" s="27" t="s">
        <v>603</v>
      </c>
      <c r="C41" s="27" t="s">
        <v>532</v>
      </c>
      <c r="D41" s="27" t="s">
        <v>604</v>
      </c>
    </row>
    <row r="42" spans="1:10" ht="117.75" customHeight="1" x14ac:dyDescent="0.25">
      <c r="A42" s="31" t="s">
        <v>606</v>
      </c>
      <c r="B42" s="27" t="s">
        <v>562</v>
      </c>
      <c r="C42" s="27" t="s">
        <v>531</v>
      </c>
      <c r="D42" s="27" t="s">
        <v>607</v>
      </c>
    </row>
    <row r="43" spans="1:10" ht="117.75" hidden="1" customHeight="1" x14ac:dyDescent="0.25">
      <c r="A43" s="31" t="s">
        <v>610</v>
      </c>
      <c r="B43" s="27" t="s">
        <v>611</v>
      </c>
      <c r="C43" s="27" t="s">
        <v>532</v>
      </c>
      <c r="D43" s="27" t="s">
        <v>612</v>
      </c>
      <c r="E43" s="27" t="s">
        <v>613</v>
      </c>
      <c r="F43" s="27" t="s">
        <v>614</v>
      </c>
      <c r="G43" s="27" t="s">
        <v>615</v>
      </c>
      <c r="H43" s="27" t="s">
        <v>616</v>
      </c>
      <c r="I43" s="27" t="s">
        <v>617</v>
      </c>
      <c r="J43" s="27" t="s">
        <v>619</v>
      </c>
    </row>
    <row r="44" spans="1:10" ht="117.75" hidden="1" customHeight="1" x14ac:dyDescent="0.25">
      <c r="A44" s="31" t="s">
        <v>622</v>
      </c>
      <c r="B44" s="27" t="s">
        <v>460</v>
      </c>
      <c r="C44" s="27" t="s">
        <v>532</v>
      </c>
      <c r="D44" s="27" t="s">
        <v>617</v>
      </c>
      <c r="E44" s="27" t="s">
        <v>623</v>
      </c>
    </row>
    <row r="45" spans="1:10" ht="117.75" hidden="1" customHeight="1" x14ac:dyDescent="0.25">
      <c r="A45" s="31" t="s">
        <v>625</v>
      </c>
      <c r="B45" s="27" t="s">
        <v>626</v>
      </c>
      <c r="C45" s="27" t="s">
        <v>532</v>
      </c>
      <c r="D45" s="27" t="s">
        <v>627</v>
      </c>
    </row>
    <row r="46" spans="1:10" ht="117.75" customHeight="1" x14ac:dyDescent="0.25">
      <c r="A46" s="31" t="s">
        <v>628</v>
      </c>
      <c r="B46" s="27" t="s">
        <v>629</v>
      </c>
      <c r="C46" s="27" t="s">
        <v>531</v>
      </c>
      <c r="D46" s="27" t="s">
        <v>630</v>
      </c>
      <c r="E46" s="27" t="s">
        <v>641</v>
      </c>
    </row>
    <row r="47" spans="1:10" ht="117.75" hidden="1" customHeight="1" x14ac:dyDescent="0.25">
      <c r="A47" s="31" t="s">
        <v>631</v>
      </c>
      <c r="B47" s="27" t="s">
        <v>632</v>
      </c>
      <c r="C47" s="27" t="s">
        <v>532</v>
      </c>
      <c r="D47" s="27" t="s">
        <v>633</v>
      </c>
      <c r="E47" s="27" t="s">
        <v>634</v>
      </c>
    </row>
    <row r="48" spans="1:10" ht="117.75" hidden="1" customHeight="1" x14ac:dyDescent="0.25">
      <c r="A48" s="31" t="s">
        <v>640</v>
      </c>
      <c r="B48" s="27" t="s">
        <v>639</v>
      </c>
      <c r="C48" s="27" t="s">
        <v>532</v>
      </c>
      <c r="D48" s="27" t="s">
        <v>637</v>
      </c>
      <c r="E48" s="27" t="s">
        <v>638</v>
      </c>
      <c r="F48" s="27" t="s">
        <v>468</v>
      </c>
    </row>
    <row r="49" spans="1:7" ht="117.75" customHeight="1" x14ac:dyDescent="0.25">
      <c r="A49" s="31" t="s">
        <v>643</v>
      </c>
      <c r="B49" s="27" t="s">
        <v>644</v>
      </c>
      <c r="C49" s="27" t="s">
        <v>531</v>
      </c>
      <c r="D49" s="27" t="s">
        <v>645</v>
      </c>
      <c r="E49" s="27" t="s">
        <v>784</v>
      </c>
    </row>
    <row r="50" spans="1:7" ht="117.75" hidden="1" customHeight="1" x14ac:dyDescent="0.25">
      <c r="A50" s="31" t="s">
        <v>646</v>
      </c>
      <c r="B50" s="27" t="s">
        <v>648</v>
      </c>
      <c r="C50" s="27" t="s">
        <v>532</v>
      </c>
      <c r="D50" s="27" t="s">
        <v>647</v>
      </c>
    </row>
    <row r="51" spans="1:7" ht="117.75" hidden="1" customHeight="1" x14ac:dyDescent="0.25">
      <c r="A51" s="31" t="s">
        <v>649</v>
      </c>
      <c r="B51" s="27" t="s">
        <v>600</v>
      </c>
      <c r="C51" s="27" t="s">
        <v>532</v>
      </c>
      <c r="D51" s="27" t="s">
        <v>650</v>
      </c>
      <c r="E51" s="27" t="s">
        <v>617</v>
      </c>
      <c r="F51" s="27" t="s">
        <v>715</v>
      </c>
    </row>
    <row r="52" spans="1:7" ht="117.75" hidden="1" customHeight="1" x14ac:dyDescent="0.25">
      <c r="A52" s="31" t="s">
        <v>651</v>
      </c>
      <c r="B52" s="27" t="s">
        <v>511</v>
      </c>
      <c r="C52" s="27" t="s">
        <v>532</v>
      </c>
      <c r="D52" s="27" t="s">
        <v>652</v>
      </c>
    </row>
    <row r="53" spans="1:7" ht="117.75" customHeight="1" x14ac:dyDescent="0.25">
      <c r="A53" s="31" t="s">
        <v>654</v>
      </c>
      <c r="B53" s="27" t="s">
        <v>655</v>
      </c>
      <c r="C53" s="27" t="s">
        <v>531</v>
      </c>
      <c r="D53" s="27" t="s">
        <v>656</v>
      </c>
    </row>
    <row r="54" spans="1:7" ht="117.75" hidden="1" customHeight="1" x14ac:dyDescent="0.25">
      <c r="A54" s="31" t="s">
        <v>658</v>
      </c>
      <c r="B54" s="27" t="s">
        <v>659</v>
      </c>
      <c r="C54" s="27" t="s">
        <v>532</v>
      </c>
      <c r="D54" s="27" t="s">
        <v>617</v>
      </c>
      <c r="E54" s="27" t="s">
        <v>716</v>
      </c>
    </row>
    <row r="55" spans="1:7" ht="117.75" hidden="1" customHeight="1" x14ac:dyDescent="0.25">
      <c r="A55" s="31" t="s">
        <v>660</v>
      </c>
      <c r="B55" s="27" t="s">
        <v>626</v>
      </c>
      <c r="C55" s="27" t="s">
        <v>532</v>
      </c>
      <c r="D55" s="27" t="s">
        <v>661</v>
      </c>
    </row>
    <row r="56" spans="1:7" ht="117.75" hidden="1" customHeight="1" x14ac:dyDescent="0.25">
      <c r="A56" s="31" t="s">
        <v>665</v>
      </c>
      <c r="B56" s="27" t="s">
        <v>666</v>
      </c>
      <c r="C56" s="27" t="s">
        <v>532</v>
      </c>
      <c r="D56" s="27" t="s">
        <v>667</v>
      </c>
    </row>
    <row r="57" spans="1:7" ht="117.75" customHeight="1" x14ac:dyDescent="0.25">
      <c r="A57" s="31" t="s">
        <v>669</v>
      </c>
      <c r="B57" s="27" t="s">
        <v>648</v>
      </c>
      <c r="C57" s="27" t="s">
        <v>531</v>
      </c>
      <c r="D57" s="27" t="s">
        <v>670</v>
      </c>
    </row>
    <row r="58" spans="1:7" ht="117.75" customHeight="1" x14ac:dyDescent="0.25">
      <c r="A58" s="31" t="s">
        <v>672</v>
      </c>
      <c r="B58" s="27" t="s">
        <v>673</v>
      </c>
      <c r="C58" s="27" t="s">
        <v>531</v>
      </c>
      <c r="D58" s="27" t="s">
        <v>674</v>
      </c>
      <c r="E58" s="27" t="s">
        <v>728</v>
      </c>
    </row>
    <row r="59" spans="1:7" ht="117.75" hidden="1" customHeight="1" x14ac:dyDescent="0.25">
      <c r="A59" s="31" t="s">
        <v>676</v>
      </c>
      <c r="B59" s="27" t="s">
        <v>677</v>
      </c>
      <c r="C59" s="27" t="s">
        <v>532</v>
      </c>
      <c r="D59" s="27" t="s">
        <v>544</v>
      </c>
      <c r="E59" s="27" t="s">
        <v>594</v>
      </c>
    </row>
    <row r="60" spans="1:7" ht="117.75" hidden="1" customHeight="1" x14ac:dyDescent="0.25">
      <c r="A60" s="31" t="s">
        <v>678</v>
      </c>
      <c r="B60" s="27" t="s">
        <v>679</v>
      </c>
      <c r="C60" s="27" t="s">
        <v>532</v>
      </c>
      <c r="D60" s="27" t="s">
        <v>680</v>
      </c>
      <c r="E60" s="27" t="s">
        <v>681</v>
      </c>
    </row>
    <row r="61" spans="1:7" ht="117.75" hidden="1" customHeight="1" x14ac:dyDescent="0.25">
      <c r="A61" s="31" t="s">
        <v>682</v>
      </c>
      <c r="B61" s="27" t="s">
        <v>683</v>
      </c>
      <c r="C61" s="27" t="s">
        <v>532</v>
      </c>
      <c r="D61" s="27" t="s">
        <v>684</v>
      </c>
      <c r="E61" s="27" t="s">
        <v>685</v>
      </c>
    </row>
    <row r="62" spans="1:7" ht="63" hidden="1" x14ac:dyDescent="0.25">
      <c r="A62" s="31" t="s">
        <v>687</v>
      </c>
      <c r="B62" s="27" t="s">
        <v>632</v>
      </c>
      <c r="C62" s="27" t="s">
        <v>532</v>
      </c>
      <c r="D62" s="27" t="s">
        <v>688</v>
      </c>
      <c r="E62" s="27" t="s">
        <v>689</v>
      </c>
    </row>
    <row r="63" spans="1:7" ht="110.25" hidden="1" x14ac:dyDescent="0.25">
      <c r="A63" s="31" t="s">
        <v>690</v>
      </c>
      <c r="B63" s="27" t="s">
        <v>691</v>
      </c>
      <c r="C63" s="27" t="s">
        <v>532</v>
      </c>
      <c r="D63" s="27" t="s">
        <v>692</v>
      </c>
      <c r="E63" s="27" t="s">
        <v>697</v>
      </c>
      <c r="F63" s="27" t="s">
        <v>722</v>
      </c>
      <c r="G63" s="27" t="s">
        <v>723</v>
      </c>
    </row>
    <row r="64" spans="1:7" ht="63" hidden="1" x14ac:dyDescent="0.25">
      <c r="A64" s="31" t="s">
        <v>693</v>
      </c>
      <c r="B64" s="27" t="s">
        <v>694</v>
      </c>
      <c r="C64" s="27" t="s">
        <v>532</v>
      </c>
      <c r="D64" s="27" t="s">
        <v>695</v>
      </c>
    </row>
    <row r="65" spans="1:8" ht="94.5" hidden="1" x14ac:dyDescent="0.25">
      <c r="A65" s="31" t="s">
        <v>699</v>
      </c>
      <c r="B65" s="27" t="s">
        <v>700</v>
      </c>
      <c r="C65" s="27" t="s">
        <v>532</v>
      </c>
      <c r="D65" s="27" t="s">
        <v>468</v>
      </c>
    </row>
    <row r="66" spans="1:8" ht="63" hidden="1" x14ac:dyDescent="0.25">
      <c r="A66" s="31" t="s">
        <v>701</v>
      </c>
      <c r="B66" s="27" t="s">
        <v>702</v>
      </c>
      <c r="C66" s="27" t="s">
        <v>532</v>
      </c>
      <c r="D66" s="27" t="s">
        <v>703</v>
      </c>
    </row>
    <row r="67" spans="1:8" ht="47.25" hidden="1" x14ac:dyDescent="0.25">
      <c r="A67" s="31" t="s">
        <v>704</v>
      </c>
      <c r="B67" s="27" t="s">
        <v>705</v>
      </c>
      <c r="C67" s="27" t="s">
        <v>532</v>
      </c>
      <c r="D67" s="27" t="s">
        <v>706</v>
      </c>
      <c r="E67" s="27" t="s">
        <v>707</v>
      </c>
      <c r="F67" s="27" t="s">
        <v>708</v>
      </c>
      <c r="G67" s="27" t="s">
        <v>721</v>
      </c>
      <c r="H67" s="27" t="s">
        <v>756</v>
      </c>
    </row>
    <row r="68" spans="1:8" ht="78.75" hidden="1" x14ac:dyDescent="0.25">
      <c r="A68" s="31" t="s">
        <v>709</v>
      </c>
      <c r="B68" s="27" t="s">
        <v>710</v>
      </c>
      <c r="C68" s="27" t="s">
        <v>532</v>
      </c>
      <c r="D68" s="27" t="s">
        <v>711</v>
      </c>
    </row>
    <row r="69" spans="1:8" ht="78.75" hidden="1" x14ac:dyDescent="0.25">
      <c r="A69" s="31" t="s">
        <v>712</v>
      </c>
      <c r="B69" s="27" t="s">
        <v>713</v>
      </c>
      <c r="C69" s="27" t="s">
        <v>532</v>
      </c>
      <c r="D69" s="27" t="s">
        <v>714</v>
      </c>
    </row>
    <row r="70" spans="1:8" ht="110.25" hidden="1" x14ac:dyDescent="0.25">
      <c r="A70" s="31" t="s">
        <v>717</v>
      </c>
      <c r="B70" s="27" t="s">
        <v>511</v>
      </c>
      <c r="C70" s="27" t="s">
        <v>532</v>
      </c>
      <c r="D70" s="27" t="s">
        <v>718</v>
      </c>
      <c r="E70" s="27" t="s">
        <v>761</v>
      </c>
    </row>
    <row r="71" spans="1:8" ht="78.75" hidden="1" x14ac:dyDescent="0.25">
      <c r="A71" s="31" t="s">
        <v>719</v>
      </c>
      <c r="B71" s="27" t="s">
        <v>632</v>
      </c>
      <c r="C71" s="27" t="s">
        <v>532</v>
      </c>
      <c r="D71" s="27" t="s">
        <v>720</v>
      </c>
      <c r="E71" s="27" t="s">
        <v>788</v>
      </c>
    </row>
    <row r="72" spans="1:8" ht="94.5" hidden="1" x14ac:dyDescent="0.25">
      <c r="A72" s="31" t="s">
        <v>725</v>
      </c>
      <c r="B72" s="27" t="s">
        <v>726</v>
      </c>
      <c r="C72" s="27" t="s">
        <v>532</v>
      </c>
      <c r="D72" s="27" t="s">
        <v>727</v>
      </c>
      <c r="E72" s="27" t="s">
        <v>607</v>
      </c>
      <c r="F72" s="27" t="s">
        <v>732</v>
      </c>
    </row>
    <row r="73" spans="1:8" ht="63" x14ac:dyDescent="0.25">
      <c r="A73" s="31" t="s">
        <v>729</v>
      </c>
      <c r="B73" s="27" t="s">
        <v>730</v>
      </c>
      <c r="C73" s="27" t="s">
        <v>531</v>
      </c>
      <c r="D73" s="27" t="s">
        <v>731</v>
      </c>
      <c r="E73" s="27" t="s">
        <v>567</v>
      </c>
    </row>
    <row r="74" spans="1:8" ht="47.25" hidden="1" x14ac:dyDescent="0.25">
      <c r="A74" s="31" t="s">
        <v>733</v>
      </c>
      <c r="B74" s="27" t="s">
        <v>734</v>
      </c>
      <c r="C74" s="27" t="s">
        <v>532</v>
      </c>
      <c r="D74" s="27" t="s">
        <v>735</v>
      </c>
    </row>
    <row r="75" spans="1:8" ht="63" hidden="1" x14ac:dyDescent="0.25">
      <c r="A75" s="31" t="s">
        <v>736</v>
      </c>
      <c r="B75" s="27" t="s">
        <v>694</v>
      </c>
      <c r="C75" s="27" t="s">
        <v>532</v>
      </c>
      <c r="D75" s="27" t="s">
        <v>737</v>
      </c>
    </row>
    <row r="76" spans="1:8" ht="94.5" hidden="1" x14ac:dyDescent="0.25">
      <c r="A76" s="31" t="s">
        <v>738</v>
      </c>
      <c r="B76" s="27" t="s">
        <v>739</v>
      </c>
      <c r="C76" s="27" t="s">
        <v>532</v>
      </c>
      <c r="D76" s="27" t="s">
        <v>740</v>
      </c>
    </row>
    <row r="77" spans="1:8" ht="94.5" hidden="1" x14ac:dyDescent="0.25">
      <c r="A77" s="31" t="s">
        <v>741</v>
      </c>
      <c r="B77" s="27" t="s">
        <v>742</v>
      </c>
      <c r="C77" s="27" t="s">
        <v>532</v>
      </c>
      <c r="D77" s="27" t="s">
        <v>743</v>
      </c>
      <c r="E77" s="27" t="s">
        <v>744</v>
      </c>
    </row>
    <row r="78" spans="1:8" ht="47.25" hidden="1" x14ac:dyDescent="0.25">
      <c r="A78" s="31" t="s">
        <v>747</v>
      </c>
      <c r="B78" s="27" t="s">
        <v>694</v>
      </c>
      <c r="C78" s="27" t="s">
        <v>532</v>
      </c>
      <c r="D78" s="27" t="s">
        <v>731</v>
      </c>
    </row>
    <row r="79" spans="1:8" ht="94.5" x14ac:dyDescent="0.25">
      <c r="A79" s="31" t="s">
        <v>749</v>
      </c>
      <c r="B79" s="27" t="s">
        <v>750</v>
      </c>
      <c r="C79" s="27" t="s">
        <v>531</v>
      </c>
      <c r="D79" s="27" t="s">
        <v>468</v>
      </c>
    </row>
    <row r="80" spans="1:8" ht="47.25" hidden="1" x14ac:dyDescent="0.25">
      <c r="A80" s="31" t="s">
        <v>751</v>
      </c>
      <c r="B80" s="27" t="s">
        <v>562</v>
      </c>
      <c r="C80" s="27" t="s">
        <v>532</v>
      </c>
      <c r="D80" s="27" t="s">
        <v>752</v>
      </c>
    </row>
    <row r="81" spans="1:6" ht="63" hidden="1" x14ac:dyDescent="0.25">
      <c r="A81" s="31" t="s">
        <v>753</v>
      </c>
      <c r="B81" s="27" t="s">
        <v>589</v>
      </c>
      <c r="C81" s="27" t="s">
        <v>532</v>
      </c>
      <c r="D81" s="27" t="s">
        <v>754</v>
      </c>
    </row>
    <row r="82" spans="1:6" ht="31.5" hidden="1" x14ac:dyDescent="0.25">
      <c r="A82" s="31" t="s">
        <v>757</v>
      </c>
      <c r="B82" s="27" t="s">
        <v>758</v>
      </c>
      <c r="C82" s="27" t="s">
        <v>532</v>
      </c>
      <c r="D82" s="27" t="s">
        <v>759</v>
      </c>
    </row>
    <row r="83" spans="1:6" ht="47.25" hidden="1" x14ac:dyDescent="0.25">
      <c r="A83" s="31" t="s">
        <v>762</v>
      </c>
      <c r="B83" s="27" t="s">
        <v>626</v>
      </c>
      <c r="C83" s="27" t="s">
        <v>532</v>
      </c>
      <c r="D83" s="27" t="s">
        <v>763</v>
      </c>
    </row>
    <row r="84" spans="1:6" ht="110.25" hidden="1" x14ac:dyDescent="0.25">
      <c r="A84" s="31" t="s">
        <v>764</v>
      </c>
      <c r="B84" s="27" t="s">
        <v>626</v>
      </c>
      <c r="C84" s="27" t="s">
        <v>532</v>
      </c>
      <c r="D84" s="27" t="s">
        <v>765</v>
      </c>
    </row>
    <row r="85" spans="1:6" ht="78.75" hidden="1" x14ac:dyDescent="0.25">
      <c r="A85" s="31" t="s">
        <v>766</v>
      </c>
      <c r="B85" s="27" t="s">
        <v>767</v>
      </c>
      <c r="C85" s="27" t="s">
        <v>532</v>
      </c>
      <c r="D85" s="27" t="s">
        <v>768</v>
      </c>
    </row>
    <row r="86" spans="1:6" ht="78.75" hidden="1" x14ac:dyDescent="0.25">
      <c r="A86" s="31" t="s">
        <v>770</v>
      </c>
      <c r="B86" s="27" t="s">
        <v>771</v>
      </c>
      <c r="C86" s="27" t="s">
        <v>532</v>
      </c>
      <c r="D86" s="27" t="s">
        <v>772</v>
      </c>
    </row>
    <row r="87" spans="1:6" ht="78.75" hidden="1" x14ac:dyDescent="0.25">
      <c r="A87" s="31" t="s">
        <v>773</v>
      </c>
      <c r="B87" s="27" t="s">
        <v>774</v>
      </c>
      <c r="C87" s="27" t="s">
        <v>532</v>
      </c>
      <c r="D87" s="27" t="s">
        <v>775</v>
      </c>
    </row>
    <row r="88" spans="1:6" ht="78.75" hidden="1" x14ac:dyDescent="0.25">
      <c r="A88" s="31" t="s">
        <v>776</v>
      </c>
      <c r="B88" s="27" t="s">
        <v>777</v>
      </c>
      <c r="C88" s="27" t="s">
        <v>532</v>
      </c>
      <c r="D88" s="27" t="s">
        <v>714</v>
      </c>
    </row>
    <row r="89" spans="1:6" ht="63" hidden="1" x14ac:dyDescent="0.25">
      <c r="A89" s="31" t="s">
        <v>778</v>
      </c>
      <c r="B89" s="27" t="s">
        <v>779</v>
      </c>
      <c r="C89" s="27" t="s">
        <v>532</v>
      </c>
      <c r="D89" s="27" t="s">
        <v>780</v>
      </c>
    </row>
    <row r="90" spans="1:6" ht="63" hidden="1" x14ac:dyDescent="0.25">
      <c r="A90" s="31" t="s">
        <v>781</v>
      </c>
      <c r="B90" s="27" t="s">
        <v>483</v>
      </c>
      <c r="C90" s="27" t="s">
        <v>532</v>
      </c>
      <c r="D90" s="27" t="s">
        <v>782</v>
      </c>
      <c r="E90" s="27" t="s">
        <v>783</v>
      </c>
      <c r="F90" s="27" t="s">
        <v>512</v>
      </c>
    </row>
    <row r="91" spans="1:6" ht="78.75" hidden="1" x14ac:dyDescent="0.25">
      <c r="A91" s="31" t="s">
        <v>785</v>
      </c>
      <c r="B91" s="27" t="s">
        <v>786</v>
      </c>
      <c r="C91" s="27" t="s">
        <v>532</v>
      </c>
      <c r="D91" s="27" t="s">
        <v>787</v>
      </c>
      <c r="E91" s="27" t="s">
        <v>604</v>
      </c>
    </row>
    <row r="92" spans="1:6" ht="63" hidden="1" x14ac:dyDescent="0.25">
      <c r="A92" s="31" t="s">
        <v>789</v>
      </c>
      <c r="B92" s="27" t="s">
        <v>790</v>
      </c>
      <c r="C92" s="27" t="s">
        <v>532</v>
      </c>
      <c r="D92" s="27" t="s">
        <v>791</v>
      </c>
    </row>
  </sheetData>
  <autoFilter ref="A6:M92" xr:uid="{8732B6AF-BC7F-483E-993D-962467041DE6}">
    <filterColumn colId="2">
      <filters>
        <filter val="ja"/>
      </filters>
    </filterColumn>
  </autoFilter>
  <hyperlinks>
    <hyperlink ref="A7" r:id="rId1" display="https://www.enargus.de/pub/bscw.cgi/?op=enargus.eps2&amp;y=1&amp;q=flexibilit%c3%a4t&amp;id=399477&amp;d=complex_date_facet_enargus_fi_von/2010-2019&amp;d=complex_date_facet_enargus_fi_von/2020-2029&amp;m=1&amp;v=10" xr:uid="{81E57E27-B932-499E-AE7F-22E854C05DD8}"/>
    <hyperlink ref="A8" r:id="rId2" display="https://www.enargus.de/pub/bscw.cgi/?op=enargus.eps2&amp;y=1&amp;q=flexibilit%c3%a4t&amp;id=1309482&amp;d=complex_date_facet_enargus_fi_von/2010-2019&amp;d=complex_date_facet_enargus_fi_von/2020-2029&amp;m=2&amp;v=10" xr:uid="{D671C59C-CB66-494B-AA35-51CE5ADC8714}"/>
    <hyperlink ref="A9" r:id="rId3" display="https://www.enargus.de/pub/bscw.cgi/?op=enargus.eps2&amp;y=1&amp;q=flexibilit%c3%a4t&amp;id=400861&amp;d=complex_date_facet_enargus_fi_von/2010-2019&amp;d=complex_date_facet_enargus_fi_von/2020-2029&amp;m=2&amp;v=10" xr:uid="{391872A8-60FE-4A17-88FE-AC259F6BC5C8}"/>
    <hyperlink ref="A10" r:id="rId4" display="https://www.enargus.de/pub/bscw.cgi/?op=enargus.eps2&amp;y=1&amp;q=flexibilit%c3%a4t&amp;id=672328&amp;d=complex_date_facet_enargus_fi_von/2010-2019&amp;d=complex_date_facet_enargus_fi_von/2020-2029&amp;m=2&amp;v=10" xr:uid="{FF92292D-E441-48F0-BD3B-070A7EBCC353}"/>
    <hyperlink ref="A11" r:id="rId5" display="https://www.enargus.de/pub/bscw.cgi/?op=enargus.eps2&amp;y=1&amp;q=flexibilit%c3%a4t&amp;id=697467&amp;d=complex_date_facet_enargus_fi_von/2010-2019&amp;d=complex_date_facet_enargus_fi_von/2020-2029&amp;m=2&amp;v=10" xr:uid="{F1A2AC2C-4522-426C-96BA-1EFB3A27DACD}"/>
    <hyperlink ref="A12" r:id="rId6" display="https://www.enargus.de/pub/bscw.cgi/?op=enargus.eps2&amp;y=1&amp;q=flexibilit%c3%a4t&amp;id=643471&amp;d=complex_date_facet_enargus_fi_von/2010-2019&amp;d=complex_date_facet_enargus_fi_von/2020-2029&amp;m=2&amp;p=1&amp;v=10" xr:uid="{3DCEC274-1C02-454C-AB98-992BF122E75D}"/>
    <hyperlink ref="A13" r:id="rId7" display="https://www.enargus.de/pub/bscw.cgi/?op=enargus.eps2&amp;y=1&amp;q=flexibilit%c3%a4t&amp;id=543379&amp;d=complex_date_facet_enargus_fi_von/2010-2019&amp;d=complex_date_facet_enargus_fi_von/2020-2029&amp;m=2&amp;p=1&amp;v=10" xr:uid="{3F79A1B5-96E6-47DF-B9BB-987E0B667E8B}"/>
    <hyperlink ref="A14" r:id="rId8" display="https://www.enargus.de/pub/bscw.cgi/?op=enargus.eps2&amp;y=1&amp;q=flexibilit%c3%a4t&amp;id=419171&amp;d=complex_date_facet_enargus_fi_von/2010-2019&amp;d=complex_date_facet_enargus_fi_von/2020-2029&amp;m=2&amp;p=1&amp;v=10" xr:uid="{CDECD359-67A1-4F93-9E65-6FCCF05EA71F}"/>
    <hyperlink ref="A15" r:id="rId9" display="https://www.enargus.de/pub/bscw.cgi/?op=enargus.eps2&amp;y=1&amp;q=flexibilit%c3%a4t&amp;id=1153654&amp;d=complex_date_facet_enargus_fi_von/2010-2019&amp;d=complex_date_facet_enargus_fi_von/2020-2029&amp;m=2&amp;p=1&amp;v=10" xr:uid="{7F7CDFF0-8146-4C5E-AF5C-39F07D238F1F}"/>
    <hyperlink ref="A16" r:id="rId10" display="https://www.enargus.de/pub/bscw.cgi/?op=enargus.eps2&amp;y=1&amp;q=flexibilit%c3%a4t&amp;id=871451&amp;d=complex_date_facet_enargus_fi_von/2010-2019&amp;d=complex_date_facet_enargus_fi_von/2020-2029&amp;m=2&amp;p=1&amp;v=10" xr:uid="{DFA518D2-FF1C-4D17-BCD3-B8EFC6C82FA2}"/>
    <hyperlink ref="A17" r:id="rId11" display="https://www.enargus.de/pub/bscw.cgi/?op=enargus.eps2&amp;y=1&amp;q=flexibilit%c3%a4t&amp;id=936750&amp;d=complex_date_facet_enargus_fi_von/2010-2019&amp;d=complex_date_facet_enargus_fi_von/2020-2029&amp;m=2&amp;p=2&amp;v=10" xr:uid="{61126E65-9620-49F4-997B-E753C73373F2}"/>
    <hyperlink ref="A18" r:id="rId12" display="https://www.enargus.de/pub/bscw.cgi/?op=enargus.eps2&amp;y=1&amp;q=flexibilit%c3%a4t&amp;id=548612&amp;d=complex_date_facet_enargus_fi_von/2010-2019&amp;d=complex_date_facet_enargus_fi_von/2020-2029&amp;m=2&amp;p=2&amp;v=10" xr:uid="{03F1A5EC-559F-4BB0-A623-C77F9B0A8DA0}"/>
    <hyperlink ref="A19" r:id="rId13" display="https://www.enargus.de/pub/bscw.cgi/?op=enargus.eps2&amp;y=1&amp;q=flexibilit%c3%a4t&amp;id=545441&amp;d=complex_date_facet_enargus_fi_von/2010-2019&amp;d=complex_date_facet_enargus_fi_von/2020-2029&amp;m=2&amp;p=2&amp;v=10" xr:uid="{2A5068B4-AE16-4B0E-910B-D083766E0946}"/>
    <hyperlink ref="A20" r:id="rId14" display="https://www.enargus.de/pub/bscw.cgi/?op=enargus.eps2&amp;y=1&amp;q=flexibilit%c3%a4t&amp;id=1036306&amp;d=complex_date_facet_enargus_fi_von/2010-2019&amp;d=complex_date_facet_enargus_fi_von/2020-2029&amp;m=2&amp;p=2&amp;v=10" xr:uid="{6D39A76E-DBB6-47FD-B9A2-03D279EDA117}"/>
    <hyperlink ref="A21" r:id="rId15" display="https://www.enargus.de/pub/bscw.cgi/?op=enargus.eps2&amp;y=1&amp;q=flexibilit%c3%a4t&amp;id=872869&amp;d=complex_date_facet_enargus_fi_von/2010-2019&amp;d=complex_date_facet_enargus_fi_von/2020-2029&amp;m=2&amp;p=2&amp;v=10" xr:uid="{9B089F05-3DBB-4886-9BC7-E0A5C8D2884D}"/>
    <hyperlink ref="A22" r:id="rId16" display="https://www.enargus.de/pub/bscw.cgi/?op=enargus.eps2&amp;y=1&amp;q=flexibilit%c3%a4t&amp;id=546741&amp;d=complex_date_facet_enargus_fi_von/2010-2019&amp;d=complex_date_facet_enargus_fi_von/2020-2029&amp;m=2&amp;p=3&amp;v=10" xr:uid="{A2FC3C0C-2BD1-4CC8-99E0-097F3C03A730}"/>
    <hyperlink ref="A23" r:id="rId17" display="https://www.enargus.de/pub/bscw.cgi/?op=enargus.eps2&amp;y=1&amp;q=flexibilit%c3%a4t&amp;id=546124&amp;d=complex_date_facet_enargus_fi_von/2010-2019&amp;d=complex_date_facet_enargus_fi_von/2020-2029&amp;m=2&amp;p=3&amp;v=10" xr:uid="{4EDC6A9B-3AD2-47AB-9771-A8C19E69379A}"/>
    <hyperlink ref="A24" r:id="rId18" display="https://www.enargus.de/pub/bscw.cgi/?op=enargus.eps2&amp;y=1&amp;q=flexibilit%c3%a4t&amp;id=420593&amp;d=complex_date_facet_enargus_fi_von/2010-2019&amp;d=complex_date_facet_enargus_fi_von/2020-2029&amp;m=2&amp;p=3&amp;v=10" xr:uid="{BA52D56D-D081-4865-B5E6-E64EA800A4B3}"/>
    <hyperlink ref="A25" r:id="rId19" display="https://www.enargus.de/pub/bscw.cgi/?op=enargus.eps2&amp;y=1&amp;q=flexibilit%c3%a4t&amp;id=643889&amp;d=complex_date_facet_enargus_fi_von/2010-2019&amp;d=complex_date_facet_enargus_fi_von/2020-2029&amp;m=2&amp;p=3&amp;v=10" xr:uid="{EDD43B5B-182B-404A-A8D1-17A5F02419AA}"/>
    <hyperlink ref="A26" r:id="rId20" display="https://www.enargus.de/pub/bscw.cgi/?op=enargus.eps2&amp;y=1&amp;q=flexibilit%c3%a4t&amp;id=428536&amp;d=complex_date_facet_enargus_fi_von/2010-2019&amp;d=complex_date_facet_enargus_fi_von/2020-2029&amp;m=2&amp;p=3&amp;v=10" xr:uid="{9D6220C0-8AE6-43B6-9E63-00BF18630F06}"/>
    <hyperlink ref="A27" r:id="rId21" display="https://www.enargus.de/pub/bscw.cgi/?op=enargus.eps2&amp;y=1&amp;q=flexibilit%c3%a4t&amp;id=350506&amp;d=complex_date_facet_enargus_fi_von/2010-2019&amp;d=complex_date_facet_enargus_fi_von/2020-2029&amp;m=2&amp;p=4&amp;v=10" xr:uid="{A7A256CD-C489-4740-967B-B5EF85A6B239}"/>
    <hyperlink ref="A28" r:id="rId22" display="https://www.enargus.de/pub/bscw.cgi/?op=enargus.eps2&amp;y=1&amp;q=flexibilit%c3%a4t&amp;id=398215&amp;d=complex_date_facet_enargus_fi_von/2010-2019&amp;d=complex_date_facet_enargus_fi_von/2020-2029&amp;m=2&amp;p=4&amp;v=10" xr:uid="{B90C2F56-EC2B-49A1-9F04-7211F9B096B1}"/>
    <hyperlink ref="A29" r:id="rId23" display="https://www.enargus.de/pub/bscw.cgi/?op=enargus.eps2&amp;y=1&amp;q=flexibilit%c3%a4t&amp;id=1049585&amp;d=complex_date_facet_enargus_fi_von/2010-2019&amp;d=complex_date_facet_enargus_fi_von/2020-2029&amp;m=2&amp;p=4&amp;v=10" xr:uid="{E74611A6-940B-4CE8-B28F-F396AF82AFEC}"/>
    <hyperlink ref="A30" r:id="rId24" display="https://www.enargus.de/pub/bscw.cgi/?op=enargus.eps2&amp;y=1&amp;q=flexibilit%c3%a4t&amp;id=620153&amp;d=complex_date_facet_enargus_fi_von/2010-2019&amp;d=complex_date_facet_enargus_fi_von/2020-2029&amp;m=2&amp;p=5&amp;v=10" xr:uid="{8BBEF19D-6B74-4F08-9644-A39C84548459}"/>
    <hyperlink ref="A31" r:id="rId25" display="https://www.enargus.de/pub/bscw.cgi/?op=enargus.eps2&amp;y=1&amp;q=flexibilit%c3%a4t&amp;id=1241575&amp;d=complex_date_facet_enargus_fi_von/2010-2019&amp;d=complex_date_facet_enargus_fi_von/2020-2029&amp;m=2&amp;p=5&amp;v=10" xr:uid="{6F1CA59B-B8E7-425F-81A5-47C87E02B450}"/>
    <hyperlink ref="A32" r:id="rId26" display="https://www.enargus.de/pub/bscw.cgi/?op=enargus.eps2&amp;y=1&amp;q=flexibilit%c3%a4t&amp;id=927132&amp;d=complex_date_facet_enargus_fi_von/2010-2019&amp;d=complex_date_facet_enargus_fi_von/2020-2029&amp;m=2&amp;p=5&amp;v=10" xr:uid="{2E3EDE27-FEAF-4C67-BB20-DF684D703181}"/>
    <hyperlink ref="A33" r:id="rId27" display="https://www.enargus.de/pub/bscw.cgi/?op=enargus.eps2&amp;y=1&amp;q=flexibilit%c3%a4t&amp;id=684615&amp;d=complex_date_facet_enargus_fi_von/2010-2019&amp;d=complex_date_facet_enargus_fi_von/2020-2029&amp;m=2&amp;p=5&amp;v=10" xr:uid="{2651B542-E6D5-4351-84FB-BB183FE172A9}"/>
    <hyperlink ref="A34" r:id="rId28" display="https://www.enargus.de/pub/bscw.cgi/?op=enargus.eps2&amp;y=1&amp;q=flexibilit%c3%a4t&amp;id=648662&amp;d=complex_date_facet_enargus_fi_von/2010-2019&amp;d=complex_date_facet_enargus_fi_von/2020-2029&amp;m=2&amp;p=6&amp;v=10" xr:uid="{4B08829E-B6F4-4F75-896B-4AFC107EBB89}"/>
    <hyperlink ref="A35" r:id="rId29" display="https://www.enargus.de/pub/bscw.cgi/?op=enargus.eps2&amp;y=1&amp;q=flexibilit%c3%a4t&amp;id=540900&amp;d=complex_date_facet_enargus_fi_von/2010-2019&amp;d=complex_date_facet_enargus_fi_von/2020-2029&amp;m=2&amp;p=6&amp;v=10" xr:uid="{34E1F19B-54C0-4045-A321-6AB794341248}"/>
    <hyperlink ref="A36" r:id="rId30" display="https://www.enargus.de/pub/bscw.cgi/?op=enargus.eps2&amp;y=1&amp;q=flexibilit%c3%a4t&amp;id=1039234&amp;d=complex_date_facet_enargus_fi_von/2010-2019&amp;d=complex_date_facet_enargus_fi_von/2020-2029&amp;m=2&amp;p=6&amp;v=10" xr:uid="{98EB72A9-8209-4D7D-8601-727E23500BEA}"/>
    <hyperlink ref="A37" r:id="rId31" display="https://www.enargus.de/pub/bscw.cgi/?op=enargus.eps2&amp;y=1&amp;q=flexibilit%c3%a4t&amp;id=1217301&amp;d=complex_date_facet_enargus_fi_von/2010-2019&amp;d=complex_date_facet_enargus_fi_von/2020-2029&amp;m=2&amp;p=7&amp;v=10" xr:uid="{E4849C82-F5BB-47E4-92E6-86DF3EA2D374}"/>
    <hyperlink ref="A38" r:id="rId32" display="https://www.enargus.de/pub/bscw.cgi/?op=enargus.eps2&amp;y=1&amp;q=flexibilit%c3%a4t&amp;id=398934&amp;d=complex_date_facet_enargus_fi_von/2010-2019&amp;d=complex_date_facet_enargus_fi_von/2020-2029&amp;m=2&amp;p=7&amp;v=10" xr:uid="{37683A4F-D2ED-4766-B187-24CD24E26219}"/>
    <hyperlink ref="A39" r:id="rId33" display="https://www.enargus.de/pub/bscw.cgi/?op=enargus.eps2&amp;y=1&amp;q=flexibilit%c3%a4t&amp;id=386812&amp;d=complex_date_facet_enargus_fi_von/2010-2019&amp;d=complex_date_facet_enargus_fi_von/2020-2029&amp;m=2&amp;p=7&amp;v=10" xr:uid="{1DAFBA7B-FCF5-4B52-A6CD-93814D08D4D2}"/>
    <hyperlink ref="A40" r:id="rId34" display="https://www.enargus.de/pub/bscw.cgi/?op=enargus.eps2&amp;y=1&amp;q=flexibilit%c3%a4t&amp;id=1211166&amp;d=complex_date_facet_enargus_fi_von/2010-2019&amp;d=complex_date_facet_enargus_fi_von/2020-2029&amp;m=2&amp;p=7&amp;v=10" xr:uid="{2B8A123C-BE49-41A7-BB85-63684147EFEF}"/>
    <hyperlink ref="A41" r:id="rId35" display="https://www.enargus.de/pub/bscw.cgi/?op=enargus.eps2&amp;y=1&amp;q=flexibilit%c3%a4t&amp;id=422149&amp;d=complex_date_facet_enargus_fi_von/2010-2019&amp;d=complex_date_facet_enargus_fi_von/2020-2029&amp;m=2&amp;p=7&amp;v=10" xr:uid="{20F84634-06A9-4972-9B4F-B5493B45F1F8}"/>
    <hyperlink ref="A42" r:id="rId36" display="https://www.enargus.de/pub/bscw.cgi/?op=enargus.eps2&amp;y=1&amp;q=flexibilit%c3%a4t&amp;id=1289430&amp;d=complex_date_facet_enargus_fi_von/2010-2019&amp;d=complex_date_facet_enargus_fi_von/2020-2029&amp;m=2&amp;p=7&amp;v=10" xr:uid="{1913C6E3-27B9-499F-BA90-21E2CAE9B94E}"/>
    <hyperlink ref="A43" r:id="rId37" display="https://www.enargus.de/pub/bscw.cgi/?op=enargus.eps2&amp;y=1&amp;q=flexibilit%c3%a4t&amp;id=301387&amp;d=complex_date_facet_enargus_fi_von/2010-2019&amp;d=complex_date_facet_enargus_fi_von/2020-2029&amp;m=2&amp;p=8&amp;v=10" xr:uid="{399CBD72-3D7C-4510-9E7B-A4AD6F222AFE}"/>
    <hyperlink ref="A44" r:id="rId38" display="https://www.enargus.de/pub/bscw.cgi/?op=enargus.eps2&amp;y=1&amp;q=flexibilit%c3%a4t&amp;id=617403&amp;d=complex_date_facet_enargus_fi_von/2010-2019&amp;d=complex_date_facet_enargus_fi_von/2020-2029&amp;m=2&amp;p=9&amp;v=10" xr:uid="{2B117610-2A36-44E3-AB48-3CD9F1E461EE}"/>
    <hyperlink ref="A45" r:id="rId39" display="https://www.enargus.de/pub/bscw.cgi/?op=enargus.eps2&amp;y=1&amp;q=flexibilit%c3%a4t&amp;id=953415&amp;d=complex_date_facet_enargus_fi_von/2010-2019&amp;d=complex_date_facet_enargus_fi_von/2020-2029&amp;m=2&amp;p=9&amp;v=10" xr:uid="{935E4941-99A7-44C8-813C-199F72FE71F7}"/>
    <hyperlink ref="A46" r:id="rId40" display="https://www.enargus.de/pub/bscw.cgi/?op=enargus.eps2&amp;y=1&amp;q=flexibilit%c3%a4t&amp;id=689409&amp;d=complex_date_facet_enargus_fi_von/2010-2019&amp;d=complex_date_facet_enargus_fi_von/2020-2029&amp;m=2&amp;p=9&amp;v=10" xr:uid="{F03598AB-35F7-4A17-B26A-468B7D767882}"/>
    <hyperlink ref="A47" r:id="rId41" display="https://www.enargus.de/pub/bscw.cgi/?op=enargus.eps2&amp;y=1&amp;q=flexibilit%c3%a4t&amp;id=994300&amp;d=complex_date_facet_enargus_fi_von/2010-2019&amp;d=complex_date_facet_enargus_fi_von/2020-2029&amp;m=2&amp;p=9&amp;v=10" xr:uid="{0596E331-2A39-4878-8333-4388FDB351BF}"/>
    <hyperlink ref="A48" r:id="rId42" display="https://www.enargus.de/pub/bscw.cgi/?op=enargus.eps2&amp;y=1&amp;q=flexibilit%c3%a4t&amp;id=939618&amp;d=complex_date_facet_enargus_fi_von/2010-2019&amp;d=complex_date_facet_enargus_fi_von/2020-2029&amp;m=2&amp;p=10&amp;v=10" xr:uid="{1510EA1D-D40F-4E38-909D-EC6C27AC5184}"/>
    <hyperlink ref="A49" r:id="rId43" display="https://www.enargus.de/pub/bscw.cgi/?op=enargus.eps2&amp;y=1&amp;q=flexibilit%c3%a4t&amp;id=375477&amp;d=complex_date_facet_enargus_fi_von/2010-2019&amp;d=complex_date_facet_enargus_fi_von/2020-2029&amp;m=2&amp;p=10&amp;v=10" xr:uid="{BABE3E83-E85D-44FB-B140-C67F09DD9745}"/>
    <hyperlink ref="A50" r:id="rId44" display="https://www.enargus.de/pub/bscw.cgi/?op=enargus.eps2&amp;y=1&amp;q=flexibilit%c3%a4t&amp;id=1217738&amp;d=complex_date_facet_enargus_fi_von/2010-2019&amp;d=complex_date_facet_enargus_fi_von/2020-2029&amp;m=2&amp;p=11&amp;v=10" xr:uid="{05A26D69-35D0-4922-9842-3087E4FEEAB5}"/>
    <hyperlink ref="A51" r:id="rId45" display="https://www.enargus.de/pub/bscw.cgi/?op=enargus.eps2&amp;y=1&amp;q=flexibilit%c3%a4t&amp;id=1213669&amp;d=complex_date_facet_enargus_fi_von/2010-2019&amp;d=complex_date_facet_enargus_fi_von/2020-2029&amp;m=2&amp;p=11&amp;v=10" xr:uid="{3530CD14-E4BF-4256-B2EA-6FCB243AE7C4}"/>
    <hyperlink ref="A52" r:id="rId46" display="https://www.enargus.de/pub/bscw.cgi/?op=enargus.eps2&amp;y=1&amp;q=flexibilit%c3%a4t&amp;id=1152234&amp;d=complex_date_facet_enargus_fi_von/2010-2019&amp;d=complex_date_facet_enargus_fi_von/2020-2029&amp;m=2&amp;p=11&amp;v=10" xr:uid="{C89F1E7E-D44A-4D80-BE7D-683B3A6FA323}"/>
    <hyperlink ref="A53" r:id="rId47" display="https://www.enargus.de/pub/bscw.cgi/?op=enargus.eps2&amp;y=1&amp;q=flexibilit%c3%a4t&amp;id=168272&amp;d=complex_date_facet_enargus_fi_von/2010-2019&amp;d=complex_date_facet_enargus_fi_von/2020-2029&amp;m=2&amp;p=11&amp;v=10" xr:uid="{0878F917-25FA-4A86-BB81-171351BB0AF7}"/>
    <hyperlink ref="A54" r:id="rId48" display="https://www.enargus.de/pub/bscw.cgi/?op=enargus.eps2&amp;y=1&amp;q=flexibilit%c3%a4t&amp;id=1173691&amp;d=complex_date_facet_enargus_fi_von/2010-2019&amp;d=complex_date_facet_enargus_fi_von/2020-2029&amp;m=2&amp;p=11&amp;v=10" xr:uid="{E2C4D214-EFB6-475E-BA62-0DE3CC98BFC5}"/>
    <hyperlink ref="A55" r:id="rId49" display="https://www.enargus.de/pub/bscw.cgi/?op=enargus.eps2&amp;y=1&amp;q=flexibilit%c3%a4t&amp;id=937766&amp;d=complex_date_facet_enargus_fi_von/2010-2019&amp;d=complex_date_facet_enargus_fi_von/2020-2029&amp;m=2&amp;p=11&amp;v=10" xr:uid="{1DED23BA-53B6-4A14-8827-73D59D58938C}"/>
    <hyperlink ref="A56" r:id="rId50" display="https://www.enargus.de/pub/bscw.cgi/?op=enargus.eps2&amp;y=1&amp;q=flexibilit%c3%a4t&amp;id=994195&amp;d=complex_date_facet_enargus_fi_von/2010-2019&amp;d=complex_date_facet_enargus_fi_von/2020-2029&amp;m=2&amp;p=12&amp;v=10" xr:uid="{B035959E-DDC2-49D9-B8C4-1F6B85610EEB}"/>
    <hyperlink ref="A57" r:id="rId51" display="https://www.enargus.de/pub/bscw.cgi/?op=enargus.eps2&amp;y=1&amp;q=flexibilit%c3%a4t&amp;id=1192794&amp;d=complex_date_facet_enargus_fi_von/2010-2019&amp;d=complex_date_facet_enargus_fi_von/2020-2029&amp;m=2&amp;p=12&amp;v=10" xr:uid="{E5C6FD01-77D9-461D-A90B-98B7386C6E05}"/>
    <hyperlink ref="A58" r:id="rId52" display="https://www.enargus.de/pub/bscw.cgi/?op=enargus.eps2&amp;y=1&amp;q=flexibilit%c3%a4t&amp;id=1320490&amp;d=complex_date_facet_enargus_fi_von/2010-2019&amp;d=complex_date_facet_enargus_fi_von/2020-2029&amp;m=2&amp;p=12&amp;v=10" xr:uid="{25D22609-FCAC-49C7-B851-197359C2506A}"/>
    <hyperlink ref="A59" r:id="rId53" display="https://www.enargus.de/pub/bscw.cgi/?op=enargus.eps2&amp;y=1&amp;q=flexibilit%c3%a4t&amp;id=1047774&amp;d=complex_date_facet_enargus_fi_von/2010-2019&amp;d=complex_date_facet_enargus_fi_von/2020-2029&amp;m=2&amp;p=12&amp;v=10" xr:uid="{6D68D967-36D6-4167-A3DE-CD3130A24AF4}"/>
    <hyperlink ref="A60" r:id="rId54" display="https://www.enargus.de/pub/bscw.cgi/?op=enargus.eps2&amp;y=1&amp;q=flexibilit%c3%a4t&amp;id=692913&amp;d=complex_date_facet_enargus_fi_von/2010-2019&amp;d=complex_date_facet_enargus_fi_von/2020-2029&amp;m=2&amp;p=13&amp;v=10" xr:uid="{40806AFF-8A19-4068-90B8-B949E0073427}"/>
    <hyperlink ref="A61" r:id="rId55" display="https://www.enargus.de/pub/bscw.cgi/?op=enargus.eps2&amp;y=1&amp;q=flexibilit%c3%a4t&amp;id=320066&amp;d=complex_date_facet_enargus_fi_von/2010-2019&amp;d=complex_date_facet_enargus_fi_von/2020-2029&amp;m=2&amp;p=13&amp;v=10" xr:uid="{2448B5BA-B36D-42FC-87D0-889F0F164A74}"/>
    <hyperlink ref="A62" r:id="rId56" display="https://www.enargus.de/pub/bscw.cgi/?op=enargus.eps2&amp;y=1&amp;q=flexibilit%c3%a4t&amp;id=401278&amp;d=complex_date_facet_enargus_fi_von/2010-2019&amp;d=complex_date_facet_enargus_fi_von/2020-2029&amp;m=2&amp;p=13&amp;v=10" xr:uid="{F454C9F2-EC5E-477F-9F46-900171AF2E04}"/>
    <hyperlink ref="A63" r:id="rId57" display="https://www.enargus.de/pub/bscw.cgi/?op=enargus.eps2&amp;y=1&amp;q=flexibilit%c3%a4t&amp;id=386409&amp;d=complex_date_facet_enargus_fi_von/2010-2019&amp;d=complex_date_facet_enargus_fi_von/2020-2029&amp;m=2&amp;p=13&amp;v=10" xr:uid="{7AF86946-3066-4905-8969-C98C7751FCD0}"/>
    <hyperlink ref="A64" r:id="rId58" display="https://www.enargus.de/pub/bscw.cgi/?op=enargus.eps2&amp;y=1&amp;q=flexibilit%c3%a4t&amp;id=364278&amp;d=complex_date_facet_enargus_fi_von/2010-2019&amp;d=complex_date_facet_enargus_fi_von/2020-2029&amp;m=2&amp;p=13&amp;v=10" xr:uid="{F65F96B1-5691-40CA-B399-525FE7EFAB7C}"/>
    <hyperlink ref="A65" r:id="rId59" display="https://www.enargus.de/pub/bscw.cgi/?op=enargus.eps2&amp;y=1&amp;q=flexibilit%c3%a4t&amp;id=870459&amp;d=complex_date_facet_enargus_fi_von/2010-2019&amp;d=complex_date_facet_enargus_fi_von/2020-2029&amp;m=2&amp;p=14&amp;v=10" xr:uid="{AA5A8B44-0CC1-45FA-8169-6BECB348EFEB}"/>
    <hyperlink ref="A66" r:id="rId60" display="https://www.enargus.de/pub/bscw.cgi/?op=enargus.eps2&amp;y=1&amp;q=flexibilit%c3%a4t&amp;id=615590&amp;d=complex_date_facet_enargus_fi_von/2010-2019&amp;d=complex_date_facet_enargus_fi_von/2020-2029&amp;m=2&amp;p=14&amp;v=10" xr:uid="{2205357C-F291-4458-B824-324DE7A0798C}"/>
    <hyperlink ref="A67" r:id="rId61" display="https://www.enargus.de/pub/bscw.cgi/?op=enargus.eps2&amp;y=1&amp;q=flexibilit%c3%a4t&amp;id=440456&amp;d=complex_date_facet_enargus_fi_von/2010-2019&amp;d=complex_date_facet_enargus_fi_von/2020-2029&amp;m=2&amp;p=14&amp;v=10" xr:uid="{F409B2DF-182F-46AF-931F-AEAC83E25130}"/>
    <hyperlink ref="A68" r:id="rId62" display="https://www.enargus.de/pub/bscw.cgi/?op=enargus.eps2&amp;y=1&amp;q=flexibilit%c3%a4t&amp;id=431786&amp;d=complex_date_facet_enargus_fi_von/2010-2019&amp;d=complex_date_facet_enargus_fi_von/2020-2029&amp;m=2&amp;p=14&amp;v=10" xr:uid="{B2AC8C56-4418-4620-9E28-E6D1CFF9B19D}"/>
    <hyperlink ref="A69" r:id="rId63" display="https://www.enargus.de/pub/bscw.cgi/?op=enargus.eps2&amp;y=1&amp;q=flexibilit%c3%a4t&amp;id=423820&amp;d=complex_date_facet_enargus_fi_von/2010-2019&amp;d=complex_date_facet_enargus_fi_von/2020-2029&amp;m=2&amp;p=14&amp;v=10" xr:uid="{C919F03C-0355-46F9-8121-3BC1CE11F259}"/>
    <hyperlink ref="A70" r:id="rId64" display="https://www.enargus.de/pub/bscw.cgi/?op=enargus.eps2&amp;y=1&amp;q=flexibilit%c3%a4t&amp;id=1168231&amp;d=complex_date_facet_enargus_fi_von/2010-2019&amp;d=complex_date_facet_enargus_fi_von/2020-2029&amp;m=2&amp;p=15&amp;v=10" xr:uid="{8FBE1CC3-B92C-4E7F-96BB-0FE82920645B}"/>
    <hyperlink ref="A71" r:id="rId65" display="https://www.enargus.de/pub/bscw.cgi/?op=enargus.eps2&amp;y=1&amp;q=flexibilit%c3%a4t&amp;id=915619&amp;d=complex_date_facet_enargus_fi_von/2010-2019&amp;d=complex_date_facet_enargus_fi_von/2020-2029&amp;m=2&amp;p=15&amp;v=10" xr:uid="{BC61DEE1-0AB5-4C4A-8A3C-4B2089F5A209}"/>
    <hyperlink ref="A72" r:id="rId66" display="https://www.enargus.de/pub/bscw.cgi/?op=enargus.eps2&amp;y=1&amp;q=flexibilit%c3%a4t&amp;id=520387&amp;d=complex_date_facet_enargus_fi_von/2010-2019&amp;d=complex_date_facet_enargus_fi_von/2020-2029&amp;m=2&amp;p=15&amp;v=10" xr:uid="{F18F7B0B-FE89-4E31-A02A-488D3871D196}"/>
    <hyperlink ref="A73" r:id="rId67" display="https://www.enargus.de/pub/bscw.cgi/?op=enargus.eps2&amp;y=1&amp;q=flexibilit%c3%a4t&amp;id=397664&amp;d=complex_date_facet_enargus_fi_von/2010-2019&amp;d=complex_date_facet_enargus_fi_von/2020-2029&amp;m=2&amp;p=16&amp;v=10" xr:uid="{6D0BAEC0-9161-43CE-AAD2-2F7D0AD026B7}"/>
    <hyperlink ref="A74" r:id="rId68" display="https://www.enargus.de/pub/bscw.cgi/?op=enargus.eps2&amp;y=1&amp;q=flexibilit%c3%a4t&amp;id=424368&amp;d=complex_date_facet_enargus_fi_von/2010-2019&amp;d=complex_date_facet_enargus_fi_von/2020-2029&amp;m=2&amp;p=16&amp;v=10" xr:uid="{97D1ACD4-F7ED-452B-A1DF-C6FA01CE2F7F}"/>
    <hyperlink ref="A75" r:id="rId69" display="https://www.enargus.de/pub/bscw.cgi/?op=enargus.eps2&amp;y=1&amp;q=flexibilit%c3%a4t&amp;id=364311&amp;d=complex_date_facet_enargus_fi_von/2010-2019&amp;d=complex_date_facet_enargus_fi_von/2020-2029&amp;m=2&amp;p=16&amp;v=10" xr:uid="{E77636AE-9990-4023-AC66-B30B1EE763A5}"/>
    <hyperlink ref="A76" r:id="rId70" display="https://www.enargus.de/pub/bscw.cgi/?op=enargus.eps2&amp;y=1&amp;q=flexibilit%c3%a4t&amp;id=427346&amp;d=complex_date_facet_enargus_fi_von/2010-2019&amp;d=complex_date_facet_enargus_fi_von/2020-2029&amp;m=2&amp;p=16&amp;v=10" xr:uid="{7B2883BC-92DE-430E-B647-A8E7E74FEE88}"/>
    <hyperlink ref="A77" r:id="rId71" display="https://www.enargus.de/pub/bscw.cgi/?op=enargus.eps2&amp;y=1&amp;q=flexibilit%c3%a4t&amp;id=380846&amp;d=complex_date_facet_enargus_fi_von/2010-2019&amp;d=complex_date_facet_enargus_fi_von/2020-2029&amp;m=2&amp;p=16&amp;v=10" xr:uid="{6F7F1687-A2CA-43A4-B998-87915BAC065A}"/>
    <hyperlink ref="A78" r:id="rId72" display="https://www.enargus.de/pub/bscw.cgi/?op=enargus.eps2&amp;y=1&amp;q=flexibilit%c3%a4t&amp;id=364375&amp;d=complex_date_facet_enargus_fi_von/2010-2019&amp;d=complex_date_facet_enargus_fi_von/2020-2029&amp;m=2&amp;p=17&amp;v=10" xr:uid="{4559DEB2-60D9-4493-8118-9B1669BD57AA}"/>
    <hyperlink ref="A79" r:id="rId73" display="https://www.enargus.de/pub/bscw.cgi/?op=enargus.eps2&amp;y=1&amp;q=flexibilit%c3%a4t&amp;id=400188&amp;d=complex_date_facet_enargus_fi_von/2010-2019&amp;d=complex_date_facet_enargus_fi_von/2020-2029&amp;m=2&amp;p=17&amp;v=10" xr:uid="{3FAF85C3-B60C-4A2B-934A-E3157169762E}"/>
    <hyperlink ref="A80" r:id="rId74" display="https://www.enargus.de/pub/bscw.cgi/?op=enargus.eps2&amp;y=1&amp;q=flexibilit%c3%a4t&amp;id=1225119&amp;d=complex_date_facet_enargus_fi_von/2010-2019&amp;d=complex_date_facet_enargus_fi_von/2020-2029&amp;m=2&amp;p=17&amp;v=10" xr:uid="{13419A72-B6FA-47EF-8A63-0C4B49EF9F00}"/>
    <hyperlink ref="A81" r:id="rId75" display="https://www.enargus.de/pub/bscw.cgi/?op=enargus.eps2&amp;y=1&amp;q=flexibilit%c3%a4t&amp;id=1198027&amp;d=complex_date_facet_enargus_fi_von/2010-2019&amp;d=complex_date_facet_enargus_fi_von/2020-2029&amp;m=2&amp;p=17&amp;v=10" xr:uid="{77250EA4-D06E-440E-938E-02E839BAEE4A}"/>
    <hyperlink ref="A82" r:id="rId76" display="https://www.enargus.de/pub/bscw.cgi/?op=enargus.eps2&amp;y=1&amp;q=flexibilit%c3%a4t&amp;id=426859&amp;d=complex_date_facet_enargus_fi_von/2010-2019&amp;d=complex_date_facet_enargus_fi_von/2020-2029&amp;m=2&amp;p=18&amp;v=10" xr:uid="{D2C38011-E85C-48FE-BC69-5455709C4970}"/>
    <hyperlink ref="A83" r:id="rId77" display="https://www.enargus.de/pub/bscw.cgi/?op=enargus.eps2&amp;y=1&amp;q=flexibilit%c3%a4t&amp;id=937817&amp;d=complex_date_facet_enargus_fi_von/2010-2019&amp;d=complex_date_facet_enargus_fi_von/2020-2029&amp;m=2&amp;p=18&amp;v=10" xr:uid="{748056ED-2058-483B-AF2A-B31FDE144BDC}"/>
    <hyperlink ref="A84" r:id="rId78" display="https://www.enargus.de/pub/bscw.cgi/?op=enargus.eps2&amp;y=1&amp;q=flexibilit%c3%a4t&amp;id=937344&amp;d=complex_date_facet_enargus_fi_von/2010-2019&amp;d=complex_date_facet_enargus_fi_von/2020-2029&amp;m=2&amp;p=18&amp;v=10" xr:uid="{70E491E6-8B57-431E-9306-FA91C7029C16}"/>
    <hyperlink ref="A85" r:id="rId79" display="https://www.enargus.de/pub/bscw.cgi/?op=enargus.eps2&amp;y=1&amp;q=flexibilit%c3%a4t&amp;id=612221&amp;d=complex_date_facet_enargus_fi_von/2010-2019&amp;d=complex_date_facet_enargus_fi_von/2020-2029&amp;m=2&amp;p=18&amp;v=10" xr:uid="{607A3CCD-85B6-4DE3-A0E4-E32D46DE5727}"/>
    <hyperlink ref="A86" r:id="rId80" display="https://www.enargus.de/pub/bscw.cgi/?op=enargus.eps2&amp;y=1&amp;q=flexibilit%c3%a4t&amp;id=439711&amp;d=complex_date_facet_enargus_fi_von/2010-2019&amp;d=complex_date_facet_enargus_fi_von/2020-2029&amp;m=2&amp;p=18&amp;v=10" xr:uid="{81B4E01A-7B8E-434C-87A5-9E6B8E2A8BA1}"/>
    <hyperlink ref="A87" r:id="rId81" display="https://www.enargus.de/pub/bscw.cgi/?op=enargus.eps2&amp;y=1&amp;q=flexibilit%c3%a4t&amp;id=431658&amp;d=complex_date_facet_enargus_fi_von/2010-2019&amp;d=complex_date_facet_enargus_fi_von/2020-2029&amp;m=2&amp;p=18&amp;v=10" xr:uid="{08C9B4C0-135A-4611-A0FF-8EC7D5D94CD0}"/>
    <hyperlink ref="A88" r:id="rId82" display="https://www.enargus.de/pub/bscw.cgi/?op=enargus.eps2&amp;y=1&amp;q=flexibilit%c3%a4t&amp;id=427893&amp;d=complex_date_facet_enargus_fi_von/2010-2019&amp;d=complex_date_facet_enargus_fi_von/2020-2029&amp;m=2&amp;p=19&amp;v=10" xr:uid="{5BFC4F47-E01A-440C-BC07-18FE720CC66A}"/>
    <hyperlink ref="A89" r:id="rId83" display="https://www.enargus.de/pub/bscw.cgi/?op=enargus.eps2&amp;y=1&amp;q=flexibilit%c3%a4t&amp;id=407422&amp;d=complex_date_facet_enargus_fi_von/2010-2019&amp;d=complex_date_facet_enargus_fi_von/2020-2029&amp;m=2&amp;p=19&amp;v=10" xr:uid="{CABA1786-638D-4A05-9E5D-63B3CE6669CD}"/>
    <hyperlink ref="A90" r:id="rId84" display="https://www.enargus.de/pub/bscw.cgi/?op=enargus.eps2&amp;y=1&amp;q=flexibilit%c3%a4t&amp;id=376151&amp;d=complex_date_facet_enargus_fi_von/2010-2019&amp;d=complex_date_facet_enargus_fi_von/2020-2029&amp;m=2&amp;p=19&amp;v=10" xr:uid="{8AB90E50-7F95-4BC6-87F8-ABD0772C4C79}"/>
    <hyperlink ref="A91" r:id="rId85" display="https://www.enargus.de/pub/bscw.cgi/?op=enargus.eps2&amp;y=1&amp;q=flexibilit%c3%a4t&amp;id=371022&amp;d=complex_date_facet_enargus_fi_von/2010-2019&amp;d=complex_date_facet_enargus_fi_von/2020-2029&amp;m=2&amp;p=19&amp;v=10" xr:uid="{EDEDA81D-AE64-4DE7-85A5-9C0B48EED716}"/>
    <hyperlink ref="A92" r:id="rId86" display="https://www.enargus.de/pub/bscw.cgi/?op=enargus.eps2&amp;y=1&amp;q=flexibilit%c3%a4t&amp;id=417412&amp;d=complex_date_facet_enargus_fi_von/2010-2019&amp;d=complex_date_facet_enargus_fi_von/2020-2029&amp;m=2&amp;p=19&amp;v=10" xr:uid="{B9BDE4C1-7F5B-4DC5-9559-1490437D3B0A}"/>
  </hyperlinks>
  <pageMargins left="0.7" right="0.7" top="0.78740157499999996" bottom="0.78740157499999996" header="0.3" footer="0.3"/>
  <pageSetup paperSize="9" orientation="portrait" r:id="rId8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4C3B5-D1D8-4B56-8F80-310C976BF802}">
  <sheetPr codeName="Tabelle7">
    <tabColor theme="7" tint="0.79998168889431442"/>
  </sheetPr>
  <dimension ref="A1:P103"/>
  <sheetViews>
    <sheetView topLeftCell="A19" workbookViewId="0">
      <selection activeCell="C30" sqref="C30"/>
    </sheetView>
  </sheetViews>
  <sheetFormatPr baseColWidth="10" defaultColWidth="10.875" defaultRowHeight="15.75" x14ac:dyDescent="0.25"/>
  <cols>
    <col min="1" max="1" width="13.625" style="7" customWidth="1"/>
    <col min="2" max="3" width="11.25" style="7" customWidth="1"/>
    <col min="4" max="4" width="11.875" style="7" customWidth="1"/>
    <col min="5" max="5" width="11.25" style="7" customWidth="1"/>
    <col min="6" max="6" width="12" style="7" customWidth="1"/>
    <col min="7" max="7" width="4.375" style="14" hidden="1" customWidth="1"/>
    <col min="8" max="10" width="11.25" style="7" customWidth="1"/>
    <col min="11" max="11" width="11.5" style="7" bestFit="1" customWidth="1"/>
    <col min="12" max="12" width="13" style="7" customWidth="1"/>
    <col min="13" max="14" width="11.25" style="7" customWidth="1"/>
    <col min="15" max="15" width="18.375" style="7" customWidth="1"/>
    <col min="16" max="16" width="14.125" style="7" hidden="1" customWidth="1"/>
    <col min="17" max="16384" width="10.875" style="7"/>
  </cols>
  <sheetData>
    <row r="1" spans="1:16" ht="39.75"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48" customHeight="1" x14ac:dyDescent="0.25">
      <c r="A2" s="3" t="s">
        <v>1</v>
      </c>
      <c r="B2" s="3" t="s">
        <v>848</v>
      </c>
      <c r="C2" s="3" t="s">
        <v>849</v>
      </c>
      <c r="D2" s="3" t="s">
        <v>1449</v>
      </c>
      <c r="E2" s="3" t="s">
        <v>1450</v>
      </c>
      <c r="F2" s="3" t="s">
        <v>136</v>
      </c>
      <c r="G2" s="3" t="s">
        <v>103</v>
      </c>
      <c r="H2" s="3" t="s">
        <v>100</v>
      </c>
      <c r="I2" s="3" t="s">
        <v>97</v>
      </c>
      <c r="J2" s="3" t="s">
        <v>98</v>
      </c>
      <c r="K2" s="3" t="s">
        <v>126</v>
      </c>
      <c r="L2" s="3" t="s">
        <v>1451</v>
      </c>
      <c r="M2" s="3" t="s">
        <v>124</v>
      </c>
      <c r="N2" s="3" t="s">
        <v>99</v>
      </c>
      <c r="O2" s="3" t="s">
        <v>127</v>
      </c>
      <c r="P2" s="3" t="s">
        <v>104</v>
      </c>
    </row>
    <row r="3" spans="1:16" ht="25.5" x14ac:dyDescent="0.25">
      <c r="A3" s="6" t="s">
        <v>12</v>
      </c>
      <c r="B3" s="8">
        <f>Ueberblick[[#This Row],[Bottom-Up-Abschätzung]]</f>
        <v>1</v>
      </c>
      <c r="C3" s="8">
        <f>Ueberblick[[#This Row],[Top-Down-Abschätzung]]</f>
        <v>1</v>
      </c>
      <c r="D3" s="8">
        <f>Ueberblick[[#This Row],[Bestimmung Kosten-Potenzial-Kurven]]</f>
        <v>0</v>
      </c>
      <c r="E3" s="8">
        <f>Ueberblick[[#This Row],[Analyse mehrerer Szenarien / Entwicklungen]]</f>
        <v>1</v>
      </c>
      <c r="F3" s="8">
        <f>Ueberblick[[#This Row],[Untersuchung von Fehlermaßen]]</f>
        <v>0</v>
      </c>
      <c r="G3" s="8" t="str">
        <f>Ueberblick[[#This Row],[Quellen Methodik]]</f>
        <v>78-96</v>
      </c>
      <c r="H3" s="8">
        <f>Ueberblick[[#This Row],[Literaturanalyse]]</f>
        <v>1</v>
      </c>
      <c r="I3" s="8">
        <f>Ueberblick[[#This Row],[Auswertung von Statistiken]]</f>
        <v>1</v>
      </c>
      <c r="J3" s="8">
        <f>Ueberblick[[#This Row],[Expertenabschätzungen]]</f>
        <v>0</v>
      </c>
      <c r="K3" s="8">
        <f>Ueberblick[[#This Row],[(Online-)Umfragen]]</f>
        <v>1</v>
      </c>
      <c r="L3" s="8">
        <f>Ueberblick[[#This Row],[Unternehmensbefragungen / Interviews]]</f>
        <v>1</v>
      </c>
      <c r="M3" s="8">
        <f>Ueberblick[[#This Row],[eigene Annahmen]]</f>
        <v>0.5</v>
      </c>
      <c r="N3" s="8">
        <f>Ueberblick[[#This Row],[eigene Erhebungen]]</f>
        <v>0</v>
      </c>
      <c r="O3" s="8">
        <v>2010</v>
      </c>
      <c r="P3" s="8" t="s">
        <v>178</v>
      </c>
    </row>
    <row r="4" spans="1:16" ht="25.5" x14ac:dyDescent="0.25">
      <c r="A4" s="6" t="s">
        <v>347</v>
      </c>
      <c r="B4" s="8">
        <f>Ueberblick[[#This Row],[Bottom-Up-Abschätzung]]</f>
        <v>1</v>
      </c>
      <c r="C4" s="8">
        <f>Ueberblick[[#This Row],[Top-Down-Abschätzung]]</f>
        <v>1</v>
      </c>
      <c r="D4" s="8">
        <f>Ueberblick[[#This Row],[Bestimmung Kosten-Potenzial-Kurven]]</f>
        <v>0</v>
      </c>
      <c r="E4" s="8">
        <f>Ueberblick[[#This Row],[Analyse mehrerer Szenarien / Entwicklungen]]</f>
        <v>1</v>
      </c>
      <c r="F4" s="8">
        <f>Ueberblick[[#This Row],[Untersuchung von Fehlermaßen]]</f>
        <v>0</v>
      </c>
      <c r="G4" s="8" t="str">
        <f>Ueberblick[[#This Row],[Quellen Methodik]]</f>
        <v>751-755</v>
      </c>
      <c r="H4" s="8">
        <f>Ueberblick[[#This Row],[Literaturanalyse]]</f>
        <v>1</v>
      </c>
      <c r="I4" s="8">
        <f>Ueberblick[[#This Row],[Auswertung von Statistiken]]</f>
        <v>1</v>
      </c>
      <c r="J4" s="8">
        <f>Ueberblick[[#This Row],[Expertenabschätzungen]]</f>
        <v>0</v>
      </c>
      <c r="K4" s="8">
        <f>Ueberblick[[#This Row],[(Online-)Umfragen]]</f>
        <v>0</v>
      </c>
      <c r="L4" s="8">
        <f>Ueberblick[[#This Row],[Unternehmensbefragungen / Interviews]]</f>
        <v>0</v>
      </c>
      <c r="M4" s="8">
        <f>Ueberblick[[#This Row],[eigene Annahmen]]</f>
        <v>1</v>
      </c>
      <c r="N4" s="8">
        <f>Ueberblick[[#This Row],[eigene Erhebungen]]</f>
        <v>0</v>
      </c>
      <c r="O4" s="8" t="s">
        <v>813</v>
      </c>
      <c r="P4" s="8" t="s">
        <v>812</v>
      </c>
    </row>
    <row r="5" spans="1:16" s="11" customFormat="1" ht="25.5" x14ac:dyDescent="0.25">
      <c r="A5" s="6" t="s">
        <v>348</v>
      </c>
      <c r="B5" s="8">
        <f>Ueberblick[[#This Row],[Bottom-Up-Abschätzung]]</f>
        <v>1</v>
      </c>
      <c r="C5" s="8">
        <f>Ueberblick[[#This Row],[Top-Down-Abschätzung]]</f>
        <v>1</v>
      </c>
      <c r="D5" s="8">
        <f>Ueberblick[[#This Row],[Bestimmung Kosten-Potenzial-Kurven]]</f>
        <v>0</v>
      </c>
      <c r="E5" s="8">
        <f>Ueberblick[[#This Row],[Analyse mehrerer Szenarien / Entwicklungen]]</f>
        <v>0</v>
      </c>
      <c r="F5" s="8">
        <f>Ueberblick[[#This Row],[Untersuchung von Fehlermaßen]]</f>
        <v>0</v>
      </c>
      <c r="G5" s="8" t="str">
        <f>Ueberblick[[#This Row],[Quellen Methodik]]</f>
        <v>S. 1; 3-4</v>
      </c>
      <c r="H5" s="8">
        <f>Ueberblick[[#This Row],[Literaturanalyse]]</f>
        <v>1</v>
      </c>
      <c r="I5" s="8">
        <f>Ueberblick[[#This Row],[Auswertung von Statistiken]]</f>
        <v>1</v>
      </c>
      <c r="J5" s="8">
        <f>Ueberblick[[#This Row],[Expertenabschätzungen]]</f>
        <v>0</v>
      </c>
      <c r="K5" s="8">
        <f>Ueberblick[[#This Row],[(Online-)Umfragen]]</f>
        <v>0</v>
      </c>
      <c r="L5" s="8">
        <f>Ueberblick[[#This Row],[Unternehmensbefragungen / Interviews]]</f>
        <v>0</v>
      </c>
      <c r="M5" s="8">
        <f>Ueberblick[[#This Row],[eigene Annahmen]]</f>
        <v>1</v>
      </c>
      <c r="N5" s="8">
        <f>Ueberblick[[#This Row],[eigene Erhebungen]]</f>
        <v>0</v>
      </c>
      <c r="O5" s="8">
        <v>2011</v>
      </c>
      <c r="P5" s="8" t="s">
        <v>372</v>
      </c>
    </row>
    <row r="6" spans="1:16" s="11" customFormat="1" ht="25.5" x14ac:dyDescent="0.25">
      <c r="A6" s="6" t="s">
        <v>183</v>
      </c>
      <c r="B6" s="8">
        <f>Ueberblick[[#This Row],[Bottom-Up-Abschätzung]]</f>
        <v>1</v>
      </c>
      <c r="C6" s="8">
        <f>Ueberblick[[#This Row],[Top-Down-Abschätzung]]</f>
        <v>1</v>
      </c>
      <c r="D6" s="8">
        <f>Ueberblick[[#This Row],[Bestimmung Kosten-Potenzial-Kurven]]</f>
        <v>0</v>
      </c>
      <c r="E6" s="8">
        <f>Ueberblick[[#This Row],[Analyse mehrerer Szenarien / Entwicklungen]]</f>
        <v>0</v>
      </c>
      <c r="F6" s="8">
        <f>Ueberblick[[#This Row],[Untersuchung von Fehlermaßen]]</f>
        <v>0.5</v>
      </c>
      <c r="G6" s="8" t="str">
        <f>Ueberblick[[#This Row],[Quellen Methodik]]</f>
        <v>S. 2-58</v>
      </c>
      <c r="H6" s="8">
        <f>Ueberblick[[#This Row],[Literaturanalyse]]</f>
        <v>1</v>
      </c>
      <c r="I6" s="8">
        <f>Ueberblick[[#This Row],[Auswertung von Statistiken]]</f>
        <v>1</v>
      </c>
      <c r="J6" s="8">
        <f>Ueberblick[[#This Row],[Expertenabschätzungen]]</f>
        <v>0</v>
      </c>
      <c r="K6" s="8">
        <f>Ueberblick[[#This Row],[(Online-)Umfragen]]</f>
        <v>0</v>
      </c>
      <c r="L6" s="8">
        <f>Ueberblick[[#This Row],[Unternehmensbefragungen / Interviews]]</f>
        <v>0</v>
      </c>
      <c r="M6" s="8">
        <f>Ueberblick[[#This Row],[eigene Annahmen]]</f>
        <v>1</v>
      </c>
      <c r="N6" s="8">
        <f>Ueberblick[[#This Row],[eigene Erhebungen]]</f>
        <v>0.5</v>
      </c>
      <c r="O6" s="8" t="s">
        <v>301</v>
      </c>
      <c r="P6" s="8" t="s">
        <v>308</v>
      </c>
    </row>
    <row r="7" spans="1:16" s="11" customFormat="1" ht="102" x14ac:dyDescent="0.25">
      <c r="A7" s="6" t="s">
        <v>258</v>
      </c>
      <c r="B7" s="8">
        <f>Ueberblick[[#This Row],[Bottom-Up-Abschätzung]]</f>
        <v>1</v>
      </c>
      <c r="C7" s="8">
        <f>Ueberblick[[#This Row],[Top-Down-Abschätzung]]</f>
        <v>1</v>
      </c>
      <c r="D7" s="8">
        <f>Ueberblick[[#This Row],[Bestimmung Kosten-Potenzial-Kurven]]</f>
        <v>0</v>
      </c>
      <c r="E7" s="8">
        <f>Ueberblick[[#This Row],[Analyse mehrerer Szenarien / Entwicklungen]]</f>
        <v>0</v>
      </c>
      <c r="F7" s="8">
        <f>Ueberblick[[#This Row],[Untersuchung von Fehlermaßen]]</f>
        <v>0</v>
      </c>
      <c r="G7" s="8" t="str">
        <f>Ueberblick[[#This Row],[Quellen Methodik]]</f>
        <v>11-23; 65-70; 86-104; 135-414</v>
      </c>
      <c r="H7" s="8">
        <f>Ueberblick[[#This Row],[Literaturanalyse]]</f>
        <v>1</v>
      </c>
      <c r="I7" s="8">
        <f>Ueberblick[[#This Row],[Auswertung von Statistiken]]</f>
        <v>1</v>
      </c>
      <c r="J7" s="8">
        <f>Ueberblick[[#This Row],[Expertenabschätzungen]]</f>
        <v>0</v>
      </c>
      <c r="K7" s="8">
        <f>Ueberblick[[#This Row],[(Online-)Umfragen]]</f>
        <v>0</v>
      </c>
      <c r="L7" s="8">
        <f>Ueberblick[[#This Row],[Unternehmensbefragungen / Interviews]]</f>
        <v>0</v>
      </c>
      <c r="M7" s="8">
        <f>Ueberblick[[#This Row],[eigene Annahmen]]</f>
        <v>1</v>
      </c>
      <c r="N7" s="8">
        <f>Ueberblick[[#This Row],[eigene Erhebungen]]</f>
        <v>0</v>
      </c>
      <c r="O7" s="9" t="s">
        <v>238</v>
      </c>
      <c r="P7" s="8" t="s">
        <v>254</v>
      </c>
    </row>
    <row r="8" spans="1:16" s="11" customFormat="1" ht="51" x14ac:dyDescent="0.25">
      <c r="A8" s="18" t="s">
        <v>355</v>
      </c>
      <c r="B8" s="8">
        <f>Ueberblick[[#This Row],[Bottom-Up-Abschätzung]]</f>
        <v>1</v>
      </c>
      <c r="C8" s="8">
        <f>Ueberblick[[#This Row],[Top-Down-Abschätzung]]</f>
        <v>1</v>
      </c>
      <c r="D8" s="8">
        <f>Ueberblick[[#This Row],[Bestimmung Kosten-Potenzial-Kurven]]</f>
        <v>0</v>
      </c>
      <c r="E8" s="8">
        <f>Ueberblick[[#This Row],[Analyse mehrerer Szenarien / Entwicklungen]]</f>
        <v>1</v>
      </c>
      <c r="F8" s="8">
        <f>Ueberblick[[#This Row],[Untersuchung von Fehlermaßen]]</f>
        <v>0</v>
      </c>
      <c r="G8" s="8" t="str">
        <f>Ueberblick[[#This Row],[Quellen Methodik]]</f>
        <v>S. 2-19; 80-93</v>
      </c>
      <c r="H8" s="8">
        <f>Ueberblick[[#This Row],[Literaturanalyse]]</f>
        <v>1</v>
      </c>
      <c r="I8" s="8">
        <f>Ueberblick[[#This Row],[Auswertung von Statistiken]]</f>
        <v>0</v>
      </c>
      <c r="J8" s="8">
        <f>Ueberblick[[#This Row],[Expertenabschätzungen]]</f>
        <v>0</v>
      </c>
      <c r="K8" s="8">
        <f>Ueberblick[[#This Row],[(Online-)Umfragen]]</f>
        <v>0</v>
      </c>
      <c r="L8" s="8">
        <f>Ueberblick[[#This Row],[Unternehmensbefragungen / Interviews]]</f>
        <v>0</v>
      </c>
      <c r="M8" s="8">
        <f>Ueberblick[[#This Row],[eigene Annahmen]]</f>
        <v>1</v>
      </c>
      <c r="N8" s="8">
        <f>Ueberblick[[#This Row],[eigene Erhebungen]]</f>
        <v>0</v>
      </c>
      <c r="O8" s="8" t="s">
        <v>154</v>
      </c>
      <c r="P8" s="17" t="s">
        <v>362</v>
      </c>
    </row>
    <row r="9" spans="1:16" ht="38.25" x14ac:dyDescent="0.25">
      <c r="A9" s="18" t="s">
        <v>431</v>
      </c>
      <c r="B9" s="8">
        <f>Ueberblick[[#This Row],[Bottom-Up-Abschätzung]]</f>
        <v>1</v>
      </c>
      <c r="C9" s="8">
        <f>Ueberblick[[#This Row],[Top-Down-Abschätzung]]</f>
        <v>1</v>
      </c>
      <c r="D9" s="8">
        <f>Ueberblick[[#This Row],[Bestimmung Kosten-Potenzial-Kurven]]</f>
        <v>0</v>
      </c>
      <c r="E9" s="8">
        <f>Ueberblick[[#This Row],[Analyse mehrerer Szenarien / Entwicklungen]]</f>
        <v>0</v>
      </c>
      <c r="F9" s="8">
        <f>Ueberblick[[#This Row],[Untersuchung von Fehlermaßen]]</f>
        <v>0</v>
      </c>
      <c r="G9" s="8" t="str">
        <f>Ueberblick[[#This Row],[Quellen Methodik]]</f>
        <v>S. 32; 35</v>
      </c>
      <c r="H9" s="8">
        <f>Ueberblick[[#This Row],[Literaturanalyse]]</f>
        <v>1</v>
      </c>
      <c r="I9" s="8">
        <f>Ueberblick[[#This Row],[Auswertung von Statistiken]]</f>
        <v>0</v>
      </c>
      <c r="J9" s="8">
        <f>Ueberblick[[#This Row],[Expertenabschätzungen]]</f>
        <v>0</v>
      </c>
      <c r="K9" s="8">
        <f>Ueberblick[[#This Row],[(Online-)Umfragen]]</f>
        <v>0</v>
      </c>
      <c r="L9" s="8">
        <f>Ueberblick[[#This Row],[Unternehmensbefragungen / Interviews]]</f>
        <v>0</v>
      </c>
      <c r="M9" s="8">
        <f>Ueberblick[[#This Row],[eigene Annahmen]]</f>
        <v>1</v>
      </c>
      <c r="N9" s="8">
        <f>Ueberblick[[#This Row],[eigene Erhebungen]]</f>
        <v>0</v>
      </c>
      <c r="O9" s="17" t="s">
        <v>421</v>
      </c>
      <c r="P9" s="17" t="s">
        <v>354</v>
      </c>
    </row>
    <row r="10" spans="1:16" ht="25.5" x14ac:dyDescent="0.25">
      <c r="A10" s="6" t="s">
        <v>410</v>
      </c>
      <c r="B10" s="8">
        <f>Ueberblick[[#This Row],[Bottom-Up-Abschätzung]]</f>
        <v>1</v>
      </c>
      <c r="C10" s="8">
        <f>Ueberblick[[#This Row],[Top-Down-Abschätzung]]</f>
        <v>1</v>
      </c>
      <c r="D10" s="8">
        <f>Ueberblick[[#This Row],[Bestimmung Kosten-Potenzial-Kurven]]</f>
        <v>1</v>
      </c>
      <c r="E10" s="8">
        <f>Ueberblick[[#This Row],[Analyse mehrerer Szenarien / Entwicklungen]]</f>
        <v>0</v>
      </c>
      <c r="F10" s="8">
        <f>Ueberblick[[#This Row],[Untersuchung von Fehlermaßen]]</f>
        <v>0</v>
      </c>
      <c r="G10" s="8" t="str">
        <f>Ueberblick[[#This Row],[Quellen Methodik]]</f>
        <v>13-52</v>
      </c>
      <c r="H10" s="8">
        <f>Ueberblick[[#This Row],[Literaturanalyse]]</f>
        <v>1</v>
      </c>
      <c r="I10" s="8">
        <f>Ueberblick[[#This Row],[Auswertung von Statistiken]]</f>
        <v>1</v>
      </c>
      <c r="J10" s="8">
        <f>Ueberblick[[#This Row],[Expertenabschätzungen]]</f>
        <v>1</v>
      </c>
      <c r="K10" s="8">
        <f>Ueberblick[[#This Row],[(Online-)Umfragen]]</f>
        <v>0</v>
      </c>
      <c r="L10" s="8">
        <f>Ueberblick[[#This Row],[Unternehmensbefragungen / Interviews]]</f>
        <v>1</v>
      </c>
      <c r="M10" s="8">
        <f>Ueberblick[[#This Row],[eigene Annahmen]]</f>
        <v>1</v>
      </c>
      <c r="N10" s="8">
        <f>Ueberblick[[#This Row],[eigene Erhebungen]]</f>
        <v>1</v>
      </c>
      <c r="O10" s="8" t="s">
        <v>280</v>
      </c>
      <c r="P10" s="8" t="s">
        <v>285</v>
      </c>
    </row>
    <row r="11" spans="1:16" s="11" customFormat="1" ht="89.25" x14ac:dyDescent="0.25">
      <c r="A11" s="6" t="s">
        <v>393</v>
      </c>
      <c r="B11" s="8">
        <f>Ueberblick[[#This Row],[Bottom-Up-Abschätzung]]</f>
        <v>1</v>
      </c>
      <c r="C11" s="8">
        <f>Ueberblick[[#This Row],[Top-Down-Abschätzung]]</f>
        <v>1</v>
      </c>
      <c r="D11" s="8">
        <f>Ueberblick[[#This Row],[Bestimmung Kosten-Potenzial-Kurven]]</f>
        <v>0</v>
      </c>
      <c r="E11" s="8">
        <f>Ueberblick[[#This Row],[Analyse mehrerer Szenarien / Entwicklungen]]</f>
        <v>1</v>
      </c>
      <c r="F11" s="8">
        <f>Ueberblick[[#This Row],[Untersuchung von Fehlermaßen]]</f>
        <v>0</v>
      </c>
      <c r="G11" s="8" t="str">
        <f>Ueberblick[[#This Row],[Quellen Methodik]]</f>
        <v>5-7; 37-54; 58-84; 85-95</v>
      </c>
      <c r="H11" s="8">
        <f>Ueberblick[[#This Row],[Literaturanalyse]]</f>
        <v>1</v>
      </c>
      <c r="I11" s="8">
        <f>Ueberblick[[#This Row],[Auswertung von Statistiken]]</f>
        <v>1</v>
      </c>
      <c r="J11" s="8">
        <f>Ueberblick[[#This Row],[Expertenabschätzungen]]</f>
        <v>0</v>
      </c>
      <c r="K11" s="8">
        <f>Ueberblick[[#This Row],[(Online-)Umfragen]]</f>
        <v>0</v>
      </c>
      <c r="L11" s="8">
        <f>Ueberblick[[#This Row],[Unternehmensbefragungen / Interviews]]</f>
        <v>0.5</v>
      </c>
      <c r="M11" s="8">
        <f>Ueberblick[[#This Row],[eigene Annahmen]]</f>
        <v>1</v>
      </c>
      <c r="N11" s="8">
        <f>Ueberblick[[#This Row],[eigene Erhebungen]]</f>
        <v>0</v>
      </c>
      <c r="O11" s="8" t="s">
        <v>397</v>
      </c>
      <c r="P11" s="8" t="s">
        <v>398</v>
      </c>
    </row>
    <row r="12" spans="1:16" s="11" customFormat="1" ht="51" x14ac:dyDescent="0.25">
      <c r="A12" s="21" t="s">
        <v>380</v>
      </c>
      <c r="B12" s="8">
        <f>Ueberblick[[#This Row],[Bottom-Up-Abschätzung]]</f>
        <v>1</v>
      </c>
      <c r="C12" s="8">
        <f>Ueberblick[[#This Row],[Top-Down-Abschätzung]]</f>
        <v>1</v>
      </c>
      <c r="D12" s="8">
        <f>Ueberblick[[#This Row],[Bestimmung Kosten-Potenzial-Kurven]]</f>
        <v>0</v>
      </c>
      <c r="E12" s="8">
        <f>Ueberblick[[#This Row],[Analyse mehrerer Szenarien / Entwicklungen]]</f>
        <v>1</v>
      </c>
      <c r="F12" s="8">
        <f>Ueberblick[[#This Row],[Untersuchung von Fehlermaßen]]</f>
        <v>0</v>
      </c>
      <c r="G12" s="8" t="str">
        <f>Ueberblick[[#This Row],[Quellen Methodik]]</f>
        <v>S. 6-8</v>
      </c>
      <c r="H12" s="8">
        <f>Ueberblick[[#This Row],[Literaturanalyse]]</f>
        <v>1</v>
      </c>
      <c r="I12" s="8">
        <f>Ueberblick[[#This Row],[Auswertung von Statistiken]]</f>
        <v>0</v>
      </c>
      <c r="J12" s="8">
        <f>Ueberblick[[#This Row],[Expertenabschätzungen]]</f>
        <v>1</v>
      </c>
      <c r="K12" s="8">
        <f>Ueberblick[[#This Row],[(Online-)Umfragen]]</f>
        <v>0</v>
      </c>
      <c r="L12" s="8">
        <f>Ueberblick[[#This Row],[Unternehmensbefragungen / Interviews]]</f>
        <v>0</v>
      </c>
      <c r="M12" s="8">
        <f>Ueberblick[[#This Row],[eigene Annahmen]]</f>
        <v>1</v>
      </c>
      <c r="N12" s="8">
        <f>Ueberblick[[#This Row],[eigene Erhebungen]]</f>
        <v>0</v>
      </c>
      <c r="O12" s="22" t="s">
        <v>390</v>
      </c>
      <c r="P12" s="22" t="s">
        <v>391</v>
      </c>
    </row>
    <row r="13" spans="1:16" ht="38.25" x14ac:dyDescent="0.25">
      <c r="A13" s="6" t="s">
        <v>95</v>
      </c>
      <c r="B13" s="8">
        <f>Ueberblick[[#This Row],[Bottom-Up-Abschätzung]]</f>
        <v>1</v>
      </c>
      <c r="C13" s="8">
        <f>Ueberblick[[#This Row],[Top-Down-Abschätzung]]</f>
        <v>1</v>
      </c>
      <c r="D13" s="8">
        <f>Ueberblick[[#This Row],[Bestimmung Kosten-Potenzial-Kurven]]</f>
        <v>1</v>
      </c>
      <c r="E13" s="8">
        <f>Ueberblick[[#This Row],[Analyse mehrerer Szenarien / Entwicklungen]]</f>
        <v>0</v>
      </c>
      <c r="F13" s="8">
        <f>Ueberblick[[#This Row],[Untersuchung von Fehlermaßen]]</f>
        <v>0.5</v>
      </c>
      <c r="G13" s="8" t="str">
        <f>Ueberblick[[#This Row],[Quellen Methodik]]</f>
        <v>S. 23-34</v>
      </c>
      <c r="H13" s="8">
        <f>Ueberblick[[#This Row],[Literaturanalyse]]</f>
        <v>0.5</v>
      </c>
      <c r="I13" s="8">
        <f>Ueberblick[[#This Row],[Auswertung von Statistiken]]</f>
        <v>1</v>
      </c>
      <c r="J13" s="8">
        <f>Ueberblick[[#This Row],[Expertenabschätzungen]]</f>
        <v>1</v>
      </c>
      <c r="K13" s="8">
        <f>Ueberblick[[#This Row],[(Online-)Umfragen]]</f>
        <v>0</v>
      </c>
      <c r="L13" s="8">
        <f>Ueberblick[[#This Row],[Unternehmensbefragungen / Interviews]]</f>
        <v>1</v>
      </c>
      <c r="M13" s="8">
        <f>Ueberblick[[#This Row],[eigene Annahmen]]</f>
        <v>1</v>
      </c>
      <c r="N13" s="8">
        <f>Ueberblick[[#This Row],[eigene Erhebungen]]</f>
        <v>0</v>
      </c>
      <c r="O13" s="8" t="s">
        <v>120</v>
      </c>
      <c r="P13" s="8" t="s">
        <v>121</v>
      </c>
    </row>
    <row r="14" spans="1:16" s="11" customFormat="1" ht="76.5" x14ac:dyDescent="0.25">
      <c r="A14" s="6" t="s">
        <v>1709</v>
      </c>
      <c r="B14" s="8">
        <f>Ueberblick[[#This Row],[Bottom-Up-Abschätzung]]</f>
        <v>1</v>
      </c>
      <c r="C14" s="8">
        <f>Ueberblick[[#This Row],[Top-Down-Abschätzung]]</f>
        <v>1</v>
      </c>
      <c r="D14" s="8">
        <f>Ueberblick[[#This Row],[Bestimmung Kosten-Potenzial-Kurven]]</f>
        <v>0</v>
      </c>
      <c r="E14" s="8">
        <f>Ueberblick[[#This Row],[Analyse mehrerer Szenarien / Entwicklungen]]</f>
        <v>0</v>
      </c>
      <c r="F14" s="8">
        <f>Ueberblick[[#This Row],[Untersuchung von Fehlermaßen]]</f>
        <v>0</v>
      </c>
      <c r="G14" s="8" t="str">
        <f>Ueberblick[[#This Row],[Quellen Methodik]]</f>
        <v>22-23, 31, 44, 54-60</v>
      </c>
      <c r="H14" s="8">
        <f>Ueberblick[[#This Row],[Literaturanalyse]]</f>
        <v>1</v>
      </c>
      <c r="I14" s="8">
        <f>Ueberblick[[#This Row],[Auswertung von Statistiken]]</f>
        <v>1</v>
      </c>
      <c r="J14" s="8">
        <f>Ueberblick[[#This Row],[Expertenabschätzungen]]</f>
        <v>0</v>
      </c>
      <c r="K14" s="8">
        <f>Ueberblick[[#This Row],[(Online-)Umfragen]]</f>
        <v>1</v>
      </c>
      <c r="L14" s="8">
        <f>Ueberblick[[#This Row],[Unternehmensbefragungen / Interviews]]</f>
        <v>1</v>
      </c>
      <c r="M14" s="8">
        <f>Ueberblick[[#This Row],[eigene Annahmen]]</f>
        <v>1</v>
      </c>
      <c r="N14" s="8">
        <f>Ueberblick[[#This Row],[eigene Erhebungen]]</f>
        <v>0</v>
      </c>
      <c r="O14" s="8">
        <v>2013</v>
      </c>
      <c r="P14" s="8">
        <v>22</v>
      </c>
    </row>
    <row r="15" spans="1:16" ht="63.75" x14ac:dyDescent="0.25">
      <c r="A15" s="6" t="s">
        <v>179</v>
      </c>
      <c r="B15" s="8">
        <f>Ueberblick[[#This Row],[Bottom-Up-Abschätzung]]</f>
        <v>0</v>
      </c>
      <c r="C15" s="8">
        <f>Ueberblick[[#This Row],[Top-Down-Abschätzung]]</f>
        <v>1</v>
      </c>
      <c r="D15" s="8">
        <f>Ueberblick[[#This Row],[Bestimmung Kosten-Potenzial-Kurven]]</f>
        <v>0</v>
      </c>
      <c r="E15" s="8">
        <f>Ueberblick[[#This Row],[Analyse mehrerer Szenarien / Entwicklungen]]</f>
        <v>0</v>
      </c>
      <c r="F15" s="8">
        <f>Ueberblick[[#This Row],[Untersuchung von Fehlermaßen]]</f>
        <v>0</v>
      </c>
      <c r="G15" s="8" t="str">
        <f>Ueberblick[[#This Row],[Quellen Methodik]]</f>
        <v>S. 11-14; 27-28</v>
      </c>
      <c r="H15" s="8">
        <f>Ueberblick[[#This Row],[Literaturanalyse]]</f>
        <v>1</v>
      </c>
      <c r="I15" s="8">
        <f>Ueberblick[[#This Row],[Auswertung von Statistiken]]</f>
        <v>0</v>
      </c>
      <c r="J15" s="8">
        <f>Ueberblick[[#This Row],[Expertenabschätzungen]]</f>
        <v>0</v>
      </c>
      <c r="K15" s="8">
        <f>Ueberblick[[#This Row],[(Online-)Umfragen]]</f>
        <v>0</v>
      </c>
      <c r="L15" s="8">
        <f>Ueberblick[[#This Row],[Unternehmensbefragungen / Interviews]]</f>
        <v>0</v>
      </c>
      <c r="M15" s="8">
        <f>Ueberblick[[#This Row],[eigene Annahmen]]</f>
        <v>1</v>
      </c>
      <c r="N15" s="8">
        <f>Ueberblick[[#This Row],[eigene Erhebungen]]</f>
        <v>0</v>
      </c>
      <c r="O15" s="8" t="s">
        <v>334</v>
      </c>
      <c r="P15" s="8" t="s">
        <v>322</v>
      </c>
    </row>
    <row r="16" spans="1:16" s="11" customFormat="1" ht="191.25" x14ac:dyDescent="0.25">
      <c r="A16" s="6" t="s">
        <v>341</v>
      </c>
      <c r="B16" s="8">
        <f>Ueberblick[[#This Row],[Bottom-Up-Abschätzung]]</f>
        <v>1</v>
      </c>
      <c r="C16" s="8">
        <f>Ueberblick[[#This Row],[Top-Down-Abschätzung]]</f>
        <v>1</v>
      </c>
      <c r="D16" s="8">
        <f>Ueberblick[[#This Row],[Bestimmung Kosten-Potenzial-Kurven]]</f>
        <v>0</v>
      </c>
      <c r="E16" s="8">
        <f>Ueberblick[[#This Row],[Analyse mehrerer Szenarien / Entwicklungen]]</f>
        <v>1</v>
      </c>
      <c r="F16" s="8">
        <f>Ueberblick[[#This Row],[Untersuchung von Fehlermaßen]]</f>
        <v>0</v>
      </c>
      <c r="G16" s="8" t="str">
        <f>Ueberblick[[#This Row],[Quellen Methodik]]</f>
        <v>S. 4-7; 16; 41-43; 44-45; 47-61; 75-80; 81-123; 126-127</v>
      </c>
      <c r="H16" s="8">
        <f>Ueberblick[[#This Row],[Literaturanalyse]]</f>
        <v>1</v>
      </c>
      <c r="I16" s="8">
        <f>Ueberblick[[#This Row],[Auswertung von Statistiken]]</f>
        <v>1</v>
      </c>
      <c r="J16" s="8">
        <f>Ueberblick[[#This Row],[Expertenabschätzungen]]</f>
        <v>0</v>
      </c>
      <c r="K16" s="8">
        <f>Ueberblick[[#This Row],[(Online-)Umfragen]]</f>
        <v>0</v>
      </c>
      <c r="L16" s="8">
        <f>Ueberblick[[#This Row],[Unternehmensbefragungen / Interviews]]</f>
        <v>0</v>
      </c>
      <c r="M16" s="8">
        <f>Ueberblick[[#This Row],[eigene Annahmen]]</f>
        <v>1</v>
      </c>
      <c r="N16" s="8">
        <f>Ueberblick[[#This Row],[eigene Erhebungen]]</f>
        <v>0</v>
      </c>
      <c r="O16" s="9" t="s">
        <v>449</v>
      </c>
      <c r="P16" s="8" t="s">
        <v>446</v>
      </c>
    </row>
    <row r="17" spans="1:16" ht="51" x14ac:dyDescent="0.25">
      <c r="A17" s="6" t="s">
        <v>22</v>
      </c>
      <c r="B17" s="8">
        <f>Ueberblick[[#This Row],[Bottom-Up-Abschätzung]]</f>
        <v>1</v>
      </c>
      <c r="C17" s="8">
        <f>Ueberblick[[#This Row],[Top-Down-Abschätzung]]</f>
        <v>1</v>
      </c>
      <c r="D17" s="8">
        <f>Ueberblick[[#This Row],[Bestimmung Kosten-Potenzial-Kurven]]</f>
        <v>0</v>
      </c>
      <c r="E17" s="8">
        <f>Ueberblick[[#This Row],[Analyse mehrerer Szenarien / Entwicklungen]]</f>
        <v>0.5</v>
      </c>
      <c r="F17" s="8">
        <f>Ueberblick[[#This Row],[Untersuchung von Fehlermaßen]]</f>
        <v>0</v>
      </c>
      <c r="G17" s="8" t="str">
        <f>Ueberblick[[#This Row],[Quellen Methodik]]</f>
        <v>97-99; 216-225</v>
      </c>
      <c r="H17" s="8">
        <v>1</v>
      </c>
      <c r="I17" s="8">
        <f>Ueberblick[[#This Row],[Auswertung von Statistiken]]</f>
        <v>0.5</v>
      </c>
      <c r="J17" s="8">
        <f>Ueberblick[[#This Row],[Expertenabschätzungen]]</f>
        <v>0</v>
      </c>
      <c r="K17" s="8">
        <f>Ueberblick[[#This Row],[(Online-)Umfragen]]</f>
        <v>0</v>
      </c>
      <c r="L17" s="8">
        <f>Ueberblick[[#This Row],[Unternehmensbefragungen / Interviews]]</f>
        <v>1</v>
      </c>
      <c r="M17" s="8">
        <f>Ueberblick[[#This Row],[eigene Annahmen]]</f>
        <v>0</v>
      </c>
      <c r="N17" s="8">
        <f>Ueberblick[[#This Row],[eigene Erhebungen]]</f>
        <v>0</v>
      </c>
      <c r="O17" s="8" t="s">
        <v>237</v>
      </c>
      <c r="P17" s="8">
        <v>87</v>
      </c>
    </row>
    <row r="18" spans="1:16" s="11" customFormat="1" ht="114.75" x14ac:dyDescent="0.25">
      <c r="A18" s="6" t="s">
        <v>188</v>
      </c>
      <c r="B18" s="8">
        <f>Ueberblick[[#This Row],[Bottom-Up-Abschätzung]]</f>
        <v>1</v>
      </c>
      <c r="C18" s="8">
        <f>Ueberblick[[#This Row],[Top-Down-Abschätzung]]</f>
        <v>1</v>
      </c>
      <c r="D18" s="8">
        <f>Ueberblick[[#This Row],[Bestimmung Kosten-Potenzial-Kurven]]</f>
        <v>0</v>
      </c>
      <c r="E18" s="8">
        <f>Ueberblick[[#This Row],[Analyse mehrerer Szenarien / Entwicklungen]]</f>
        <v>0</v>
      </c>
      <c r="F18" s="8">
        <f>Ueberblick[[#This Row],[Untersuchung von Fehlermaßen]]</f>
        <v>0</v>
      </c>
      <c r="G18" s="8" t="str">
        <f>Ueberblick[[#This Row],[Quellen Methodik]]</f>
        <v>S. 15-16; 39-40; 46-48; 59-60</v>
      </c>
      <c r="H18" s="8">
        <f>Ueberblick[[#This Row],[Literaturanalyse]]</f>
        <v>1</v>
      </c>
      <c r="I18" s="8">
        <f>Ueberblick[[#This Row],[Auswertung von Statistiken]]</f>
        <v>0</v>
      </c>
      <c r="J18" s="8">
        <f>Ueberblick[[#This Row],[Expertenabschätzungen]]</f>
        <v>0</v>
      </c>
      <c r="K18" s="8">
        <f>Ueberblick[[#This Row],[(Online-)Umfragen]]</f>
        <v>0</v>
      </c>
      <c r="L18" s="8">
        <f>Ueberblick[[#This Row],[Unternehmensbefragungen / Interviews]]</f>
        <v>0</v>
      </c>
      <c r="M18" s="8">
        <f>Ueberblick[[#This Row],[eigene Annahmen]]</f>
        <v>0</v>
      </c>
      <c r="N18" s="8">
        <f>Ueberblick[[#This Row],[eigene Erhebungen]]</f>
        <v>0</v>
      </c>
      <c r="O18" s="8" t="s">
        <v>334</v>
      </c>
      <c r="P18" s="8" t="s">
        <v>333</v>
      </c>
    </row>
    <row r="19" spans="1:16" ht="38.25" x14ac:dyDescent="0.25">
      <c r="A19" s="6" t="s">
        <v>133</v>
      </c>
      <c r="B19" s="8">
        <f>Ueberblick[[#This Row],[Bottom-Up-Abschätzung]]</f>
        <v>1</v>
      </c>
      <c r="C19" s="8">
        <f>Ueberblick[[#This Row],[Top-Down-Abschätzung]]</f>
        <v>1</v>
      </c>
      <c r="D19" s="8">
        <f>Ueberblick[[#This Row],[Bestimmung Kosten-Potenzial-Kurven]]</f>
        <v>0</v>
      </c>
      <c r="E19" s="8">
        <f>Ueberblick[[#This Row],[Analyse mehrerer Szenarien / Entwicklungen]]</f>
        <v>1</v>
      </c>
      <c r="F19" s="8">
        <f>Ueberblick[[#This Row],[Untersuchung von Fehlermaßen]]</f>
        <v>0</v>
      </c>
      <c r="G19" s="8" t="str">
        <f>Ueberblick[[#This Row],[Quellen Methodik]]</f>
        <v>S. 410-425</v>
      </c>
      <c r="H19" s="8">
        <f>Ueberblick[[#This Row],[Literaturanalyse]]</f>
        <v>1</v>
      </c>
      <c r="I19" s="8">
        <f>Ueberblick[[#This Row],[Auswertung von Statistiken]]</f>
        <v>1</v>
      </c>
      <c r="J19" s="8">
        <f>Ueberblick[[#This Row],[Expertenabschätzungen]]</f>
        <v>0</v>
      </c>
      <c r="K19" s="8">
        <f>Ueberblick[[#This Row],[(Online-)Umfragen]]</f>
        <v>0</v>
      </c>
      <c r="L19" s="8">
        <f>Ueberblick[[#This Row],[Unternehmensbefragungen / Interviews]]</f>
        <v>1</v>
      </c>
      <c r="M19" s="8">
        <f>Ueberblick[[#This Row],[eigene Annahmen]]</f>
        <v>0</v>
      </c>
      <c r="N19" s="8">
        <f>Ueberblick[[#This Row],[eigene Erhebungen]]</f>
        <v>0</v>
      </c>
      <c r="O19" s="8" t="s">
        <v>163</v>
      </c>
      <c r="P19" s="8" t="s">
        <v>164</v>
      </c>
    </row>
    <row r="20" spans="1:16" s="11" customFormat="1" ht="38.25" x14ac:dyDescent="0.25">
      <c r="A20" s="6" t="s">
        <v>10</v>
      </c>
      <c r="B20" s="8">
        <f>Ueberblick[[#This Row],[Bottom-Up-Abschätzung]]</f>
        <v>1</v>
      </c>
      <c r="C20" s="8">
        <f>Ueberblick[[#This Row],[Top-Down-Abschätzung]]</f>
        <v>1</v>
      </c>
      <c r="D20" s="8">
        <f>Ueberblick[[#This Row],[Bestimmung Kosten-Potenzial-Kurven]]</f>
        <v>0</v>
      </c>
      <c r="E20" s="8">
        <f>Ueberblick[[#This Row],[Analyse mehrerer Szenarien / Entwicklungen]]</f>
        <v>1</v>
      </c>
      <c r="F20" s="8">
        <f>Ueberblick[[#This Row],[Untersuchung von Fehlermaßen]]</f>
        <v>0</v>
      </c>
      <c r="G20" s="8" t="str">
        <f>Ueberblick[[#This Row],[Quellen Methodik]]</f>
        <v>S. 434-437</v>
      </c>
      <c r="H20" s="8">
        <f>Ueberblick[[#This Row],[Literaturanalyse]]</f>
        <v>1</v>
      </c>
      <c r="I20" s="8">
        <f>Ueberblick[[#This Row],[Auswertung von Statistiken]]</f>
        <v>1</v>
      </c>
      <c r="J20" s="8">
        <f>Ueberblick[[#This Row],[Expertenabschätzungen]]</f>
        <v>0</v>
      </c>
      <c r="K20" s="8">
        <f>Ueberblick[[#This Row],[(Online-)Umfragen]]</f>
        <v>0</v>
      </c>
      <c r="L20" s="8">
        <f>Ueberblick[[#This Row],[Unternehmensbefragungen / Interviews]]</f>
        <v>1</v>
      </c>
      <c r="M20" s="8">
        <f>Ueberblick[[#This Row],[eigene Annahmen]]</f>
        <v>0</v>
      </c>
      <c r="N20" s="8">
        <f>Ueberblick[[#This Row],[eigene Erhebungen]]</f>
        <v>0</v>
      </c>
      <c r="O20" s="8" t="s">
        <v>173</v>
      </c>
      <c r="P20" s="8">
        <v>434</v>
      </c>
    </row>
    <row r="21" spans="1:16" ht="165.75" x14ac:dyDescent="0.25">
      <c r="A21" s="6" t="s">
        <v>832</v>
      </c>
      <c r="B21" s="8">
        <f>Ueberblick[[#This Row],[Bottom-Up-Abschätzung]]</f>
        <v>1</v>
      </c>
      <c r="C21" s="8">
        <f>Ueberblick[[#This Row],[Top-Down-Abschätzung]]</f>
        <v>1</v>
      </c>
      <c r="D21" s="8">
        <f>Ueberblick[[#This Row],[Bestimmung Kosten-Potenzial-Kurven]]</f>
        <v>1</v>
      </c>
      <c r="E21" s="8">
        <f>Ueberblick[[#This Row],[Analyse mehrerer Szenarien / Entwicklungen]]</f>
        <v>1</v>
      </c>
      <c r="F21" s="8">
        <f>Ueberblick[[#This Row],[Untersuchung von Fehlermaßen]]</f>
        <v>0</v>
      </c>
      <c r="G21" s="8" t="str">
        <f>Ueberblick[[#This Row],[Quellen Methodik]]</f>
        <v>1-6; 88-94; 128-131; 137-139; 185-203; 206-209; 228-232</v>
      </c>
      <c r="H21" s="8">
        <f>Ueberblick[[#This Row],[Literaturanalyse]]</f>
        <v>1</v>
      </c>
      <c r="I21" s="8">
        <f>Ueberblick[[#This Row],[Auswertung von Statistiken]]</f>
        <v>1</v>
      </c>
      <c r="J21" s="8">
        <f>Ueberblick[[#This Row],[Expertenabschätzungen]]</f>
        <v>1</v>
      </c>
      <c r="K21" s="8">
        <f>Ueberblick[[#This Row],[(Online-)Umfragen]]</f>
        <v>1</v>
      </c>
      <c r="L21" s="8">
        <f>Ueberblick[[#This Row],[Unternehmensbefragungen / Interviews]]</f>
        <v>1</v>
      </c>
      <c r="M21" s="8">
        <f>Ueberblick[[#This Row],[eigene Annahmen]]</f>
        <v>1</v>
      </c>
      <c r="N21" s="8">
        <f>Ueberblick[[#This Row],[eigene Erhebungen]]</f>
        <v>1</v>
      </c>
      <c r="O21" s="8" t="s">
        <v>270</v>
      </c>
      <c r="P21" s="8">
        <v>186</v>
      </c>
    </row>
    <row r="22" spans="1:16" s="11" customFormat="1" ht="25.5" x14ac:dyDescent="0.25">
      <c r="A22" s="6" t="s">
        <v>16</v>
      </c>
      <c r="B22" s="8">
        <f>Ueberblick[[#This Row],[Bottom-Up-Abschätzung]]</f>
        <v>1</v>
      </c>
      <c r="C22" s="8">
        <f>Ueberblick[[#This Row],[Top-Down-Abschätzung]]</f>
        <v>1</v>
      </c>
      <c r="D22" s="8">
        <f>Ueberblick[[#This Row],[Bestimmung Kosten-Potenzial-Kurven]]</f>
        <v>1</v>
      </c>
      <c r="E22" s="8">
        <f>Ueberblick[[#This Row],[Analyse mehrerer Szenarien / Entwicklungen]]</f>
        <v>0</v>
      </c>
      <c r="F22" s="8">
        <f>Ueberblick[[#This Row],[Untersuchung von Fehlermaßen]]</f>
        <v>0</v>
      </c>
      <c r="G22" s="8" t="str">
        <f>Ueberblick[[#This Row],[Quellen Methodik]]</f>
        <v>52-57</v>
      </c>
      <c r="H22" s="8">
        <f>Ueberblick[[#This Row],[Literaturanalyse]]</f>
        <v>1</v>
      </c>
      <c r="I22" s="8">
        <f>Ueberblick[[#This Row],[Auswertung von Statistiken]]</f>
        <v>1</v>
      </c>
      <c r="J22" s="8">
        <f>Ueberblick[[#This Row],[Expertenabschätzungen]]</f>
        <v>0</v>
      </c>
      <c r="K22" s="8">
        <f>Ueberblick[[#This Row],[(Online-)Umfragen]]</f>
        <v>0</v>
      </c>
      <c r="L22" s="8">
        <f>Ueberblick[[#This Row],[Unternehmensbefragungen / Interviews]]</f>
        <v>0</v>
      </c>
      <c r="M22" s="8">
        <f>Ueberblick[[#This Row],[eigene Annahmen]]</f>
        <v>0.5</v>
      </c>
      <c r="N22" s="8">
        <f>Ueberblick[[#This Row],[eigene Erhebungen]]</f>
        <v>0</v>
      </c>
      <c r="O22" s="8" t="s">
        <v>199</v>
      </c>
      <c r="P22" s="8">
        <v>77</v>
      </c>
    </row>
    <row r="23" spans="1:16" ht="25.5" x14ac:dyDescent="0.25">
      <c r="A23" s="6" t="s">
        <v>7</v>
      </c>
      <c r="B23" s="8">
        <f>Ueberblick[[#This Row],[Bottom-Up-Abschätzung]]</f>
        <v>0</v>
      </c>
      <c r="C23" s="8">
        <f>Ueberblick[[#This Row],[Top-Down-Abschätzung]]</f>
        <v>1</v>
      </c>
      <c r="D23" s="8">
        <f>Ueberblick[[#This Row],[Bestimmung Kosten-Potenzial-Kurven]]</f>
        <v>0</v>
      </c>
      <c r="E23" s="8">
        <f>Ueberblick[[#This Row],[Analyse mehrerer Szenarien / Entwicklungen]]</f>
        <v>0</v>
      </c>
      <c r="F23" s="8">
        <f>Ueberblick[[#This Row],[Untersuchung von Fehlermaßen]]</f>
        <v>0</v>
      </c>
      <c r="G23" s="8" t="str">
        <f>Ueberblick[[#This Row],[Quellen Methodik]]</f>
        <v>12-32</v>
      </c>
      <c r="H23" s="8">
        <f>Ueberblick[[#This Row],[Literaturanalyse]]</f>
        <v>0.5</v>
      </c>
      <c r="I23" s="8">
        <f>Ueberblick[[#This Row],[Auswertung von Statistiken]]</f>
        <v>0</v>
      </c>
      <c r="J23" s="8">
        <f>Ueberblick[[#This Row],[Expertenabschätzungen]]</f>
        <v>1</v>
      </c>
      <c r="K23" s="8">
        <f>Ueberblick[[#This Row],[(Online-)Umfragen]]</f>
        <v>0</v>
      </c>
      <c r="L23" s="8">
        <f>Ueberblick[[#This Row],[Unternehmensbefragungen / Interviews]]</f>
        <v>0</v>
      </c>
      <c r="M23" s="8">
        <f>Ueberblick[[#This Row],[eigene Annahmen]]</f>
        <v>0.5</v>
      </c>
      <c r="N23" s="8">
        <f>Ueberblick[[#This Row],[eigene Erhebungen]]</f>
        <v>0</v>
      </c>
      <c r="O23" s="8" t="s">
        <v>154</v>
      </c>
      <c r="P23" s="8">
        <v>14</v>
      </c>
    </row>
    <row r="24" spans="1:16" s="11" customFormat="1" ht="51" x14ac:dyDescent="0.25">
      <c r="A24" s="6" t="s">
        <v>18</v>
      </c>
      <c r="B24" s="8">
        <f>Ueberblick[[#This Row],[Bottom-Up-Abschätzung]]</f>
        <v>1</v>
      </c>
      <c r="C24" s="8">
        <f>Ueberblick[[#This Row],[Top-Down-Abschätzung]]</f>
        <v>1</v>
      </c>
      <c r="D24" s="8">
        <f>Ueberblick[[#This Row],[Bestimmung Kosten-Potenzial-Kurven]]</f>
        <v>0</v>
      </c>
      <c r="E24" s="8">
        <f>Ueberblick[[#This Row],[Analyse mehrerer Szenarien / Entwicklungen]]</f>
        <v>0</v>
      </c>
      <c r="F24" s="8">
        <f>Ueberblick[[#This Row],[Untersuchung von Fehlermaßen]]</f>
        <v>0</v>
      </c>
      <c r="G24" s="8" t="str">
        <f>Ueberblick[[#This Row],[Quellen Methodik]]</f>
        <v>47-57, 89-91</v>
      </c>
      <c r="H24" s="8">
        <f>Ueberblick[[#This Row],[Literaturanalyse]]</f>
        <v>1</v>
      </c>
      <c r="I24" s="8">
        <f>Ueberblick[[#This Row],[Auswertung von Statistiken]]</f>
        <v>1</v>
      </c>
      <c r="J24" s="8">
        <f>Ueberblick[[#This Row],[Expertenabschätzungen]]</f>
        <v>0</v>
      </c>
      <c r="K24" s="8">
        <f>Ueberblick[[#This Row],[(Online-)Umfragen]]</f>
        <v>0</v>
      </c>
      <c r="L24" s="8">
        <f>Ueberblick[[#This Row],[Unternehmensbefragungen / Interviews]]</f>
        <v>0</v>
      </c>
      <c r="M24" s="8">
        <f>Ueberblick[[#This Row],[eigene Annahmen]]</f>
        <v>1</v>
      </c>
      <c r="N24" s="8">
        <f>Ueberblick[[#This Row],[eigene Erhebungen]]</f>
        <v>0</v>
      </c>
      <c r="O24" s="9" t="s">
        <v>238</v>
      </c>
      <c r="P24" s="8" t="s">
        <v>236</v>
      </c>
    </row>
    <row r="25" spans="1:16" ht="178.5" x14ac:dyDescent="0.25">
      <c r="A25" s="6" t="s">
        <v>338</v>
      </c>
      <c r="B25" s="8">
        <f>Ueberblick[[#This Row],[Bottom-Up-Abschätzung]]</f>
        <v>1</v>
      </c>
      <c r="C25" s="8">
        <f>Ueberblick[[#This Row],[Top-Down-Abschätzung]]</f>
        <v>1</v>
      </c>
      <c r="D25" s="8">
        <f>Ueberblick[[#This Row],[Bestimmung Kosten-Potenzial-Kurven]]</f>
        <v>0</v>
      </c>
      <c r="E25" s="8">
        <f>Ueberblick[[#This Row],[Analyse mehrerer Szenarien / Entwicklungen]]</f>
        <v>0</v>
      </c>
      <c r="F25" s="8">
        <f>Ueberblick[[#This Row],[Untersuchung von Fehlermaßen]]</f>
        <v>0</v>
      </c>
      <c r="G25" s="8" t="str">
        <f>Ueberblick[[#This Row],[Quellen Methodik]]</f>
        <v>38-45; 48-53; 62-69; 73-97; 104-116; 119-121; 168-169</v>
      </c>
      <c r="H25" s="8">
        <f>Ueberblick[[#This Row],[Literaturanalyse]]</f>
        <v>1</v>
      </c>
      <c r="I25" s="8">
        <f>Ueberblick[[#This Row],[Auswertung von Statistiken]]</f>
        <v>1</v>
      </c>
      <c r="J25" s="8">
        <f>Ueberblick[[#This Row],[Expertenabschätzungen]]</f>
        <v>0</v>
      </c>
      <c r="K25" s="8">
        <f>Ueberblick[[#This Row],[(Online-)Umfragen]]</f>
        <v>0</v>
      </c>
      <c r="L25" s="8">
        <f>Ueberblick[[#This Row],[Unternehmensbefragungen / Interviews]]</f>
        <v>0</v>
      </c>
      <c r="M25" s="8">
        <f>Ueberblick[[#This Row],[eigene Annahmen]]</f>
        <v>1</v>
      </c>
      <c r="N25" s="8">
        <f>Ueberblick[[#This Row],[eigene Erhebungen]]</f>
        <v>0</v>
      </c>
      <c r="O25" s="8">
        <v>1996</v>
      </c>
      <c r="P25" s="8">
        <v>49</v>
      </c>
    </row>
    <row r="26" spans="1:16" s="11" customFormat="1" ht="114.75" x14ac:dyDescent="0.25">
      <c r="A26" s="6" t="s">
        <v>351</v>
      </c>
      <c r="B26" s="8">
        <f>Ueberblick[[#This Row],[Bottom-Up-Abschätzung]]</f>
        <v>1</v>
      </c>
      <c r="C26" s="8">
        <f>Ueberblick[[#This Row],[Top-Down-Abschätzung]]</f>
        <v>1</v>
      </c>
      <c r="D26" s="8">
        <f>Ueberblick[[#This Row],[Bestimmung Kosten-Potenzial-Kurven]]</f>
        <v>1</v>
      </c>
      <c r="E26" s="8">
        <f>Ueberblick[[#This Row],[Analyse mehrerer Szenarien / Entwicklungen]]</f>
        <v>1</v>
      </c>
      <c r="F26" s="8">
        <f>Ueberblick[[#This Row],[Untersuchung von Fehlermaßen]]</f>
        <v>1</v>
      </c>
      <c r="G26" s="8" t="str">
        <f>Ueberblick[[#This Row],[Quellen Methodik]]</f>
        <v>22-31; 46-63; 73-76; 77-87; 93</v>
      </c>
      <c r="H26" s="8">
        <f>Ueberblick[[#This Row],[Literaturanalyse]]</f>
        <v>1</v>
      </c>
      <c r="I26" s="8">
        <f>Ueberblick[[#This Row],[Auswertung von Statistiken]]</f>
        <v>1</v>
      </c>
      <c r="J26" s="8">
        <f>Ueberblick[[#This Row],[Expertenabschätzungen]]</f>
        <v>1</v>
      </c>
      <c r="K26" s="8">
        <f>Ueberblick[[#This Row],[(Online-)Umfragen]]</f>
        <v>0</v>
      </c>
      <c r="L26" s="8">
        <f>Ueberblick[[#This Row],[Unternehmensbefragungen / Interviews]]</f>
        <v>1</v>
      </c>
      <c r="M26" s="8">
        <f>Ueberblick[[#This Row],[eigene Annahmen]]</f>
        <v>1</v>
      </c>
      <c r="N26" s="8">
        <f>Ueberblick[[#This Row],[eigene Erhebungen]]</f>
        <v>1</v>
      </c>
      <c r="O26" s="8"/>
      <c r="P26" s="8" t="s">
        <v>291</v>
      </c>
    </row>
    <row r="27" spans="1:16" s="11" customFormat="1" ht="63.75" x14ac:dyDescent="0.25">
      <c r="A27" s="6" t="s">
        <v>24</v>
      </c>
      <c r="B27" s="8">
        <f>Ueberblick[[#This Row],[Bottom-Up-Abschätzung]]</f>
        <v>0</v>
      </c>
      <c r="C27" s="8">
        <f>Ueberblick[[#This Row],[Top-Down-Abschätzung]]</f>
        <v>1</v>
      </c>
      <c r="D27" s="8">
        <f>Ueberblick[[#This Row],[Bestimmung Kosten-Potenzial-Kurven]]</f>
        <v>0</v>
      </c>
      <c r="E27" s="8">
        <f>Ueberblick[[#This Row],[Analyse mehrerer Szenarien / Entwicklungen]]</f>
        <v>1</v>
      </c>
      <c r="F27" s="8">
        <f>Ueberblick[[#This Row],[Untersuchung von Fehlermaßen]]</f>
        <v>0</v>
      </c>
      <c r="G27" s="8" t="str">
        <f>Ueberblick[[#This Row],[Quellen Methodik]]</f>
        <v>8-10; 26-28; 38</v>
      </c>
      <c r="H27" s="8">
        <f>Ueberblick[[#This Row],[Literaturanalyse]]</f>
        <v>1</v>
      </c>
      <c r="I27" s="8">
        <f>Ueberblick[[#This Row],[Auswertung von Statistiken]]</f>
        <v>1</v>
      </c>
      <c r="J27" s="8">
        <f>Ueberblick[[#This Row],[Expertenabschätzungen]]</f>
        <v>0</v>
      </c>
      <c r="K27" s="8">
        <f>Ueberblick[[#This Row],[(Online-)Umfragen]]</f>
        <v>0</v>
      </c>
      <c r="L27" s="8">
        <f>Ueberblick[[#This Row],[Unternehmensbefragungen / Interviews]]</f>
        <v>0</v>
      </c>
      <c r="M27" s="8">
        <f>Ueberblick[[#This Row],[eigene Annahmen]]</f>
        <v>1</v>
      </c>
      <c r="N27" s="8">
        <f>Ueberblick[[#This Row],[eigene Erhebungen]]</f>
        <v>0</v>
      </c>
      <c r="O27" s="8" t="s">
        <v>249</v>
      </c>
      <c r="P27" s="8" t="s">
        <v>250</v>
      </c>
    </row>
    <row r="28" spans="1:16" x14ac:dyDescent="0.25">
      <c r="A28" s="18" t="s">
        <v>854</v>
      </c>
      <c r="B28" s="17">
        <f>SUM(B3:B27)</f>
        <v>22</v>
      </c>
      <c r="C28" s="17">
        <f>SUM(C3:C27)</f>
        <v>25</v>
      </c>
      <c r="D28" s="17">
        <f>SUM(D3:D27)</f>
        <v>5</v>
      </c>
      <c r="E28" s="17">
        <f>SUM(E3:E27)</f>
        <v>11.5</v>
      </c>
      <c r="F28" s="17">
        <f>SUM(F3:F27)</f>
        <v>2</v>
      </c>
      <c r="G28" s="17"/>
      <c r="H28" s="17">
        <f t="shared" ref="H28:N28" si="0">SUM(H3:H27)</f>
        <v>24</v>
      </c>
      <c r="I28" s="17">
        <f t="shared" si="0"/>
        <v>18.5</v>
      </c>
      <c r="J28" s="17">
        <f t="shared" si="0"/>
        <v>6</v>
      </c>
      <c r="K28" s="17">
        <f t="shared" si="0"/>
        <v>3</v>
      </c>
      <c r="L28" s="17">
        <f t="shared" si="0"/>
        <v>9.5</v>
      </c>
      <c r="M28" s="17">
        <f t="shared" si="0"/>
        <v>19.5</v>
      </c>
      <c r="N28" s="17">
        <f t="shared" si="0"/>
        <v>3.5</v>
      </c>
      <c r="O28" s="17"/>
      <c r="P28" s="17"/>
    </row>
    <row r="29" spans="1:16" x14ac:dyDescent="0.25">
      <c r="G29" s="7"/>
    </row>
    <row r="30" spans="1:16" x14ac:dyDescent="0.25">
      <c r="G30" s="7"/>
    </row>
    <row r="31" spans="1:16" x14ac:dyDescent="0.25">
      <c r="G31" s="7"/>
    </row>
    <row r="32" spans="1:16" x14ac:dyDescent="0.25">
      <c r="G32" s="7"/>
    </row>
    <row r="33" spans="7:7" x14ac:dyDescent="0.25">
      <c r="G33" s="7"/>
    </row>
    <row r="34" spans="7:7" x14ac:dyDescent="0.25">
      <c r="G34" s="7"/>
    </row>
    <row r="35" spans="7:7" x14ac:dyDescent="0.25">
      <c r="G35" s="7"/>
    </row>
    <row r="36" spans="7:7" x14ac:dyDescent="0.25">
      <c r="G36" s="7"/>
    </row>
    <row r="37" spans="7:7" x14ac:dyDescent="0.25">
      <c r="G37" s="7"/>
    </row>
    <row r="38" spans="7:7" x14ac:dyDescent="0.25">
      <c r="G38" s="7"/>
    </row>
    <row r="39" spans="7:7" x14ac:dyDescent="0.25">
      <c r="G39" s="7"/>
    </row>
    <row r="40" spans="7:7" x14ac:dyDescent="0.25">
      <c r="G40" s="7"/>
    </row>
    <row r="41" spans="7:7" x14ac:dyDescent="0.25">
      <c r="G41" s="7"/>
    </row>
    <row r="42" spans="7:7" x14ac:dyDescent="0.25">
      <c r="G42" s="7"/>
    </row>
    <row r="43" spans="7:7" x14ac:dyDescent="0.25">
      <c r="G43" s="7"/>
    </row>
    <row r="44" spans="7:7" x14ac:dyDescent="0.25">
      <c r="G44" s="7"/>
    </row>
    <row r="45" spans="7:7" x14ac:dyDescent="0.25">
      <c r="G45" s="7"/>
    </row>
    <row r="46" spans="7:7" x14ac:dyDescent="0.25">
      <c r="G46" s="7"/>
    </row>
    <row r="47" spans="7:7" x14ac:dyDescent="0.25">
      <c r="G47" s="7"/>
    </row>
    <row r="48" spans="7:7"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4F2A31B4-740A-4E79-8075-D2B962C5AD8A}">
          <x14:formula1>
            <xm:f>Dropdown!$A$2:$A$4</xm:f>
          </x14:formula1>
          <xm:sqref>B3:F27 H3:N27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CC7B6-6E55-4B42-96D1-316FA609F01B}">
  <sheetPr codeName="Tabelle8">
    <tabColor theme="7" tint="0.79998168889431442"/>
  </sheetPr>
  <dimension ref="A1:P103"/>
  <sheetViews>
    <sheetView topLeftCell="A2" workbookViewId="0">
      <selection activeCell="B3" sqref="B3"/>
    </sheetView>
  </sheetViews>
  <sheetFormatPr baseColWidth="10" defaultColWidth="10.875" defaultRowHeight="15.75" x14ac:dyDescent="0.25"/>
  <cols>
    <col min="1" max="1" width="21.75" style="7" customWidth="1"/>
    <col min="2" max="6" width="5.875" style="7" customWidth="1"/>
    <col min="7" max="7" width="48.125" style="14" hidden="1" customWidth="1"/>
    <col min="8" max="14" width="5.875" style="7" customWidth="1"/>
    <col min="15" max="15" width="29.875" style="7" customWidth="1"/>
    <col min="16" max="16" width="14.125" style="7" hidden="1" customWidth="1"/>
    <col min="17" max="16384" width="10.875" style="7"/>
  </cols>
  <sheetData>
    <row r="1" spans="1:16" ht="39.75" hidden="1"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134.25" customHeight="1" x14ac:dyDescent="0.25">
      <c r="A2" s="3" t="s">
        <v>853</v>
      </c>
      <c r="B2" s="43" t="s">
        <v>848</v>
      </c>
      <c r="C2" s="43" t="s">
        <v>849</v>
      </c>
      <c r="D2" s="43" t="s">
        <v>1449</v>
      </c>
      <c r="E2" s="43" t="s">
        <v>1450</v>
      </c>
      <c r="F2" s="43" t="s">
        <v>136</v>
      </c>
      <c r="G2" s="43" t="s">
        <v>103</v>
      </c>
      <c r="H2" s="43" t="s">
        <v>100</v>
      </c>
      <c r="I2" s="43" t="s">
        <v>97</v>
      </c>
      <c r="J2" s="43" t="s">
        <v>98</v>
      </c>
      <c r="K2" s="43" t="s">
        <v>126</v>
      </c>
      <c r="L2" s="43" t="s">
        <v>1451</v>
      </c>
      <c r="M2" s="43" t="s">
        <v>124</v>
      </c>
      <c r="N2" s="43" t="s">
        <v>99</v>
      </c>
      <c r="O2" s="3" t="s">
        <v>127</v>
      </c>
      <c r="P2" s="3" t="s">
        <v>104</v>
      </c>
    </row>
    <row r="3" spans="1:16" x14ac:dyDescent="0.25">
      <c r="A3" s="6" t="s">
        <v>12</v>
      </c>
      <c r="B3" s="42" t="str">
        <f>VLOOKUP(Ueberblick4[[#This Row],[Bottom-Up-Abschätzung]],Dropdown!$A$2:$D$4,4,FALSE)</f>
        <v>X</v>
      </c>
      <c r="C3" s="42" t="str">
        <f>VLOOKUP(Ueberblick4[[#This Row],[Top-Down-Abschätzung]],Dropdown!$A$2:$D$4,4,FALSE)</f>
        <v>X</v>
      </c>
      <c r="D3" s="42" t="str">
        <f>VLOOKUP(Ueberblick4[[#This Row],[Kosten-Potenzial-Kurven]],Dropdown!$A$2:$D$4,4,FALSE)</f>
        <v>-</v>
      </c>
      <c r="E3" s="42" t="str">
        <f>VLOOKUP(Ueberblick4[[#This Row],[Analyse mehrerer Szenarien]],Dropdown!$A$2:$D$4,4,FALSE)</f>
        <v>X</v>
      </c>
      <c r="F3" s="42" t="str">
        <f>VLOOKUP(Ueberblick4[[#This Row],[Untersuchung von Fehlermaßen]],Dropdown!$A$2:$D$4,4,FALSE)</f>
        <v>-</v>
      </c>
      <c r="G3" s="42" t="e">
        <f>VLOOKUP(Ueberblick4[[#This Row],[Quellen Methodik]],Dropdown!$A$2:$D$4,4,FALSE)</f>
        <v>#N/A</v>
      </c>
      <c r="H3" s="42" t="str">
        <f>VLOOKUP(Ueberblick4[[#This Row],[Literaturanalyse]],Dropdown!$A$2:$D$4,4,FALSE)</f>
        <v>X</v>
      </c>
      <c r="I3" s="42" t="str">
        <f>VLOOKUP(Ueberblick4[[#This Row],[Auswertung von Statistiken]],Dropdown!$A$2:$D$4,4,FALSE)</f>
        <v>X</v>
      </c>
      <c r="J3" s="42" t="str">
        <f>VLOOKUP(Ueberblick4[[#This Row],[Expertenabschätzungen]],Dropdown!$A$2:$D$4,4,FALSE)</f>
        <v>-</v>
      </c>
      <c r="K3" s="42" t="str">
        <f>VLOOKUP(Ueberblick4[[#This Row],[(Online-)Umfragen]],Dropdown!$A$2:$D$4,4,FALSE)</f>
        <v>X</v>
      </c>
      <c r="L3" s="42" t="str">
        <f>VLOOKUP(Ueberblick4[[#This Row],[Unternehmensbefragungen]],Dropdown!$A$2:$D$4,4,FALSE)</f>
        <v>X</v>
      </c>
      <c r="M3" s="42" t="str">
        <f>VLOOKUP(Ueberblick4[[#This Row],[eigene Annahmen]],Dropdown!$A$2:$D$4,4,FALSE)</f>
        <v>(X)</v>
      </c>
      <c r="N3" s="42" t="str">
        <f>VLOOKUP(Ueberblick4[[#This Row],[eigene Erhebungen]],Dropdown!$A$2:$D$4,4,FALSE)</f>
        <v>-</v>
      </c>
      <c r="O3" s="42">
        <v>2010</v>
      </c>
      <c r="P3" s="8" t="s">
        <v>178</v>
      </c>
    </row>
    <row r="4" spans="1:16" x14ac:dyDescent="0.25">
      <c r="A4" s="6" t="s">
        <v>347</v>
      </c>
      <c r="B4" s="42" t="str">
        <f>VLOOKUP(Ueberblick4[[#This Row],[Bottom-Up-Abschätzung]],Dropdown!$A$2:$D$4,4,FALSE)</f>
        <v>X</v>
      </c>
      <c r="C4" s="42" t="str">
        <f>VLOOKUP(Ueberblick4[[#This Row],[Top-Down-Abschätzung]],Dropdown!$A$2:$D$4,4,FALSE)</f>
        <v>X</v>
      </c>
      <c r="D4" s="42" t="str">
        <f>VLOOKUP(Ueberblick4[[#This Row],[Kosten-Potenzial-Kurven]],Dropdown!$A$2:$D$4,4,FALSE)</f>
        <v>-</v>
      </c>
      <c r="E4" s="42" t="str">
        <f>VLOOKUP(Ueberblick4[[#This Row],[Analyse mehrerer Szenarien]],Dropdown!$A$2:$D$4,4,FALSE)</f>
        <v>X</v>
      </c>
      <c r="F4" s="42" t="str">
        <f>VLOOKUP(Ueberblick4[[#This Row],[Untersuchung von Fehlermaßen]],Dropdown!$A$2:$D$4,4,FALSE)</f>
        <v>-</v>
      </c>
      <c r="G4" s="42" t="str">
        <f>Ueberblick[[#This Row],[Quellen Methodik]]</f>
        <v>751-755</v>
      </c>
      <c r="H4" s="42" t="str">
        <f>VLOOKUP(Ueberblick4[[#This Row],[Literaturanalyse]],Dropdown!$A$2:$D$4,4,FALSE)</f>
        <v>X</v>
      </c>
      <c r="I4" s="42" t="str">
        <f>VLOOKUP(Ueberblick4[[#This Row],[Auswertung von Statistiken]],Dropdown!$A$2:$D$4,4,FALSE)</f>
        <v>X</v>
      </c>
      <c r="J4" s="42" t="str">
        <f>VLOOKUP(Ueberblick4[[#This Row],[Expertenabschätzungen]],Dropdown!$A$2:$D$4,4,FALSE)</f>
        <v>-</v>
      </c>
      <c r="K4" s="42" t="str">
        <f>VLOOKUP(Ueberblick4[[#This Row],[(Online-)Umfragen]],Dropdown!$A$2:$D$4,4,FALSE)</f>
        <v>-</v>
      </c>
      <c r="L4" s="42" t="str">
        <f>VLOOKUP(Ueberblick4[[#This Row],[Unternehmensbefragungen]],Dropdown!$A$2:$D$4,4,FALSE)</f>
        <v>-</v>
      </c>
      <c r="M4" s="42" t="str">
        <f>VLOOKUP(Ueberblick4[[#This Row],[eigene Annahmen]],Dropdown!$A$2:$D$4,4,FALSE)</f>
        <v>X</v>
      </c>
      <c r="N4" s="42" t="str">
        <f>VLOOKUP(Ueberblick4[[#This Row],[eigene Erhebungen]],Dropdown!$A$2:$D$4,4,FALSE)</f>
        <v>-</v>
      </c>
      <c r="O4" s="42" t="s">
        <v>813</v>
      </c>
      <c r="P4" s="8" t="s">
        <v>812</v>
      </c>
    </row>
    <row r="5" spans="1:16" s="11" customFormat="1" x14ac:dyDescent="0.25">
      <c r="A5" s="6" t="s">
        <v>348</v>
      </c>
      <c r="B5" s="42" t="str">
        <f>VLOOKUP(Ueberblick4[[#This Row],[Bottom-Up-Abschätzung]],Dropdown!$A$2:$D$4,4,FALSE)</f>
        <v>X</v>
      </c>
      <c r="C5" s="42" t="str">
        <f>VLOOKUP(Ueberblick4[[#This Row],[Top-Down-Abschätzung]],Dropdown!$A$2:$D$4,4,FALSE)</f>
        <v>X</v>
      </c>
      <c r="D5" s="42" t="str">
        <f>VLOOKUP(Ueberblick4[[#This Row],[Kosten-Potenzial-Kurven]],Dropdown!$A$2:$D$4,4,FALSE)</f>
        <v>-</v>
      </c>
      <c r="E5" s="42" t="str">
        <f>VLOOKUP(Ueberblick4[[#This Row],[Analyse mehrerer Szenarien]],Dropdown!$A$2:$D$4,4,FALSE)</f>
        <v>-</v>
      </c>
      <c r="F5" s="42" t="str">
        <f>VLOOKUP(Ueberblick4[[#This Row],[Untersuchung von Fehlermaßen]],Dropdown!$A$2:$D$4,4,FALSE)</f>
        <v>-</v>
      </c>
      <c r="G5" s="42" t="str">
        <f>Ueberblick[[#This Row],[Quellen Methodik]]</f>
        <v>S. 1; 3-4</v>
      </c>
      <c r="H5" s="42" t="str">
        <f>VLOOKUP(Ueberblick4[[#This Row],[Literaturanalyse]],Dropdown!$A$2:$D$4,4,FALSE)</f>
        <v>X</v>
      </c>
      <c r="I5" s="42" t="str">
        <f>VLOOKUP(Ueberblick4[[#This Row],[Auswertung von Statistiken]],Dropdown!$A$2:$D$4,4,FALSE)</f>
        <v>X</v>
      </c>
      <c r="J5" s="42" t="str">
        <f>VLOOKUP(Ueberblick4[[#This Row],[Expertenabschätzungen]],Dropdown!$A$2:$D$4,4,FALSE)</f>
        <v>-</v>
      </c>
      <c r="K5" s="42" t="str">
        <f>VLOOKUP(Ueberblick4[[#This Row],[(Online-)Umfragen]],Dropdown!$A$2:$D$4,4,FALSE)</f>
        <v>-</v>
      </c>
      <c r="L5" s="42" t="str">
        <f>VLOOKUP(Ueberblick4[[#This Row],[Unternehmensbefragungen]],Dropdown!$A$2:$D$4,4,FALSE)</f>
        <v>-</v>
      </c>
      <c r="M5" s="42" t="str">
        <f>VLOOKUP(Ueberblick4[[#This Row],[eigene Annahmen]],Dropdown!$A$2:$D$4,4,FALSE)</f>
        <v>X</v>
      </c>
      <c r="N5" s="42" t="str">
        <f>VLOOKUP(Ueberblick4[[#This Row],[eigene Erhebungen]],Dropdown!$A$2:$D$4,4,FALSE)</f>
        <v>-</v>
      </c>
      <c r="O5" s="42">
        <v>2011</v>
      </c>
      <c r="P5" s="8" t="s">
        <v>372</v>
      </c>
    </row>
    <row r="6" spans="1:16" s="11" customFormat="1" x14ac:dyDescent="0.25">
      <c r="A6" s="6" t="s">
        <v>183</v>
      </c>
      <c r="B6" s="42" t="str">
        <f>VLOOKUP(Ueberblick4[[#This Row],[Bottom-Up-Abschätzung]],Dropdown!$A$2:$D$4,4,FALSE)</f>
        <v>X</v>
      </c>
      <c r="C6" s="42" t="str">
        <f>VLOOKUP(Ueberblick4[[#This Row],[Top-Down-Abschätzung]],Dropdown!$A$2:$D$4,4,FALSE)</f>
        <v>X</v>
      </c>
      <c r="D6" s="42" t="str">
        <f>VLOOKUP(Ueberblick4[[#This Row],[Kosten-Potenzial-Kurven]],Dropdown!$A$2:$D$4,4,FALSE)</f>
        <v>-</v>
      </c>
      <c r="E6" s="42" t="str">
        <f>VLOOKUP(Ueberblick4[[#This Row],[Analyse mehrerer Szenarien]],Dropdown!$A$2:$D$4,4,FALSE)</f>
        <v>-</v>
      </c>
      <c r="F6" s="42" t="str">
        <f>VLOOKUP(Ueberblick4[[#This Row],[Untersuchung von Fehlermaßen]],Dropdown!$A$2:$D$4,4,FALSE)</f>
        <v>(X)</v>
      </c>
      <c r="G6" s="42" t="str">
        <f>Ueberblick[[#This Row],[Quellen Methodik]]</f>
        <v>S. 2-58</v>
      </c>
      <c r="H6" s="42" t="str">
        <f>VLOOKUP(Ueberblick4[[#This Row],[Literaturanalyse]],Dropdown!$A$2:$D$4,4,FALSE)</f>
        <v>X</v>
      </c>
      <c r="I6" s="42" t="str">
        <f>VLOOKUP(Ueberblick4[[#This Row],[Auswertung von Statistiken]],Dropdown!$A$2:$D$4,4,FALSE)</f>
        <v>X</v>
      </c>
      <c r="J6" s="42" t="str">
        <f>VLOOKUP(Ueberblick4[[#This Row],[Expertenabschätzungen]],Dropdown!$A$2:$D$4,4,FALSE)</f>
        <v>-</v>
      </c>
      <c r="K6" s="42" t="str">
        <f>VLOOKUP(Ueberblick4[[#This Row],[(Online-)Umfragen]],Dropdown!$A$2:$D$4,4,FALSE)</f>
        <v>-</v>
      </c>
      <c r="L6" s="42" t="str">
        <f>VLOOKUP(Ueberblick4[[#This Row],[Unternehmensbefragungen]],Dropdown!$A$2:$D$4,4,FALSE)</f>
        <v>-</v>
      </c>
      <c r="M6" s="42" t="str">
        <f>VLOOKUP(Ueberblick4[[#This Row],[eigene Annahmen]],Dropdown!$A$2:$D$4,4,FALSE)</f>
        <v>X</v>
      </c>
      <c r="N6" s="42" t="str">
        <f>VLOOKUP(Ueberblick4[[#This Row],[eigene Erhebungen]],Dropdown!$A$2:$D$4,4,FALSE)</f>
        <v>(X)</v>
      </c>
      <c r="O6" s="42" t="s">
        <v>301</v>
      </c>
      <c r="P6" s="8" t="s">
        <v>308</v>
      </c>
    </row>
    <row r="7" spans="1:16" s="11" customFormat="1" ht="25.5" x14ac:dyDescent="0.25">
      <c r="A7" s="6" t="s">
        <v>258</v>
      </c>
      <c r="B7" s="42" t="str">
        <f>VLOOKUP(Ueberblick4[[#This Row],[Bottom-Up-Abschätzung]],Dropdown!$A$2:$D$4,4,FALSE)</f>
        <v>X</v>
      </c>
      <c r="C7" s="42" t="str">
        <f>VLOOKUP(Ueberblick4[[#This Row],[Top-Down-Abschätzung]],Dropdown!$A$2:$D$4,4,FALSE)</f>
        <v>X</v>
      </c>
      <c r="D7" s="42" t="str">
        <f>VLOOKUP(Ueberblick4[[#This Row],[Kosten-Potenzial-Kurven]],Dropdown!$A$2:$D$4,4,FALSE)</f>
        <v>-</v>
      </c>
      <c r="E7" s="42" t="str">
        <f>VLOOKUP(Ueberblick4[[#This Row],[Analyse mehrerer Szenarien]],Dropdown!$A$2:$D$4,4,FALSE)</f>
        <v>-</v>
      </c>
      <c r="F7" s="42" t="str">
        <f>VLOOKUP(Ueberblick4[[#This Row],[Untersuchung von Fehlermaßen]],Dropdown!$A$2:$D$4,4,FALSE)</f>
        <v>-</v>
      </c>
      <c r="G7" s="42" t="str">
        <f>Ueberblick[[#This Row],[Quellen Methodik]]</f>
        <v>11-23; 65-70; 86-104; 135-414</v>
      </c>
      <c r="H7" s="42" t="str">
        <f>VLOOKUP(Ueberblick4[[#This Row],[Literaturanalyse]],Dropdown!$A$2:$D$4,4,FALSE)</f>
        <v>X</v>
      </c>
      <c r="I7" s="42" t="str">
        <f>VLOOKUP(Ueberblick4[[#This Row],[Auswertung von Statistiken]],Dropdown!$A$2:$D$4,4,FALSE)</f>
        <v>X</v>
      </c>
      <c r="J7" s="42" t="str">
        <f>VLOOKUP(Ueberblick4[[#This Row],[Expertenabschätzungen]],Dropdown!$A$2:$D$4,4,FALSE)</f>
        <v>-</v>
      </c>
      <c r="K7" s="42" t="str">
        <f>VLOOKUP(Ueberblick4[[#This Row],[(Online-)Umfragen]],Dropdown!$A$2:$D$4,4,FALSE)</f>
        <v>-</v>
      </c>
      <c r="L7" s="42" t="str">
        <f>VLOOKUP(Ueberblick4[[#This Row],[Unternehmensbefragungen]],Dropdown!$A$2:$D$4,4,FALSE)</f>
        <v>-</v>
      </c>
      <c r="M7" s="42" t="str">
        <f>VLOOKUP(Ueberblick4[[#This Row],[eigene Annahmen]],Dropdown!$A$2:$D$4,4,FALSE)</f>
        <v>X</v>
      </c>
      <c r="N7" s="42" t="str">
        <f>VLOOKUP(Ueberblick4[[#This Row],[eigene Erhebungen]],Dropdown!$A$2:$D$4,4,FALSE)</f>
        <v>-</v>
      </c>
      <c r="O7" s="45" t="s">
        <v>238</v>
      </c>
      <c r="P7" s="8" t="s">
        <v>254</v>
      </c>
    </row>
    <row r="8" spans="1:16" s="11" customFormat="1" x14ac:dyDescent="0.25">
      <c r="A8" s="18" t="s">
        <v>355</v>
      </c>
      <c r="B8" s="42" t="str">
        <f>VLOOKUP(Ueberblick4[[#This Row],[Bottom-Up-Abschätzung]],Dropdown!$A$2:$D$4,4,FALSE)</f>
        <v>X</v>
      </c>
      <c r="C8" s="42" t="str">
        <f>VLOOKUP(Ueberblick4[[#This Row],[Top-Down-Abschätzung]],Dropdown!$A$2:$D$4,4,FALSE)</f>
        <v>X</v>
      </c>
      <c r="D8" s="42" t="str">
        <f>VLOOKUP(Ueberblick4[[#This Row],[Kosten-Potenzial-Kurven]],Dropdown!$A$2:$D$4,4,FALSE)</f>
        <v>-</v>
      </c>
      <c r="E8" s="42" t="str">
        <f>VLOOKUP(Ueberblick4[[#This Row],[Analyse mehrerer Szenarien]],Dropdown!$A$2:$D$4,4,FALSE)</f>
        <v>X</v>
      </c>
      <c r="F8" s="42" t="str">
        <f>VLOOKUP(Ueberblick4[[#This Row],[Untersuchung von Fehlermaßen]],Dropdown!$A$2:$D$4,4,FALSE)</f>
        <v>-</v>
      </c>
      <c r="G8" s="42" t="str">
        <f>Ueberblick[[#This Row],[Quellen Methodik]]</f>
        <v>S. 2-19; 80-93</v>
      </c>
      <c r="H8" s="42" t="str">
        <f>VLOOKUP(Ueberblick4[[#This Row],[Literaturanalyse]],Dropdown!$A$2:$D$4,4,FALSE)</f>
        <v>X</v>
      </c>
      <c r="I8" s="42" t="str">
        <f>VLOOKUP(Ueberblick4[[#This Row],[Auswertung von Statistiken]],Dropdown!$A$2:$D$4,4,FALSE)</f>
        <v>-</v>
      </c>
      <c r="J8" s="42" t="str">
        <f>VLOOKUP(Ueberblick4[[#This Row],[Expertenabschätzungen]],Dropdown!$A$2:$D$4,4,FALSE)</f>
        <v>-</v>
      </c>
      <c r="K8" s="42" t="str">
        <f>VLOOKUP(Ueberblick4[[#This Row],[(Online-)Umfragen]],Dropdown!$A$2:$D$4,4,FALSE)</f>
        <v>-</v>
      </c>
      <c r="L8" s="42" t="str">
        <f>VLOOKUP(Ueberblick4[[#This Row],[Unternehmensbefragungen]],Dropdown!$A$2:$D$4,4,FALSE)</f>
        <v>-</v>
      </c>
      <c r="M8" s="42" t="str">
        <f>VLOOKUP(Ueberblick4[[#This Row],[eigene Annahmen]],Dropdown!$A$2:$D$4,4,FALSE)</f>
        <v>X</v>
      </c>
      <c r="N8" s="42" t="str">
        <f>VLOOKUP(Ueberblick4[[#This Row],[eigene Erhebungen]],Dropdown!$A$2:$D$4,4,FALSE)</f>
        <v>-</v>
      </c>
      <c r="O8" s="42" t="s">
        <v>154</v>
      </c>
      <c r="P8" s="17" t="s">
        <v>362</v>
      </c>
    </row>
    <row r="9" spans="1:16" x14ac:dyDescent="0.25">
      <c r="A9" s="18" t="s">
        <v>431</v>
      </c>
      <c r="B9" s="42" t="str">
        <f>VLOOKUP(Ueberblick4[[#This Row],[Bottom-Up-Abschätzung]],Dropdown!$A$2:$D$4,4,FALSE)</f>
        <v>X</v>
      </c>
      <c r="C9" s="42" t="str">
        <f>VLOOKUP(Ueberblick4[[#This Row],[Top-Down-Abschätzung]],Dropdown!$A$2:$D$4,4,FALSE)</f>
        <v>X</v>
      </c>
      <c r="D9" s="42" t="str">
        <f>VLOOKUP(Ueberblick4[[#This Row],[Kosten-Potenzial-Kurven]],Dropdown!$A$2:$D$4,4,FALSE)</f>
        <v>-</v>
      </c>
      <c r="E9" s="42" t="str">
        <f>VLOOKUP(Ueberblick4[[#This Row],[Analyse mehrerer Szenarien]],Dropdown!$A$2:$D$4,4,FALSE)</f>
        <v>-</v>
      </c>
      <c r="F9" s="42" t="str">
        <f>VLOOKUP(Ueberblick4[[#This Row],[Untersuchung von Fehlermaßen]],Dropdown!$A$2:$D$4,4,FALSE)</f>
        <v>-</v>
      </c>
      <c r="G9" s="42" t="str">
        <f>Ueberblick[[#This Row],[Quellen Methodik]]</f>
        <v>S. 32; 35</v>
      </c>
      <c r="H9" s="42" t="str">
        <f>VLOOKUP(Ueberblick4[[#This Row],[Literaturanalyse]],Dropdown!$A$2:$D$4,4,FALSE)</f>
        <v>X</v>
      </c>
      <c r="I9" s="42" t="str">
        <f>VLOOKUP(Ueberblick4[[#This Row],[Auswertung von Statistiken]],Dropdown!$A$2:$D$4,4,FALSE)</f>
        <v>-</v>
      </c>
      <c r="J9" s="42" t="str">
        <f>VLOOKUP(Ueberblick4[[#This Row],[Expertenabschätzungen]],Dropdown!$A$2:$D$4,4,FALSE)</f>
        <v>-</v>
      </c>
      <c r="K9" s="42" t="str">
        <f>VLOOKUP(Ueberblick4[[#This Row],[(Online-)Umfragen]],Dropdown!$A$2:$D$4,4,FALSE)</f>
        <v>-</v>
      </c>
      <c r="L9" s="42" t="str">
        <f>VLOOKUP(Ueberblick4[[#This Row],[Unternehmensbefragungen]],Dropdown!$A$2:$D$4,4,FALSE)</f>
        <v>-</v>
      </c>
      <c r="M9" s="42" t="str">
        <f>VLOOKUP(Ueberblick4[[#This Row],[eigene Annahmen]],Dropdown!$A$2:$D$4,4,FALSE)</f>
        <v>X</v>
      </c>
      <c r="N9" s="42" t="str">
        <f>VLOOKUP(Ueberblick4[[#This Row],[eigene Erhebungen]],Dropdown!$A$2:$D$4,4,FALSE)</f>
        <v>-</v>
      </c>
      <c r="O9" s="44" t="s">
        <v>421</v>
      </c>
      <c r="P9" s="17" t="s">
        <v>354</v>
      </c>
    </row>
    <row r="10" spans="1:16" x14ac:dyDescent="0.25">
      <c r="A10" s="6" t="s">
        <v>410</v>
      </c>
      <c r="B10" s="42" t="str">
        <f>VLOOKUP(Ueberblick4[[#This Row],[Bottom-Up-Abschätzung]],Dropdown!$A$2:$D$4,4,FALSE)</f>
        <v>X</v>
      </c>
      <c r="C10" s="42" t="str">
        <f>VLOOKUP(Ueberblick4[[#This Row],[Top-Down-Abschätzung]],Dropdown!$A$2:$D$4,4,FALSE)</f>
        <v>X</v>
      </c>
      <c r="D10" s="42" t="str">
        <f>VLOOKUP(Ueberblick4[[#This Row],[Kosten-Potenzial-Kurven]],Dropdown!$A$2:$D$4,4,FALSE)</f>
        <v>X</v>
      </c>
      <c r="E10" s="42" t="str">
        <f>VLOOKUP(Ueberblick4[[#This Row],[Analyse mehrerer Szenarien]],Dropdown!$A$2:$D$4,4,FALSE)</f>
        <v>-</v>
      </c>
      <c r="F10" s="42" t="str">
        <f>VLOOKUP(Ueberblick4[[#This Row],[Untersuchung von Fehlermaßen]],Dropdown!$A$2:$D$4,4,FALSE)</f>
        <v>-</v>
      </c>
      <c r="G10" s="42" t="str">
        <f>Ueberblick[[#This Row],[Quellen Methodik]]</f>
        <v>13-52</v>
      </c>
      <c r="H10" s="42" t="str">
        <f>VLOOKUP(Ueberblick4[[#This Row],[Literaturanalyse]],Dropdown!$A$2:$D$4,4,FALSE)</f>
        <v>X</v>
      </c>
      <c r="I10" s="42" t="str">
        <f>VLOOKUP(Ueberblick4[[#This Row],[Auswertung von Statistiken]],Dropdown!$A$2:$D$4,4,FALSE)</f>
        <v>X</v>
      </c>
      <c r="J10" s="42" t="str">
        <f>VLOOKUP(Ueberblick4[[#This Row],[Expertenabschätzungen]],Dropdown!$A$2:$D$4,4,FALSE)</f>
        <v>X</v>
      </c>
      <c r="K10" s="42" t="str">
        <f>VLOOKUP(Ueberblick4[[#This Row],[(Online-)Umfragen]],Dropdown!$A$2:$D$4,4,FALSE)</f>
        <v>-</v>
      </c>
      <c r="L10" s="42" t="str">
        <f>VLOOKUP(Ueberblick4[[#This Row],[Unternehmensbefragungen]],Dropdown!$A$2:$D$4,4,FALSE)</f>
        <v>X</v>
      </c>
      <c r="M10" s="42" t="str">
        <f>VLOOKUP(Ueberblick4[[#This Row],[eigene Annahmen]],Dropdown!$A$2:$D$4,4,FALSE)</f>
        <v>X</v>
      </c>
      <c r="N10" s="42" t="str">
        <f>VLOOKUP(Ueberblick4[[#This Row],[eigene Erhebungen]],Dropdown!$A$2:$D$4,4,FALSE)</f>
        <v>X</v>
      </c>
      <c r="O10" s="42" t="s">
        <v>280</v>
      </c>
      <c r="P10" s="8" t="s">
        <v>285</v>
      </c>
    </row>
    <row r="11" spans="1:16" s="11" customFormat="1" x14ac:dyDescent="0.25">
      <c r="A11" s="6" t="s">
        <v>393</v>
      </c>
      <c r="B11" s="42" t="str">
        <f>VLOOKUP(Ueberblick4[[#This Row],[Bottom-Up-Abschätzung]],Dropdown!$A$2:$D$4,4,FALSE)</f>
        <v>X</v>
      </c>
      <c r="C11" s="42" t="str">
        <f>VLOOKUP(Ueberblick4[[#This Row],[Top-Down-Abschätzung]],Dropdown!$A$2:$D$4,4,FALSE)</f>
        <v>X</v>
      </c>
      <c r="D11" s="42" t="str">
        <f>VLOOKUP(Ueberblick4[[#This Row],[Kosten-Potenzial-Kurven]],Dropdown!$A$2:$D$4,4,FALSE)</f>
        <v>-</v>
      </c>
      <c r="E11" s="42" t="str">
        <f>VLOOKUP(Ueberblick4[[#This Row],[Analyse mehrerer Szenarien]],Dropdown!$A$2:$D$4,4,FALSE)</f>
        <v>X</v>
      </c>
      <c r="F11" s="42" t="str">
        <f>VLOOKUP(Ueberblick4[[#This Row],[Untersuchung von Fehlermaßen]],Dropdown!$A$2:$D$4,4,FALSE)</f>
        <v>-</v>
      </c>
      <c r="G11" s="42" t="str">
        <f>Ueberblick[[#This Row],[Quellen Methodik]]</f>
        <v>5-7; 37-54; 58-84; 85-95</v>
      </c>
      <c r="H11" s="42" t="str">
        <f>VLOOKUP(Ueberblick4[[#This Row],[Literaturanalyse]],Dropdown!$A$2:$D$4,4,FALSE)</f>
        <v>X</v>
      </c>
      <c r="I11" s="42" t="str">
        <f>VLOOKUP(Ueberblick4[[#This Row],[Auswertung von Statistiken]],Dropdown!$A$2:$D$4,4,FALSE)</f>
        <v>X</v>
      </c>
      <c r="J11" s="42" t="str">
        <f>VLOOKUP(Ueberblick4[[#This Row],[Expertenabschätzungen]],Dropdown!$A$2:$D$4,4,FALSE)</f>
        <v>-</v>
      </c>
      <c r="K11" s="42" t="str">
        <f>VLOOKUP(Ueberblick4[[#This Row],[(Online-)Umfragen]],Dropdown!$A$2:$D$4,4,FALSE)</f>
        <v>-</v>
      </c>
      <c r="L11" s="42" t="str">
        <f>VLOOKUP(Ueberblick4[[#This Row],[Unternehmensbefragungen]],Dropdown!$A$2:$D$4,4,FALSE)</f>
        <v>(X)</v>
      </c>
      <c r="M11" s="42" t="str">
        <f>VLOOKUP(Ueberblick4[[#This Row],[eigene Annahmen]],Dropdown!$A$2:$D$4,4,FALSE)</f>
        <v>X</v>
      </c>
      <c r="N11" s="42" t="str">
        <f>VLOOKUP(Ueberblick4[[#This Row],[eigene Erhebungen]],Dropdown!$A$2:$D$4,4,FALSE)</f>
        <v>-</v>
      </c>
      <c r="O11" s="42" t="s">
        <v>397</v>
      </c>
      <c r="P11" s="8" t="s">
        <v>398</v>
      </c>
    </row>
    <row r="12" spans="1:16" s="11" customFormat="1" ht="25.5" x14ac:dyDescent="0.25">
      <c r="A12" s="21" t="s">
        <v>380</v>
      </c>
      <c r="B12" s="42" t="str">
        <f>VLOOKUP(Ueberblick4[[#This Row],[Bottom-Up-Abschätzung]],Dropdown!$A$2:$D$4,4,FALSE)</f>
        <v>X</v>
      </c>
      <c r="C12" s="42" t="str">
        <f>VLOOKUP(Ueberblick4[[#This Row],[Top-Down-Abschätzung]],Dropdown!$A$2:$D$4,4,FALSE)</f>
        <v>X</v>
      </c>
      <c r="D12" s="42" t="str">
        <f>VLOOKUP(Ueberblick4[[#This Row],[Kosten-Potenzial-Kurven]],Dropdown!$A$2:$D$4,4,FALSE)</f>
        <v>-</v>
      </c>
      <c r="E12" s="42" t="str">
        <f>VLOOKUP(Ueberblick4[[#This Row],[Analyse mehrerer Szenarien]],Dropdown!$A$2:$D$4,4,FALSE)</f>
        <v>X</v>
      </c>
      <c r="F12" s="42" t="str">
        <f>VLOOKUP(Ueberblick4[[#This Row],[Untersuchung von Fehlermaßen]],Dropdown!$A$2:$D$4,4,FALSE)</f>
        <v>-</v>
      </c>
      <c r="G12" s="42" t="str">
        <f>Ueberblick[[#This Row],[Quellen Methodik]]</f>
        <v>S. 6-8</v>
      </c>
      <c r="H12" s="42" t="str">
        <f>VLOOKUP(Ueberblick4[[#This Row],[Literaturanalyse]],Dropdown!$A$2:$D$4,4,FALSE)</f>
        <v>X</v>
      </c>
      <c r="I12" s="42" t="str">
        <f>VLOOKUP(Ueberblick4[[#This Row],[Auswertung von Statistiken]],Dropdown!$A$2:$D$4,4,FALSE)</f>
        <v>-</v>
      </c>
      <c r="J12" s="42" t="str">
        <f>VLOOKUP(Ueberblick4[[#This Row],[Expertenabschätzungen]],Dropdown!$A$2:$D$4,4,FALSE)</f>
        <v>X</v>
      </c>
      <c r="K12" s="42" t="str">
        <f>VLOOKUP(Ueberblick4[[#This Row],[(Online-)Umfragen]],Dropdown!$A$2:$D$4,4,FALSE)</f>
        <v>-</v>
      </c>
      <c r="L12" s="42" t="str">
        <f>VLOOKUP(Ueberblick4[[#This Row],[Unternehmensbefragungen]],Dropdown!$A$2:$D$4,4,FALSE)</f>
        <v>-</v>
      </c>
      <c r="M12" s="42" t="str">
        <f>VLOOKUP(Ueberblick4[[#This Row],[eigene Annahmen]],Dropdown!$A$2:$D$4,4,FALSE)</f>
        <v>X</v>
      </c>
      <c r="N12" s="42" t="str">
        <f>VLOOKUP(Ueberblick4[[#This Row],[eigene Erhebungen]],Dropdown!$A$2:$D$4,4,FALSE)</f>
        <v>-</v>
      </c>
      <c r="O12" s="46" t="s">
        <v>390</v>
      </c>
      <c r="P12" s="22" t="s">
        <v>391</v>
      </c>
    </row>
    <row r="13" spans="1:16" ht="25.5" x14ac:dyDescent="0.25">
      <c r="A13" s="6" t="s">
        <v>95</v>
      </c>
      <c r="B13" s="42" t="str">
        <f>VLOOKUP(Ueberblick4[[#This Row],[Bottom-Up-Abschätzung]],Dropdown!$A$2:$D$4,4,FALSE)</f>
        <v>X</v>
      </c>
      <c r="C13" s="42" t="str">
        <f>VLOOKUP(Ueberblick4[[#This Row],[Top-Down-Abschätzung]],Dropdown!$A$2:$D$4,4,FALSE)</f>
        <v>X</v>
      </c>
      <c r="D13" s="42" t="str">
        <f>VLOOKUP(Ueberblick4[[#This Row],[Kosten-Potenzial-Kurven]],Dropdown!$A$2:$D$4,4,FALSE)</f>
        <v>X</v>
      </c>
      <c r="E13" s="42" t="str">
        <f>VLOOKUP(Ueberblick4[[#This Row],[Analyse mehrerer Szenarien]],Dropdown!$A$2:$D$4,4,FALSE)</f>
        <v>-</v>
      </c>
      <c r="F13" s="42" t="str">
        <f>VLOOKUP(Ueberblick4[[#This Row],[Untersuchung von Fehlermaßen]],Dropdown!$A$2:$D$4,4,FALSE)</f>
        <v>(X)</v>
      </c>
      <c r="G13" s="42" t="str">
        <f>Ueberblick[[#This Row],[Quellen Methodik]]</f>
        <v>S. 23-34</v>
      </c>
      <c r="H13" s="42" t="str">
        <f>VLOOKUP(Ueberblick4[[#This Row],[Literaturanalyse]],Dropdown!$A$2:$D$4,4,FALSE)</f>
        <v>(X)</v>
      </c>
      <c r="I13" s="42" t="str">
        <f>VLOOKUP(Ueberblick4[[#This Row],[Auswertung von Statistiken]],Dropdown!$A$2:$D$4,4,FALSE)</f>
        <v>X</v>
      </c>
      <c r="J13" s="42" t="str">
        <f>VLOOKUP(Ueberblick4[[#This Row],[Expertenabschätzungen]],Dropdown!$A$2:$D$4,4,FALSE)</f>
        <v>X</v>
      </c>
      <c r="K13" s="42" t="str">
        <f>VLOOKUP(Ueberblick4[[#This Row],[(Online-)Umfragen]],Dropdown!$A$2:$D$4,4,FALSE)</f>
        <v>-</v>
      </c>
      <c r="L13" s="42" t="str">
        <f>VLOOKUP(Ueberblick4[[#This Row],[Unternehmensbefragungen]],Dropdown!$A$2:$D$4,4,FALSE)</f>
        <v>X</v>
      </c>
      <c r="M13" s="42" t="str">
        <f>VLOOKUP(Ueberblick4[[#This Row],[eigene Annahmen]],Dropdown!$A$2:$D$4,4,FALSE)</f>
        <v>X</v>
      </c>
      <c r="N13" s="42" t="str">
        <f>VLOOKUP(Ueberblick4[[#This Row],[eigene Erhebungen]],Dropdown!$A$2:$D$4,4,FALSE)</f>
        <v>-</v>
      </c>
      <c r="O13" s="42" t="s">
        <v>120</v>
      </c>
      <c r="P13" s="8" t="s">
        <v>121</v>
      </c>
    </row>
    <row r="14" spans="1:16" s="11" customFormat="1" ht="38.25" x14ac:dyDescent="0.25">
      <c r="A14" s="6" t="s">
        <v>1709</v>
      </c>
      <c r="B14" s="42" t="str">
        <f>VLOOKUP(Ueberblick4[[#This Row],[Bottom-Up-Abschätzung]],Dropdown!$A$2:$D$4,4,FALSE)</f>
        <v>X</v>
      </c>
      <c r="C14" s="42" t="str">
        <f>VLOOKUP(Ueberblick4[[#This Row],[Top-Down-Abschätzung]],Dropdown!$A$2:$D$4,4,FALSE)</f>
        <v>X</v>
      </c>
      <c r="D14" s="42" t="str">
        <f>VLOOKUP(Ueberblick4[[#This Row],[Kosten-Potenzial-Kurven]],Dropdown!$A$2:$D$4,4,FALSE)</f>
        <v>-</v>
      </c>
      <c r="E14" s="42" t="str">
        <f>VLOOKUP(Ueberblick4[[#This Row],[Analyse mehrerer Szenarien]],Dropdown!$A$2:$D$4,4,FALSE)</f>
        <v>-</v>
      </c>
      <c r="F14" s="42" t="str">
        <f>VLOOKUP(Ueberblick4[[#This Row],[Untersuchung von Fehlermaßen]],Dropdown!$A$2:$D$4,4,FALSE)</f>
        <v>-</v>
      </c>
      <c r="G14" s="42" t="str">
        <f>Ueberblick[[#This Row],[Quellen Methodik]]</f>
        <v>22-23, 31, 44, 54-60</v>
      </c>
      <c r="H14" s="42" t="str">
        <f>VLOOKUP(Ueberblick4[[#This Row],[Literaturanalyse]],Dropdown!$A$2:$D$4,4,FALSE)</f>
        <v>X</v>
      </c>
      <c r="I14" s="42" t="str">
        <f>VLOOKUP(Ueberblick4[[#This Row],[Auswertung von Statistiken]],Dropdown!$A$2:$D$4,4,FALSE)</f>
        <v>X</v>
      </c>
      <c r="J14" s="42" t="str">
        <f>VLOOKUP(Ueberblick4[[#This Row],[Expertenabschätzungen]],Dropdown!$A$2:$D$4,4,FALSE)</f>
        <v>-</v>
      </c>
      <c r="K14" s="42" t="str">
        <f>VLOOKUP(Ueberblick4[[#This Row],[(Online-)Umfragen]],Dropdown!$A$2:$D$4,4,FALSE)</f>
        <v>X</v>
      </c>
      <c r="L14" s="42" t="str">
        <f>VLOOKUP(Ueberblick4[[#This Row],[Unternehmensbefragungen]],Dropdown!$A$2:$D$4,4,FALSE)</f>
        <v>X</v>
      </c>
      <c r="M14" s="42" t="str">
        <f>VLOOKUP(Ueberblick4[[#This Row],[eigene Annahmen]],Dropdown!$A$2:$D$4,4,FALSE)</f>
        <v>X</v>
      </c>
      <c r="N14" s="42" t="str">
        <f>VLOOKUP(Ueberblick4[[#This Row],[eigene Erhebungen]],Dropdown!$A$2:$D$4,4,FALSE)</f>
        <v>-</v>
      </c>
      <c r="O14" s="42">
        <v>2013</v>
      </c>
      <c r="P14" s="8">
        <v>22</v>
      </c>
    </row>
    <row r="15" spans="1:16" x14ac:dyDescent="0.25">
      <c r="A15" s="6" t="s">
        <v>179</v>
      </c>
      <c r="B15" s="42" t="str">
        <f>VLOOKUP(Ueberblick4[[#This Row],[Bottom-Up-Abschätzung]],Dropdown!$A$2:$D$4,4,FALSE)</f>
        <v>-</v>
      </c>
      <c r="C15" s="42" t="str">
        <f>VLOOKUP(Ueberblick4[[#This Row],[Top-Down-Abschätzung]],Dropdown!$A$2:$D$4,4,FALSE)</f>
        <v>X</v>
      </c>
      <c r="D15" s="42" t="str">
        <f>VLOOKUP(Ueberblick4[[#This Row],[Kosten-Potenzial-Kurven]],Dropdown!$A$2:$D$4,4,FALSE)</f>
        <v>-</v>
      </c>
      <c r="E15" s="42" t="str">
        <f>VLOOKUP(Ueberblick4[[#This Row],[Analyse mehrerer Szenarien]],Dropdown!$A$2:$D$4,4,FALSE)</f>
        <v>-</v>
      </c>
      <c r="F15" s="42" t="str">
        <f>VLOOKUP(Ueberblick4[[#This Row],[Untersuchung von Fehlermaßen]],Dropdown!$A$2:$D$4,4,FALSE)</f>
        <v>-</v>
      </c>
      <c r="G15" s="42" t="str">
        <f>Ueberblick[[#This Row],[Quellen Methodik]]</f>
        <v>S. 11-14; 27-28</v>
      </c>
      <c r="H15" s="42" t="str">
        <f>VLOOKUP(Ueberblick4[[#This Row],[Literaturanalyse]],Dropdown!$A$2:$D$4,4,FALSE)</f>
        <v>X</v>
      </c>
      <c r="I15" s="42" t="str">
        <f>VLOOKUP(Ueberblick4[[#This Row],[Auswertung von Statistiken]],Dropdown!$A$2:$D$4,4,FALSE)</f>
        <v>-</v>
      </c>
      <c r="J15" s="42" t="str">
        <f>VLOOKUP(Ueberblick4[[#This Row],[Expertenabschätzungen]],Dropdown!$A$2:$D$4,4,FALSE)</f>
        <v>-</v>
      </c>
      <c r="K15" s="42" t="str">
        <f>VLOOKUP(Ueberblick4[[#This Row],[(Online-)Umfragen]],Dropdown!$A$2:$D$4,4,FALSE)</f>
        <v>-</v>
      </c>
      <c r="L15" s="42" t="str">
        <f>VLOOKUP(Ueberblick4[[#This Row],[Unternehmensbefragungen]],Dropdown!$A$2:$D$4,4,FALSE)</f>
        <v>-</v>
      </c>
      <c r="M15" s="42" t="str">
        <f>VLOOKUP(Ueberblick4[[#This Row],[eigene Annahmen]],Dropdown!$A$2:$D$4,4,FALSE)</f>
        <v>X</v>
      </c>
      <c r="N15" s="42" t="str">
        <f>VLOOKUP(Ueberblick4[[#This Row],[eigene Erhebungen]],Dropdown!$A$2:$D$4,4,FALSE)</f>
        <v>-</v>
      </c>
      <c r="O15" s="42" t="s">
        <v>334</v>
      </c>
      <c r="P15" s="8" t="s">
        <v>322</v>
      </c>
    </row>
    <row r="16" spans="1:16" s="11" customFormat="1" ht="25.5" x14ac:dyDescent="0.25">
      <c r="A16" s="6" t="s">
        <v>341</v>
      </c>
      <c r="B16" s="42" t="str">
        <f>VLOOKUP(Ueberblick4[[#This Row],[Bottom-Up-Abschätzung]],Dropdown!$A$2:$D$4,4,FALSE)</f>
        <v>X</v>
      </c>
      <c r="C16" s="42" t="str">
        <f>VLOOKUP(Ueberblick4[[#This Row],[Top-Down-Abschätzung]],Dropdown!$A$2:$D$4,4,FALSE)</f>
        <v>X</v>
      </c>
      <c r="D16" s="42" t="str">
        <f>VLOOKUP(Ueberblick4[[#This Row],[Kosten-Potenzial-Kurven]],Dropdown!$A$2:$D$4,4,FALSE)</f>
        <v>-</v>
      </c>
      <c r="E16" s="42" t="str">
        <f>VLOOKUP(Ueberblick4[[#This Row],[Analyse mehrerer Szenarien]],Dropdown!$A$2:$D$4,4,FALSE)</f>
        <v>X</v>
      </c>
      <c r="F16" s="42" t="str">
        <f>VLOOKUP(Ueberblick4[[#This Row],[Untersuchung von Fehlermaßen]],Dropdown!$A$2:$D$4,4,FALSE)</f>
        <v>-</v>
      </c>
      <c r="G16" s="42" t="str">
        <f>Ueberblick[[#This Row],[Quellen Methodik]]</f>
        <v>S. 4-7; 16; 41-43; 44-45; 47-61; 75-80; 81-123; 126-127</v>
      </c>
      <c r="H16" s="42" t="str">
        <f>VLOOKUP(Ueberblick4[[#This Row],[Literaturanalyse]],Dropdown!$A$2:$D$4,4,FALSE)</f>
        <v>X</v>
      </c>
      <c r="I16" s="42" t="str">
        <f>VLOOKUP(Ueberblick4[[#This Row],[Auswertung von Statistiken]],Dropdown!$A$2:$D$4,4,FALSE)</f>
        <v>X</v>
      </c>
      <c r="J16" s="42" t="str">
        <f>VLOOKUP(Ueberblick4[[#This Row],[Expertenabschätzungen]],Dropdown!$A$2:$D$4,4,FALSE)</f>
        <v>-</v>
      </c>
      <c r="K16" s="42" t="str">
        <f>VLOOKUP(Ueberblick4[[#This Row],[(Online-)Umfragen]],Dropdown!$A$2:$D$4,4,FALSE)</f>
        <v>-</v>
      </c>
      <c r="L16" s="42" t="str">
        <f>VLOOKUP(Ueberblick4[[#This Row],[Unternehmensbefragungen]],Dropdown!$A$2:$D$4,4,FALSE)</f>
        <v>-</v>
      </c>
      <c r="M16" s="42" t="str">
        <f>VLOOKUP(Ueberblick4[[#This Row],[eigene Annahmen]],Dropdown!$A$2:$D$4,4,FALSE)</f>
        <v>X</v>
      </c>
      <c r="N16" s="42" t="str">
        <f>VLOOKUP(Ueberblick4[[#This Row],[eigene Erhebungen]],Dropdown!$A$2:$D$4,4,FALSE)</f>
        <v>-</v>
      </c>
      <c r="O16" s="45" t="s">
        <v>449</v>
      </c>
      <c r="P16" s="8" t="s">
        <v>446</v>
      </c>
    </row>
    <row r="17" spans="1:16" x14ac:dyDescent="0.25">
      <c r="A17" s="6" t="s">
        <v>22</v>
      </c>
      <c r="B17" s="42" t="str">
        <f>VLOOKUP(Ueberblick4[[#This Row],[Bottom-Up-Abschätzung]],Dropdown!$A$2:$D$4,4,FALSE)</f>
        <v>X</v>
      </c>
      <c r="C17" s="42" t="str">
        <f>VLOOKUP(Ueberblick4[[#This Row],[Top-Down-Abschätzung]],Dropdown!$A$2:$D$4,4,FALSE)</f>
        <v>X</v>
      </c>
      <c r="D17" s="42" t="str">
        <f>VLOOKUP(Ueberblick4[[#This Row],[Kosten-Potenzial-Kurven]],Dropdown!$A$2:$D$4,4,FALSE)</f>
        <v>-</v>
      </c>
      <c r="E17" s="42" t="str">
        <f>VLOOKUP(Ueberblick4[[#This Row],[Analyse mehrerer Szenarien]],Dropdown!$A$2:$D$4,4,FALSE)</f>
        <v>(X)</v>
      </c>
      <c r="F17" s="42" t="str">
        <f>VLOOKUP(Ueberblick4[[#This Row],[Untersuchung von Fehlermaßen]],Dropdown!$A$2:$D$4,4,FALSE)</f>
        <v>-</v>
      </c>
      <c r="G17" s="42" t="str">
        <f>Ueberblick[[#This Row],[Quellen Methodik]]</f>
        <v>97-99; 216-225</v>
      </c>
      <c r="H17" s="42" t="str">
        <f>VLOOKUP(Ueberblick4[[#This Row],[Literaturanalyse]],Dropdown!$A$2:$D$4,4,FALSE)</f>
        <v>X</v>
      </c>
      <c r="I17" s="42" t="str">
        <f>VLOOKUP(Ueberblick4[[#This Row],[Auswertung von Statistiken]],Dropdown!$A$2:$D$4,4,FALSE)</f>
        <v>(X)</v>
      </c>
      <c r="J17" s="42" t="str">
        <f>VLOOKUP(Ueberblick4[[#This Row],[Expertenabschätzungen]],Dropdown!$A$2:$D$4,4,FALSE)</f>
        <v>-</v>
      </c>
      <c r="K17" s="42" t="str">
        <f>VLOOKUP(Ueberblick4[[#This Row],[(Online-)Umfragen]],Dropdown!$A$2:$D$4,4,FALSE)</f>
        <v>-</v>
      </c>
      <c r="L17" s="42" t="str">
        <f>VLOOKUP(Ueberblick4[[#This Row],[Unternehmensbefragungen]],Dropdown!$A$2:$D$4,4,FALSE)</f>
        <v>X</v>
      </c>
      <c r="M17" s="42" t="str">
        <f>VLOOKUP(Ueberblick4[[#This Row],[eigene Annahmen]],Dropdown!$A$2:$D$4,4,FALSE)</f>
        <v>-</v>
      </c>
      <c r="N17" s="42" t="str">
        <f>VLOOKUP(Ueberblick4[[#This Row],[eigene Erhebungen]],Dropdown!$A$2:$D$4,4,FALSE)</f>
        <v>-</v>
      </c>
      <c r="O17" s="42" t="s">
        <v>237</v>
      </c>
      <c r="P17" s="8">
        <v>87</v>
      </c>
    </row>
    <row r="18" spans="1:16" s="11" customFormat="1" x14ac:dyDescent="0.25">
      <c r="A18" s="6" t="s">
        <v>188</v>
      </c>
      <c r="B18" s="42" t="str">
        <f>VLOOKUP(Ueberblick4[[#This Row],[Bottom-Up-Abschätzung]],Dropdown!$A$2:$D$4,4,FALSE)</f>
        <v>X</v>
      </c>
      <c r="C18" s="42" t="str">
        <f>VLOOKUP(Ueberblick4[[#This Row],[Top-Down-Abschätzung]],Dropdown!$A$2:$D$4,4,FALSE)</f>
        <v>X</v>
      </c>
      <c r="D18" s="42" t="str">
        <f>VLOOKUP(Ueberblick4[[#This Row],[Kosten-Potenzial-Kurven]],Dropdown!$A$2:$D$4,4,FALSE)</f>
        <v>-</v>
      </c>
      <c r="E18" s="42" t="str">
        <f>VLOOKUP(Ueberblick4[[#This Row],[Analyse mehrerer Szenarien]],Dropdown!$A$2:$D$4,4,FALSE)</f>
        <v>-</v>
      </c>
      <c r="F18" s="42" t="str">
        <f>VLOOKUP(Ueberblick4[[#This Row],[Untersuchung von Fehlermaßen]],Dropdown!$A$2:$D$4,4,FALSE)</f>
        <v>-</v>
      </c>
      <c r="G18" s="42" t="str">
        <f>Ueberblick[[#This Row],[Quellen Methodik]]</f>
        <v>S. 15-16; 39-40; 46-48; 59-60</v>
      </c>
      <c r="H18" s="42" t="str">
        <f>VLOOKUP(Ueberblick4[[#This Row],[Literaturanalyse]],Dropdown!$A$2:$D$4,4,FALSE)</f>
        <v>X</v>
      </c>
      <c r="I18" s="42" t="str">
        <f>VLOOKUP(Ueberblick4[[#This Row],[Auswertung von Statistiken]],Dropdown!$A$2:$D$4,4,FALSE)</f>
        <v>-</v>
      </c>
      <c r="J18" s="42" t="str">
        <f>VLOOKUP(Ueberblick4[[#This Row],[Expertenabschätzungen]],Dropdown!$A$2:$D$4,4,FALSE)</f>
        <v>-</v>
      </c>
      <c r="K18" s="42" t="str">
        <f>VLOOKUP(Ueberblick4[[#This Row],[(Online-)Umfragen]],Dropdown!$A$2:$D$4,4,FALSE)</f>
        <v>-</v>
      </c>
      <c r="L18" s="42" t="str">
        <f>VLOOKUP(Ueberblick4[[#This Row],[Unternehmensbefragungen]],Dropdown!$A$2:$D$4,4,FALSE)</f>
        <v>-</v>
      </c>
      <c r="M18" s="42" t="str">
        <f>VLOOKUP(Ueberblick4[[#This Row],[eigene Annahmen]],Dropdown!$A$2:$D$4,4,FALSE)</f>
        <v>-</v>
      </c>
      <c r="N18" s="42" t="str">
        <f>VLOOKUP(Ueberblick4[[#This Row],[eigene Erhebungen]],Dropdown!$A$2:$D$4,4,FALSE)</f>
        <v>-</v>
      </c>
      <c r="O18" s="42" t="s">
        <v>334</v>
      </c>
      <c r="P18" s="8" t="s">
        <v>333</v>
      </c>
    </row>
    <row r="19" spans="1:16" ht="25.5" x14ac:dyDescent="0.25">
      <c r="A19" s="6" t="s">
        <v>133</v>
      </c>
      <c r="B19" s="42" t="str">
        <f>VLOOKUP(Ueberblick4[[#This Row],[Bottom-Up-Abschätzung]],Dropdown!$A$2:$D$4,4,FALSE)</f>
        <v>X</v>
      </c>
      <c r="C19" s="42" t="str">
        <f>VLOOKUP(Ueberblick4[[#This Row],[Top-Down-Abschätzung]],Dropdown!$A$2:$D$4,4,FALSE)</f>
        <v>X</v>
      </c>
      <c r="D19" s="42" t="str">
        <f>VLOOKUP(Ueberblick4[[#This Row],[Kosten-Potenzial-Kurven]],Dropdown!$A$2:$D$4,4,FALSE)</f>
        <v>-</v>
      </c>
      <c r="E19" s="42" t="str">
        <f>VLOOKUP(Ueberblick4[[#This Row],[Analyse mehrerer Szenarien]],Dropdown!$A$2:$D$4,4,FALSE)</f>
        <v>X</v>
      </c>
      <c r="F19" s="42" t="str">
        <f>VLOOKUP(Ueberblick4[[#This Row],[Untersuchung von Fehlermaßen]],Dropdown!$A$2:$D$4,4,FALSE)</f>
        <v>-</v>
      </c>
      <c r="G19" s="42" t="str">
        <f>Ueberblick[[#This Row],[Quellen Methodik]]</f>
        <v>S. 410-425</v>
      </c>
      <c r="H19" s="42" t="str">
        <f>VLOOKUP(Ueberblick4[[#This Row],[Literaturanalyse]],Dropdown!$A$2:$D$4,4,FALSE)</f>
        <v>X</v>
      </c>
      <c r="I19" s="42" t="str">
        <f>VLOOKUP(Ueberblick4[[#This Row],[Auswertung von Statistiken]],Dropdown!$A$2:$D$4,4,FALSE)</f>
        <v>X</v>
      </c>
      <c r="J19" s="42" t="str">
        <f>VLOOKUP(Ueberblick4[[#This Row],[Expertenabschätzungen]],Dropdown!$A$2:$D$4,4,FALSE)</f>
        <v>-</v>
      </c>
      <c r="K19" s="42" t="str">
        <f>VLOOKUP(Ueberblick4[[#This Row],[(Online-)Umfragen]],Dropdown!$A$2:$D$4,4,FALSE)</f>
        <v>-</v>
      </c>
      <c r="L19" s="42" t="str">
        <f>VLOOKUP(Ueberblick4[[#This Row],[Unternehmensbefragungen]],Dropdown!$A$2:$D$4,4,FALSE)</f>
        <v>X</v>
      </c>
      <c r="M19" s="42" t="str">
        <f>VLOOKUP(Ueberblick4[[#This Row],[eigene Annahmen]],Dropdown!$A$2:$D$4,4,FALSE)</f>
        <v>-</v>
      </c>
      <c r="N19" s="42" t="str">
        <f>VLOOKUP(Ueberblick4[[#This Row],[eigene Erhebungen]],Dropdown!$A$2:$D$4,4,FALSE)</f>
        <v>-</v>
      </c>
      <c r="O19" s="42" t="s">
        <v>163</v>
      </c>
      <c r="P19" s="8" t="s">
        <v>164</v>
      </c>
    </row>
    <row r="20" spans="1:16" s="11" customFormat="1" ht="25.5" x14ac:dyDescent="0.25">
      <c r="A20" s="6" t="s">
        <v>10</v>
      </c>
      <c r="B20" s="42" t="str">
        <f>VLOOKUP(Ueberblick4[[#This Row],[Bottom-Up-Abschätzung]],Dropdown!$A$2:$D$4,4,FALSE)</f>
        <v>X</v>
      </c>
      <c r="C20" s="42" t="str">
        <f>VLOOKUP(Ueberblick4[[#This Row],[Top-Down-Abschätzung]],Dropdown!$A$2:$D$4,4,FALSE)</f>
        <v>X</v>
      </c>
      <c r="D20" s="42" t="str">
        <f>VLOOKUP(Ueberblick4[[#This Row],[Kosten-Potenzial-Kurven]],Dropdown!$A$2:$D$4,4,FALSE)</f>
        <v>-</v>
      </c>
      <c r="E20" s="42" t="str">
        <f>VLOOKUP(Ueberblick4[[#This Row],[Analyse mehrerer Szenarien]],Dropdown!$A$2:$D$4,4,FALSE)</f>
        <v>X</v>
      </c>
      <c r="F20" s="42" t="str">
        <f>VLOOKUP(Ueberblick4[[#This Row],[Untersuchung von Fehlermaßen]],Dropdown!$A$2:$D$4,4,FALSE)</f>
        <v>-</v>
      </c>
      <c r="G20" s="42" t="str">
        <f>Ueberblick[[#This Row],[Quellen Methodik]]</f>
        <v>S. 434-437</v>
      </c>
      <c r="H20" s="42" t="str">
        <f>VLOOKUP(Ueberblick4[[#This Row],[Literaturanalyse]],Dropdown!$A$2:$D$4,4,FALSE)</f>
        <v>X</v>
      </c>
      <c r="I20" s="42" t="str">
        <f>VLOOKUP(Ueberblick4[[#This Row],[Auswertung von Statistiken]],Dropdown!$A$2:$D$4,4,FALSE)</f>
        <v>X</v>
      </c>
      <c r="J20" s="42" t="str">
        <f>VLOOKUP(Ueberblick4[[#This Row],[Expertenabschätzungen]],Dropdown!$A$2:$D$4,4,FALSE)</f>
        <v>-</v>
      </c>
      <c r="K20" s="42" t="str">
        <f>VLOOKUP(Ueberblick4[[#This Row],[(Online-)Umfragen]],Dropdown!$A$2:$D$4,4,FALSE)</f>
        <v>-</v>
      </c>
      <c r="L20" s="42" t="str">
        <f>VLOOKUP(Ueberblick4[[#This Row],[Unternehmensbefragungen]],Dropdown!$A$2:$D$4,4,FALSE)</f>
        <v>X</v>
      </c>
      <c r="M20" s="42" t="str">
        <f>VLOOKUP(Ueberblick4[[#This Row],[eigene Annahmen]],Dropdown!$A$2:$D$4,4,FALSE)</f>
        <v>-</v>
      </c>
      <c r="N20" s="42" t="str">
        <f>VLOOKUP(Ueberblick4[[#This Row],[eigene Erhebungen]],Dropdown!$A$2:$D$4,4,FALSE)</f>
        <v>-</v>
      </c>
      <c r="O20" s="42" t="s">
        <v>173</v>
      </c>
      <c r="P20" s="8">
        <v>434</v>
      </c>
    </row>
    <row r="21" spans="1:16" ht="38.25" x14ac:dyDescent="0.25">
      <c r="A21" s="6" t="s">
        <v>832</v>
      </c>
      <c r="B21" s="42" t="str">
        <f>VLOOKUP(Ueberblick4[[#This Row],[Bottom-Up-Abschätzung]],Dropdown!$A$2:$D$4,4,FALSE)</f>
        <v>X</v>
      </c>
      <c r="C21" s="42" t="str">
        <f>VLOOKUP(Ueberblick4[[#This Row],[Top-Down-Abschätzung]],Dropdown!$A$2:$D$4,4,FALSE)</f>
        <v>X</v>
      </c>
      <c r="D21" s="42" t="str">
        <f>VLOOKUP(Ueberblick4[[#This Row],[Kosten-Potenzial-Kurven]],Dropdown!$A$2:$D$4,4,FALSE)</f>
        <v>X</v>
      </c>
      <c r="E21" s="42" t="str">
        <f>VLOOKUP(Ueberblick4[[#This Row],[Analyse mehrerer Szenarien]],Dropdown!$A$2:$D$4,4,FALSE)</f>
        <v>X</v>
      </c>
      <c r="F21" s="42" t="str">
        <f>VLOOKUP(Ueberblick4[[#This Row],[Untersuchung von Fehlermaßen]],Dropdown!$A$2:$D$4,4,FALSE)</f>
        <v>-</v>
      </c>
      <c r="G21" s="42" t="str">
        <f>Ueberblick[[#This Row],[Quellen Methodik]]</f>
        <v>1-6; 88-94; 128-131; 137-139; 185-203; 206-209; 228-232</v>
      </c>
      <c r="H21" s="42" t="str">
        <f>VLOOKUP(Ueberblick4[[#This Row],[Literaturanalyse]],Dropdown!$A$2:$D$4,4,FALSE)</f>
        <v>X</v>
      </c>
      <c r="I21" s="42" t="str">
        <f>VLOOKUP(Ueberblick4[[#This Row],[Auswertung von Statistiken]],Dropdown!$A$2:$D$4,4,FALSE)</f>
        <v>X</v>
      </c>
      <c r="J21" s="42" t="str">
        <f>VLOOKUP(Ueberblick4[[#This Row],[Expertenabschätzungen]],Dropdown!$A$2:$D$4,4,FALSE)</f>
        <v>X</v>
      </c>
      <c r="K21" s="42" t="str">
        <f>VLOOKUP(Ueberblick4[[#This Row],[(Online-)Umfragen]],Dropdown!$A$2:$D$4,4,FALSE)</f>
        <v>X</v>
      </c>
      <c r="L21" s="42" t="str">
        <f>VLOOKUP(Ueberblick4[[#This Row],[Unternehmensbefragungen]],Dropdown!$A$2:$D$4,4,FALSE)</f>
        <v>X</v>
      </c>
      <c r="M21" s="42" t="str">
        <f>VLOOKUP(Ueberblick4[[#This Row],[eigene Annahmen]],Dropdown!$A$2:$D$4,4,FALSE)</f>
        <v>X</v>
      </c>
      <c r="N21" s="42" t="str">
        <f>VLOOKUP(Ueberblick4[[#This Row],[eigene Erhebungen]],Dropdown!$A$2:$D$4,4,FALSE)</f>
        <v>X</v>
      </c>
      <c r="O21" s="42" t="s">
        <v>270</v>
      </c>
      <c r="P21" s="8">
        <v>186</v>
      </c>
    </row>
    <row r="22" spans="1:16" s="11" customFormat="1" x14ac:dyDescent="0.25">
      <c r="A22" s="6" t="s">
        <v>16</v>
      </c>
      <c r="B22" s="42" t="str">
        <f>VLOOKUP(Ueberblick4[[#This Row],[Bottom-Up-Abschätzung]],Dropdown!$A$2:$D$4,4,FALSE)</f>
        <v>X</v>
      </c>
      <c r="C22" s="42" t="str">
        <f>VLOOKUP(Ueberblick4[[#This Row],[Top-Down-Abschätzung]],Dropdown!$A$2:$D$4,4,FALSE)</f>
        <v>X</v>
      </c>
      <c r="D22" s="42" t="str">
        <f>VLOOKUP(Ueberblick4[[#This Row],[Kosten-Potenzial-Kurven]],Dropdown!$A$2:$D$4,4,FALSE)</f>
        <v>X</v>
      </c>
      <c r="E22" s="42" t="str">
        <f>VLOOKUP(Ueberblick4[[#This Row],[Analyse mehrerer Szenarien]],Dropdown!$A$2:$D$4,4,FALSE)</f>
        <v>-</v>
      </c>
      <c r="F22" s="42" t="str">
        <f>VLOOKUP(Ueberblick4[[#This Row],[Untersuchung von Fehlermaßen]],Dropdown!$A$2:$D$4,4,FALSE)</f>
        <v>-</v>
      </c>
      <c r="G22" s="42" t="str">
        <f>Ueberblick[[#This Row],[Quellen Methodik]]</f>
        <v>52-57</v>
      </c>
      <c r="H22" s="42" t="str">
        <f>VLOOKUP(Ueberblick4[[#This Row],[Literaturanalyse]],Dropdown!$A$2:$D$4,4,FALSE)</f>
        <v>X</v>
      </c>
      <c r="I22" s="42" t="str">
        <f>VLOOKUP(Ueberblick4[[#This Row],[Auswertung von Statistiken]],Dropdown!$A$2:$D$4,4,FALSE)</f>
        <v>X</v>
      </c>
      <c r="J22" s="42" t="str">
        <f>VLOOKUP(Ueberblick4[[#This Row],[Expertenabschätzungen]],Dropdown!$A$2:$D$4,4,FALSE)</f>
        <v>-</v>
      </c>
      <c r="K22" s="42" t="str">
        <f>VLOOKUP(Ueberblick4[[#This Row],[(Online-)Umfragen]],Dropdown!$A$2:$D$4,4,FALSE)</f>
        <v>-</v>
      </c>
      <c r="L22" s="42" t="str">
        <f>VLOOKUP(Ueberblick4[[#This Row],[Unternehmensbefragungen]],Dropdown!$A$2:$D$4,4,FALSE)</f>
        <v>-</v>
      </c>
      <c r="M22" s="42" t="str">
        <f>VLOOKUP(Ueberblick4[[#This Row],[eigene Annahmen]],Dropdown!$A$2:$D$4,4,FALSE)</f>
        <v>(X)</v>
      </c>
      <c r="N22" s="42" t="str">
        <f>VLOOKUP(Ueberblick4[[#This Row],[eigene Erhebungen]],Dropdown!$A$2:$D$4,4,FALSE)</f>
        <v>-</v>
      </c>
      <c r="O22" s="42" t="s">
        <v>199</v>
      </c>
      <c r="P22" s="8">
        <v>77</v>
      </c>
    </row>
    <row r="23" spans="1:16" x14ac:dyDescent="0.25">
      <c r="A23" s="6" t="s">
        <v>7</v>
      </c>
      <c r="B23" s="42" t="str">
        <f>VLOOKUP(Ueberblick4[[#This Row],[Bottom-Up-Abschätzung]],Dropdown!$A$2:$D$4,4,FALSE)</f>
        <v>-</v>
      </c>
      <c r="C23" s="42" t="str">
        <f>VLOOKUP(Ueberblick4[[#This Row],[Top-Down-Abschätzung]],Dropdown!$A$2:$D$4,4,FALSE)</f>
        <v>X</v>
      </c>
      <c r="D23" s="42" t="str">
        <f>VLOOKUP(Ueberblick4[[#This Row],[Kosten-Potenzial-Kurven]],Dropdown!$A$2:$D$4,4,FALSE)</f>
        <v>-</v>
      </c>
      <c r="E23" s="42" t="str">
        <f>VLOOKUP(Ueberblick4[[#This Row],[Analyse mehrerer Szenarien]],Dropdown!$A$2:$D$4,4,FALSE)</f>
        <v>-</v>
      </c>
      <c r="F23" s="42" t="str">
        <f>VLOOKUP(Ueberblick4[[#This Row],[Untersuchung von Fehlermaßen]],Dropdown!$A$2:$D$4,4,FALSE)</f>
        <v>-</v>
      </c>
      <c r="G23" s="42" t="str">
        <f>Ueberblick[[#This Row],[Quellen Methodik]]</f>
        <v>12-32</v>
      </c>
      <c r="H23" s="42" t="str">
        <f>VLOOKUP(Ueberblick4[[#This Row],[Literaturanalyse]],Dropdown!$A$2:$D$4,4,FALSE)</f>
        <v>(X)</v>
      </c>
      <c r="I23" s="42" t="str">
        <f>VLOOKUP(Ueberblick4[[#This Row],[Auswertung von Statistiken]],Dropdown!$A$2:$D$4,4,FALSE)</f>
        <v>-</v>
      </c>
      <c r="J23" s="42" t="str">
        <f>VLOOKUP(Ueberblick4[[#This Row],[Expertenabschätzungen]],Dropdown!$A$2:$D$4,4,FALSE)</f>
        <v>X</v>
      </c>
      <c r="K23" s="42" t="str">
        <f>VLOOKUP(Ueberblick4[[#This Row],[(Online-)Umfragen]],Dropdown!$A$2:$D$4,4,FALSE)</f>
        <v>-</v>
      </c>
      <c r="L23" s="42" t="str">
        <f>VLOOKUP(Ueberblick4[[#This Row],[Unternehmensbefragungen]],Dropdown!$A$2:$D$4,4,FALSE)</f>
        <v>-</v>
      </c>
      <c r="M23" s="42" t="str">
        <f>VLOOKUP(Ueberblick4[[#This Row],[eigene Annahmen]],Dropdown!$A$2:$D$4,4,FALSE)</f>
        <v>(X)</v>
      </c>
      <c r="N23" s="42" t="str">
        <f>VLOOKUP(Ueberblick4[[#This Row],[eigene Erhebungen]],Dropdown!$A$2:$D$4,4,FALSE)</f>
        <v>-</v>
      </c>
      <c r="O23" s="42" t="s">
        <v>154</v>
      </c>
      <c r="P23" s="8">
        <v>14</v>
      </c>
    </row>
    <row r="24" spans="1:16" s="11" customFormat="1" ht="25.5" x14ac:dyDescent="0.25">
      <c r="A24" s="6" t="s">
        <v>18</v>
      </c>
      <c r="B24" s="42" t="str">
        <f>VLOOKUP(Ueberblick4[[#This Row],[Bottom-Up-Abschätzung]],Dropdown!$A$2:$D$4,4,FALSE)</f>
        <v>X</v>
      </c>
      <c r="C24" s="42" t="str">
        <f>VLOOKUP(Ueberblick4[[#This Row],[Top-Down-Abschätzung]],Dropdown!$A$2:$D$4,4,FALSE)</f>
        <v>X</v>
      </c>
      <c r="D24" s="42" t="str">
        <f>VLOOKUP(Ueberblick4[[#This Row],[Kosten-Potenzial-Kurven]],Dropdown!$A$2:$D$4,4,FALSE)</f>
        <v>-</v>
      </c>
      <c r="E24" s="42" t="str">
        <f>VLOOKUP(Ueberblick4[[#This Row],[Analyse mehrerer Szenarien]],Dropdown!$A$2:$D$4,4,FALSE)</f>
        <v>-</v>
      </c>
      <c r="F24" s="42" t="str">
        <f>VLOOKUP(Ueberblick4[[#This Row],[Untersuchung von Fehlermaßen]],Dropdown!$A$2:$D$4,4,FALSE)</f>
        <v>-</v>
      </c>
      <c r="G24" s="42" t="str">
        <f>Ueberblick[[#This Row],[Quellen Methodik]]</f>
        <v>47-57, 89-91</v>
      </c>
      <c r="H24" s="42" t="str">
        <f>VLOOKUP(Ueberblick4[[#This Row],[Literaturanalyse]],Dropdown!$A$2:$D$4,4,FALSE)</f>
        <v>X</v>
      </c>
      <c r="I24" s="42" t="str">
        <f>VLOOKUP(Ueberblick4[[#This Row],[Auswertung von Statistiken]],Dropdown!$A$2:$D$4,4,FALSE)</f>
        <v>X</v>
      </c>
      <c r="J24" s="42" t="str">
        <f>VLOOKUP(Ueberblick4[[#This Row],[Expertenabschätzungen]],Dropdown!$A$2:$D$4,4,FALSE)</f>
        <v>-</v>
      </c>
      <c r="K24" s="42" t="str">
        <f>VLOOKUP(Ueberblick4[[#This Row],[(Online-)Umfragen]],Dropdown!$A$2:$D$4,4,FALSE)</f>
        <v>-</v>
      </c>
      <c r="L24" s="42" t="str">
        <f>VLOOKUP(Ueberblick4[[#This Row],[Unternehmensbefragungen]],Dropdown!$A$2:$D$4,4,FALSE)</f>
        <v>-</v>
      </c>
      <c r="M24" s="42" t="str">
        <f>VLOOKUP(Ueberblick4[[#This Row],[eigene Annahmen]],Dropdown!$A$2:$D$4,4,FALSE)</f>
        <v>X</v>
      </c>
      <c r="N24" s="42" t="str">
        <f>VLOOKUP(Ueberblick4[[#This Row],[eigene Erhebungen]],Dropdown!$A$2:$D$4,4,FALSE)</f>
        <v>-</v>
      </c>
      <c r="O24" s="45" t="s">
        <v>238</v>
      </c>
      <c r="P24" s="8" t="s">
        <v>236</v>
      </c>
    </row>
    <row r="25" spans="1:16" x14ac:dyDescent="0.25">
      <c r="A25" s="6" t="s">
        <v>338</v>
      </c>
      <c r="B25" s="42" t="str">
        <f>VLOOKUP(Ueberblick4[[#This Row],[Bottom-Up-Abschätzung]],Dropdown!$A$2:$D$4,4,FALSE)</f>
        <v>X</v>
      </c>
      <c r="C25" s="42" t="str">
        <f>VLOOKUP(Ueberblick4[[#This Row],[Top-Down-Abschätzung]],Dropdown!$A$2:$D$4,4,FALSE)</f>
        <v>X</v>
      </c>
      <c r="D25" s="42" t="str">
        <f>VLOOKUP(Ueberblick4[[#This Row],[Kosten-Potenzial-Kurven]],Dropdown!$A$2:$D$4,4,FALSE)</f>
        <v>-</v>
      </c>
      <c r="E25" s="42" t="str">
        <f>VLOOKUP(Ueberblick4[[#This Row],[Analyse mehrerer Szenarien]],Dropdown!$A$2:$D$4,4,FALSE)</f>
        <v>-</v>
      </c>
      <c r="F25" s="42" t="str">
        <f>VLOOKUP(Ueberblick4[[#This Row],[Untersuchung von Fehlermaßen]],Dropdown!$A$2:$D$4,4,FALSE)</f>
        <v>-</v>
      </c>
      <c r="G25" s="42" t="str">
        <f>Ueberblick[[#This Row],[Quellen Methodik]]</f>
        <v>38-45; 48-53; 62-69; 73-97; 104-116; 119-121; 168-169</v>
      </c>
      <c r="H25" s="42" t="str">
        <f>VLOOKUP(Ueberblick4[[#This Row],[Literaturanalyse]],Dropdown!$A$2:$D$4,4,FALSE)</f>
        <v>X</v>
      </c>
      <c r="I25" s="42" t="str">
        <f>VLOOKUP(Ueberblick4[[#This Row],[Auswertung von Statistiken]],Dropdown!$A$2:$D$4,4,FALSE)</f>
        <v>X</v>
      </c>
      <c r="J25" s="42" t="str">
        <f>VLOOKUP(Ueberblick4[[#This Row],[Expertenabschätzungen]],Dropdown!$A$2:$D$4,4,FALSE)</f>
        <v>-</v>
      </c>
      <c r="K25" s="42" t="str">
        <f>VLOOKUP(Ueberblick4[[#This Row],[(Online-)Umfragen]],Dropdown!$A$2:$D$4,4,FALSE)</f>
        <v>-</v>
      </c>
      <c r="L25" s="42" t="str">
        <f>VLOOKUP(Ueberblick4[[#This Row],[Unternehmensbefragungen]],Dropdown!$A$2:$D$4,4,FALSE)</f>
        <v>-</v>
      </c>
      <c r="M25" s="42" t="str">
        <f>VLOOKUP(Ueberblick4[[#This Row],[eigene Annahmen]],Dropdown!$A$2:$D$4,4,FALSE)</f>
        <v>X</v>
      </c>
      <c r="N25" s="42" t="str">
        <f>VLOOKUP(Ueberblick4[[#This Row],[eigene Erhebungen]],Dropdown!$A$2:$D$4,4,FALSE)</f>
        <v>-</v>
      </c>
      <c r="O25" s="42">
        <v>1996</v>
      </c>
      <c r="P25" s="8">
        <v>49</v>
      </c>
    </row>
    <row r="26" spans="1:16" s="11" customFormat="1" ht="25.5" x14ac:dyDescent="0.25">
      <c r="A26" s="6" t="s">
        <v>351</v>
      </c>
      <c r="B26" s="42" t="str">
        <f>VLOOKUP(Ueberblick4[[#This Row],[Bottom-Up-Abschätzung]],Dropdown!$A$2:$D$4,4,FALSE)</f>
        <v>X</v>
      </c>
      <c r="C26" s="42" t="str">
        <f>VLOOKUP(Ueberblick4[[#This Row],[Top-Down-Abschätzung]],Dropdown!$A$2:$D$4,4,FALSE)</f>
        <v>X</v>
      </c>
      <c r="D26" s="42" t="str">
        <f>VLOOKUP(Ueberblick4[[#This Row],[Kosten-Potenzial-Kurven]],Dropdown!$A$2:$D$4,4,FALSE)</f>
        <v>X</v>
      </c>
      <c r="E26" s="42" t="str">
        <f>VLOOKUP(Ueberblick4[[#This Row],[Analyse mehrerer Szenarien]],Dropdown!$A$2:$D$4,4,FALSE)</f>
        <v>X</v>
      </c>
      <c r="F26" s="42" t="str">
        <f>VLOOKUP(Ueberblick4[[#This Row],[Untersuchung von Fehlermaßen]],Dropdown!$A$2:$D$4,4,FALSE)</f>
        <v>X</v>
      </c>
      <c r="G26" s="42" t="str">
        <f>Ueberblick[[#This Row],[Quellen Methodik]]</f>
        <v>22-31; 46-63; 73-76; 77-87; 93</v>
      </c>
      <c r="H26" s="42" t="str">
        <f>VLOOKUP(Ueberblick4[[#This Row],[Literaturanalyse]],Dropdown!$A$2:$D$4,4,FALSE)</f>
        <v>X</v>
      </c>
      <c r="I26" s="42" t="str">
        <f>VLOOKUP(Ueberblick4[[#This Row],[Auswertung von Statistiken]],Dropdown!$A$2:$D$4,4,FALSE)</f>
        <v>X</v>
      </c>
      <c r="J26" s="42" t="str">
        <f>VLOOKUP(Ueberblick4[[#This Row],[Expertenabschätzungen]],Dropdown!$A$2:$D$4,4,FALSE)</f>
        <v>X</v>
      </c>
      <c r="K26" s="42" t="str">
        <f>VLOOKUP(Ueberblick4[[#This Row],[(Online-)Umfragen]],Dropdown!$A$2:$D$4,4,FALSE)</f>
        <v>-</v>
      </c>
      <c r="L26" s="42" t="str">
        <f>VLOOKUP(Ueberblick4[[#This Row],[Unternehmensbefragungen]],Dropdown!$A$2:$D$4,4,FALSE)</f>
        <v>X</v>
      </c>
      <c r="M26" s="42" t="str">
        <f>VLOOKUP(Ueberblick4[[#This Row],[eigene Annahmen]],Dropdown!$A$2:$D$4,4,FALSE)</f>
        <v>X</v>
      </c>
      <c r="N26" s="42" t="str">
        <f>VLOOKUP(Ueberblick4[[#This Row],[eigene Erhebungen]],Dropdown!$A$2:$D$4,4,FALSE)</f>
        <v>X</v>
      </c>
      <c r="O26" s="42"/>
      <c r="P26" s="8" t="s">
        <v>291</v>
      </c>
    </row>
    <row r="27" spans="1:16" s="11" customFormat="1" ht="38.25" x14ac:dyDescent="0.25">
      <c r="A27" s="6" t="s">
        <v>24</v>
      </c>
      <c r="B27" s="42" t="str">
        <f>VLOOKUP(Ueberblick4[[#This Row],[Bottom-Up-Abschätzung]],Dropdown!$A$2:$D$4,4,FALSE)</f>
        <v>-</v>
      </c>
      <c r="C27" s="42" t="str">
        <f>VLOOKUP(Ueberblick4[[#This Row],[Top-Down-Abschätzung]],Dropdown!$A$2:$D$4,4,FALSE)</f>
        <v>X</v>
      </c>
      <c r="D27" s="42" t="str">
        <f>VLOOKUP(Ueberblick4[[#This Row],[Kosten-Potenzial-Kurven]],Dropdown!$A$2:$D$4,4,FALSE)</f>
        <v>-</v>
      </c>
      <c r="E27" s="42" t="str">
        <f>VLOOKUP(Ueberblick4[[#This Row],[Analyse mehrerer Szenarien]],Dropdown!$A$2:$D$4,4,FALSE)</f>
        <v>X</v>
      </c>
      <c r="F27" s="42" t="str">
        <f>VLOOKUP(Ueberblick4[[#This Row],[Untersuchung von Fehlermaßen]],Dropdown!$A$2:$D$4,4,FALSE)</f>
        <v>-</v>
      </c>
      <c r="G27" s="42" t="str">
        <f>Ueberblick[[#This Row],[Quellen Methodik]]</f>
        <v>8-10; 26-28; 38</v>
      </c>
      <c r="H27" s="42" t="str">
        <f>VLOOKUP(Ueberblick4[[#This Row],[Literaturanalyse]],Dropdown!$A$2:$D$4,4,FALSE)</f>
        <v>X</v>
      </c>
      <c r="I27" s="42" t="str">
        <f>VLOOKUP(Ueberblick4[[#This Row],[Auswertung von Statistiken]],Dropdown!$A$2:$D$4,4,FALSE)</f>
        <v>X</v>
      </c>
      <c r="J27" s="42" t="str">
        <f>VLOOKUP(Ueberblick4[[#This Row],[Expertenabschätzungen]],Dropdown!$A$2:$D$4,4,FALSE)</f>
        <v>-</v>
      </c>
      <c r="K27" s="42" t="str">
        <f>VLOOKUP(Ueberblick4[[#This Row],[(Online-)Umfragen]],Dropdown!$A$2:$D$4,4,FALSE)</f>
        <v>-</v>
      </c>
      <c r="L27" s="42" t="str">
        <f>VLOOKUP(Ueberblick4[[#This Row],[Unternehmensbefragungen]],Dropdown!$A$2:$D$4,4,FALSE)</f>
        <v>-</v>
      </c>
      <c r="M27" s="42" t="str">
        <f>VLOOKUP(Ueberblick4[[#This Row],[eigene Annahmen]],Dropdown!$A$2:$D$4,4,FALSE)</f>
        <v>X</v>
      </c>
      <c r="N27" s="42" t="str">
        <f>VLOOKUP(Ueberblick4[[#This Row],[eigene Erhebungen]],Dropdown!$A$2:$D$4,4,FALSE)</f>
        <v>-</v>
      </c>
      <c r="O27" s="42" t="s">
        <v>249</v>
      </c>
      <c r="P27" s="8" t="s">
        <v>250</v>
      </c>
    </row>
    <row r="28" spans="1:16" x14ac:dyDescent="0.25">
      <c r="A28" s="18" t="s">
        <v>854</v>
      </c>
      <c r="B28" s="44">
        <f>Ueberblick4[[#Totals],[Bottom-Up-Abschätzung]]</f>
        <v>22</v>
      </c>
      <c r="C28" s="44">
        <f>Ueberblick4[[#Totals],[Top-Down-Abschätzung]]</f>
        <v>25</v>
      </c>
      <c r="D28" s="44">
        <f>Ueberblick4[[#Totals],[Kosten-Potenzial-Kurven]]</f>
        <v>5</v>
      </c>
      <c r="E28" s="44">
        <f>Ueberblick4[[#Totals],[Analyse mehrerer Szenarien]]</f>
        <v>11.5</v>
      </c>
      <c r="F28" s="44">
        <f>Ueberblick4[[#Totals],[Untersuchung von Fehlermaßen]]</f>
        <v>2</v>
      </c>
      <c r="G28" s="44"/>
      <c r="H28" s="44">
        <f>Ueberblick4[[#Totals],[Literaturanalyse]]</f>
        <v>24</v>
      </c>
      <c r="I28" s="44">
        <f>Ueberblick4[[#Totals],[Auswertung von Statistiken]]</f>
        <v>18.5</v>
      </c>
      <c r="J28" s="44">
        <f>Ueberblick4[[#Totals],[Expertenabschätzungen]]</f>
        <v>6</v>
      </c>
      <c r="K28" s="44">
        <f>Ueberblick4[[#Totals],[(Online-)Umfragen]]</f>
        <v>3</v>
      </c>
      <c r="L28" s="44">
        <f>Ueberblick4[[#Totals],[Unternehmensbefragungen]]</f>
        <v>9.5</v>
      </c>
      <c r="M28" s="44">
        <f>Ueberblick4[[#Totals],[eigene Annahmen]]</f>
        <v>19.5</v>
      </c>
      <c r="N28" s="44">
        <f>Ueberblick4[[#Totals],[eigene Erhebungen]]</f>
        <v>3.5</v>
      </c>
      <c r="O28" s="17"/>
      <c r="P28" s="17"/>
    </row>
    <row r="29" spans="1:16" x14ac:dyDescent="0.25">
      <c r="G29" s="7"/>
    </row>
    <row r="30" spans="1:16" x14ac:dyDescent="0.25">
      <c r="G30" s="7"/>
    </row>
    <row r="31" spans="1:16" x14ac:dyDescent="0.25">
      <c r="G31" s="7"/>
    </row>
    <row r="32" spans="1:16" x14ac:dyDescent="0.25">
      <c r="G32" s="7"/>
    </row>
    <row r="33" spans="7:7" x14ac:dyDescent="0.25">
      <c r="G33" s="7"/>
    </row>
    <row r="34" spans="7:7" x14ac:dyDescent="0.25">
      <c r="G34" s="7"/>
    </row>
    <row r="35" spans="7:7" x14ac:dyDescent="0.25">
      <c r="G35" s="7"/>
    </row>
    <row r="36" spans="7:7" x14ac:dyDescent="0.25">
      <c r="G36" s="7"/>
    </row>
    <row r="37" spans="7:7" x14ac:dyDescent="0.25">
      <c r="G37" s="7"/>
    </row>
    <row r="38" spans="7:7" x14ac:dyDescent="0.25">
      <c r="G38" s="7"/>
    </row>
    <row r="39" spans="7:7" x14ac:dyDescent="0.25">
      <c r="G39" s="7"/>
    </row>
    <row r="40" spans="7:7" x14ac:dyDescent="0.25">
      <c r="G40" s="7"/>
    </row>
    <row r="41" spans="7:7" x14ac:dyDescent="0.25">
      <c r="G41" s="7"/>
    </row>
    <row r="42" spans="7:7" x14ac:dyDescent="0.25">
      <c r="G42" s="7"/>
    </row>
    <row r="43" spans="7:7" x14ac:dyDescent="0.25">
      <c r="G43" s="7"/>
    </row>
    <row r="44" spans="7:7" x14ac:dyDescent="0.25">
      <c r="G44" s="7"/>
    </row>
    <row r="45" spans="7:7" x14ac:dyDescent="0.25">
      <c r="G45" s="7"/>
    </row>
    <row r="46" spans="7:7" x14ac:dyDescent="0.25">
      <c r="G46" s="7"/>
    </row>
    <row r="47" spans="7:7" x14ac:dyDescent="0.25">
      <c r="G47" s="7"/>
    </row>
    <row r="48" spans="7:7"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sheetData>
  <pageMargins left="0.7" right="0.7" top="0.78740157499999996" bottom="0.78740157499999996" header="0.3" footer="0.3"/>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D2139-7876-4DFE-80E8-64E566E6683A}">
  <sheetPr codeName="Tabelle9">
    <tabColor theme="5" tint="0.79998168889431442"/>
  </sheetPr>
  <dimension ref="A1:B25"/>
  <sheetViews>
    <sheetView workbookViewId="0">
      <selection activeCell="B6" sqref="B6"/>
    </sheetView>
  </sheetViews>
  <sheetFormatPr baseColWidth="10" defaultColWidth="11" defaultRowHeight="14.25" x14ac:dyDescent="0.2"/>
  <cols>
    <col min="1" max="1" width="63.375" style="1" customWidth="1"/>
    <col min="2" max="2" width="27.625" style="1" customWidth="1"/>
    <col min="3" max="16384" width="11" style="1"/>
  </cols>
  <sheetData>
    <row r="1" spans="1:2" ht="15" x14ac:dyDescent="0.25">
      <c r="A1" s="2" t="s">
        <v>857</v>
      </c>
      <c r="B1" s="2" t="s">
        <v>872</v>
      </c>
    </row>
    <row r="2" spans="1:2" x14ac:dyDescent="0.2">
      <c r="A2" s="1" t="s">
        <v>799</v>
      </c>
      <c r="B2" s="1">
        <v>1</v>
      </c>
    </row>
    <row r="3" spans="1:2" x14ac:dyDescent="0.2">
      <c r="A3" s="1" t="s">
        <v>963</v>
      </c>
      <c r="B3" s="1">
        <v>1</v>
      </c>
    </row>
    <row r="4" spans="1:2" x14ac:dyDescent="0.2">
      <c r="A4" s="1" t="s">
        <v>1028</v>
      </c>
      <c r="B4" s="1">
        <v>2</v>
      </c>
    </row>
    <row r="5" spans="1:2" x14ac:dyDescent="0.2">
      <c r="A5" s="1" t="s">
        <v>1033</v>
      </c>
      <c r="B5" s="1">
        <v>3</v>
      </c>
    </row>
    <row r="6" spans="1:2" x14ac:dyDescent="0.2">
      <c r="A6" s="1" t="s">
        <v>1026</v>
      </c>
      <c r="B6" s="1">
        <v>3</v>
      </c>
    </row>
    <row r="7" spans="1:2" x14ac:dyDescent="0.2">
      <c r="A7" s="1" t="s">
        <v>1037</v>
      </c>
      <c r="B7" s="1">
        <v>3</v>
      </c>
    </row>
    <row r="8" spans="1:2" x14ac:dyDescent="0.2">
      <c r="A8" s="1" t="s">
        <v>1021</v>
      </c>
      <c r="B8" s="1">
        <v>4</v>
      </c>
    </row>
    <row r="9" spans="1:2" x14ac:dyDescent="0.2">
      <c r="A9" s="1" t="s">
        <v>1030</v>
      </c>
      <c r="B9" s="1">
        <v>4</v>
      </c>
    </row>
    <row r="10" spans="1:2" x14ac:dyDescent="0.2">
      <c r="A10" s="1" t="s">
        <v>1034</v>
      </c>
      <c r="B10" s="1">
        <v>4</v>
      </c>
    </row>
    <row r="11" spans="1:2" x14ac:dyDescent="0.2">
      <c r="A11" s="1" t="s">
        <v>1035</v>
      </c>
      <c r="B11" s="1">
        <v>4</v>
      </c>
    </row>
    <row r="12" spans="1:2" x14ac:dyDescent="0.2">
      <c r="A12" s="1" t="s">
        <v>1025</v>
      </c>
      <c r="B12" s="1">
        <v>5</v>
      </c>
    </row>
    <row r="13" spans="1:2" x14ac:dyDescent="0.2">
      <c r="A13" s="1" t="s">
        <v>1024</v>
      </c>
      <c r="B13" s="1">
        <v>6</v>
      </c>
    </row>
    <row r="14" spans="1:2" x14ac:dyDescent="0.2">
      <c r="A14" s="1" t="s">
        <v>1040</v>
      </c>
      <c r="B14" s="1">
        <v>6</v>
      </c>
    </row>
    <row r="15" spans="1:2" x14ac:dyDescent="0.2">
      <c r="A15" s="1" t="s">
        <v>389</v>
      </c>
      <c r="B15" s="1">
        <v>7</v>
      </c>
    </row>
    <row r="16" spans="1:2" x14ac:dyDescent="0.2">
      <c r="A16" s="1" t="s">
        <v>1027</v>
      </c>
      <c r="B16" s="1">
        <v>8</v>
      </c>
    </row>
    <row r="17" spans="1:2" x14ac:dyDescent="0.2">
      <c r="A17" s="1" t="s">
        <v>931</v>
      </c>
      <c r="B17" s="1">
        <v>9</v>
      </c>
    </row>
    <row r="18" spans="1:2" x14ac:dyDescent="0.2">
      <c r="A18" s="1" t="s">
        <v>1039</v>
      </c>
      <c r="B18" s="1">
        <v>11</v>
      </c>
    </row>
    <row r="19" spans="1:2" x14ac:dyDescent="0.2">
      <c r="A19" s="1" t="s">
        <v>1023</v>
      </c>
      <c r="B19" s="1" t="s">
        <v>1043</v>
      </c>
    </row>
    <row r="20" spans="1:2" x14ac:dyDescent="0.2">
      <c r="A20" s="1" t="s">
        <v>1029</v>
      </c>
      <c r="B20" s="1" t="s">
        <v>1043</v>
      </c>
    </row>
    <row r="21" spans="1:2" x14ac:dyDescent="0.2">
      <c r="A21" s="1" t="s">
        <v>1036</v>
      </c>
      <c r="B21" s="1" t="s">
        <v>1043</v>
      </c>
    </row>
    <row r="22" spans="1:2" x14ac:dyDescent="0.2">
      <c r="A22" s="1" t="s">
        <v>1022</v>
      </c>
      <c r="B22" s="1" t="s">
        <v>1042</v>
      </c>
    </row>
    <row r="23" spans="1:2" x14ac:dyDescent="0.2">
      <c r="A23" s="1" t="s">
        <v>1031</v>
      </c>
      <c r="B23" s="1" t="s">
        <v>1042</v>
      </c>
    </row>
    <row r="24" spans="1:2" x14ac:dyDescent="0.2">
      <c r="A24" s="1" t="s">
        <v>1032</v>
      </c>
      <c r="B24" s="1" t="s">
        <v>1041</v>
      </c>
    </row>
    <row r="25" spans="1:2" x14ac:dyDescent="0.2">
      <c r="A25" s="1" t="s">
        <v>1038</v>
      </c>
      <c r="B25" s="1" t="s">
        <v>1041</v>
      </c>
    </row>
  </sheetData>
  <pageMargins left="0.7" right="0.7" top="0.78740157499999996" bottom="0.78740157499999996"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62</vt:i4>
      </vt:variant>
    </vt:vector>
  </HeadingPairs>
  <TitlesOfParts>
    <vt:vector size="62" baseType="lpstr">
      <vt:lpstr>Dokumentation</vt:lpstr>
      <vt:lpstr>Inhalt</vt:lpstr>
      <vt:lpstr>Dokumentation_Methode</vt:lpstr>
      <vt:lpstr>Gesamtueberblick</vt:lpstr>
      <vt:lpstr>00_Ueberblick_Biografie</vt:lpstr>
      <vt:lpstr>00_Zuordnung_Publikation_Nummer</vt:lpstr>
      <vt:lpstr>01_Methode_Daten_kodiert</vt:lpstr>
      <vt:lpstr>01_Methode_Daten_AUSW</vt:lpstr>
      <vt:lpstr>02_Ind_QST_Urliste</vt:lpstr>
      <vt:lpstr>02_GHD_QST-Branchen_Urliste</vt:lpstr>
      <vt:lpstr>02_HaHa_Urliste</vt:lpstr>
      <vt:lpstr>01_Methode_Daten_AUSW_NR</vt:lpstr>
      <vt:lpstr>01_Annahmen_Kategorien</vt:lpstr>
      <vt:lpstr>01_Annahmen_Urliste</vt:lpstr>
      <vt:lpstr>01_Annahmen_Daten_kodiert</vt:lpstr>
      <vt:lpstr>01_Annahmen_Daten_AUSW</vt:lpstr>
      <vt:lpstr>01_Annahmen_Daten_AUSW_NR</vt:lpstr>
      <vt:lpstr>01_Datenbasis_Kategorien</vt:lpstr>
      <vt:lpstr>01_Datenbasis_Urliste</vt:lpstr>
      <vt:lpstr>01_Datenbasis_kodiert</vt:lpstr>
      <vt:lpstr>01_Datenbasis_AUSW</vt:lpstr>
      <vt:lpstr>01_Datenbasis_AUSW_NR</vt:lpstr>
      <vt:lpstr>01_Folgeanalyse_kodiert</vt:lpstr>
      <vt:lpstr>01_Folgeanalyse_AUSW</vt:lpstr>
      <vt:lpstr>01_Folgeanalyse_AUSW_NR</vt:lpstr>
      <vt:lpstr>01_Zitationsanalyse_kodiert</vt:lpstr>
      <vt:lpstr>02_Ind_QST_Kategorien</vt:lpstr>
      <vt:lpstr>02_GHD_QST-Branchen_Kategorien</vt:lpstr>
      <vt:lpstr>02_HaHa_Kategorien</vt:lpstr>
      <vt:lpstr>02_Ind_Prozesse_Kategorien</vt:lpstr>
      <vt:lpstr>02_Ind_Prozesse_Urliste</vt:lpstr>
      <vt:lpstr>02_Ind_Prozesse_kodiert</vt:lpstr>
      <vt:lpstr>02_Ind_Prozesse_AUSW</vt:lpstr>
      <vt:lpstr>02_Ind_Prozesse_AUSW_NR</vt:lpstr>
      <vt:lpstr>02_Ind_Prozesseignung_kodiert</vt:lpstr>
      <vt:lpstr>02_Ind_QST_kodiert</vt:lpstr>
      <vt:lpstr>02_Ind_QST_AUSW</vt:lpstr>
      <vt:lpstr>02_Ind_QST_AUSW_NR</vt:lpstr>
      <vt:lpstr>02_GHD_QST-Branchen_kodiert</vt:lpstr>
      <vt:lpstr>02_GHD_QST-Branchen_AUSW</vt:lpstr>
      <vt:lpstr>02_GHD_QST-Branchen_AUSW_NR</vt:lpstr>
      <vt:lpstr>02_HaHa_kodiert</vt:lpstr>
      <vt:lpstr>02_HaHa_AUSW</vt:lpstr>
      <vt:lpstr>02_HaHa_AUSW_NR</vt:lpstr>
      <vt:lpstr>03_Flexparameter_kodiert</vt:lpstr>
      <vt:lpstr>03_Flexparameter_AUSW</vt:lpstr>
      <vt:lpstr>03_Flexparameter_AUSW_NR</vt:lpstr>
      <vt:lpstr>03_Zeitverfuegbarkeit_kodiert</vt:lpstr>
      <vt:lpstr>03_Zeitverfuegbarkeit_AUSW</vt:lpstr>
      <vt:lpstr>03_Zeitverfuegbarkeit_AUSW_NR</vt:lpstr>
      <vt:lpstr>04_Potenzialbegriff_kodiert</vt:lpstr>
      <vt:lpstr>04_Potenzialbegriff_AUSW</vt:lpstr>
      <vt:lpstr>04_Potenzialbegriff_AUSW_NR</vt:lpstr>
      <vt:lpstr>05_Betrachtungshorizont_kodiert</vt:lpstr>
      <vt:lpstr>05_Betrachtungshorizont_AUSW</vt:lpstr>
      <vt:lpstr>05_Betrachtungshorizont_AUSW_NR</vt:lpstr>
      <vt:lpstr>05_Basisjahr_kodiert</vt:lpstr>
      <vt:lpstr>05_Basisjahr_AUSW</vt:lpstr>
      <vt:lpstr>05_Basisjahr_AUSW_NR</vt:lpstr>
      <vt:lpstr>Dropdown</vt:lpstr>
      <vt:lpstr>Auswertung_Flexpotenziale</vt:lpstr>
      <vt:lpstr>EnArgus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Office-Benutzer</dc:creator>
  <cp:lastModifiedBy>Kochems, Johannes</cp:lastModifiedBy>
  <cp:lastPrinted>2018-12-29T15:22:15Z</cp:lastPrinted>
  <dcterms:created xsi:type="dcterms:W3CDTF">2018-11-21T10:34:38Z</dcterms:created>
  <dcterms:modified xsi:type="dcterms:W3CDTF">2023-12-07T11:09:00Z</dcterms:modified>
</cp:coreProperties>
</file>