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3.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4.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5.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6.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7.xml" ContentType="application/vnd.openxmlformats-officedocument.spreadsheetml.comments+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ED7B82A4-A46A-4847-AC69-B8F44975F231}" xr6:coauthVersionLast="36" xr6:coauthVersionMax="44" xr10:uidLastSave="{00000000-0000-0000-0000-000000000000}"/>
  <bookViews>
    <workbookView xWindow="-120" yWindow="-120" windowWidth="29040" windowHeight="15840" tabRatio="778"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3" i="24"/>
  <c r="A34" i="24"/>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2" i="24"/>
  <c r="T34" i="30"/>
  <c r="S34" i="30"/>
  <c r="R34" i="30"/>
  <c r="Q34" i="30"/>
  <c r="P34" i="30"/>
  <c r="O34" i="30"/>
  <c r="N34" i="30"/>
  <c r="M34" i="30"/>
  <c r="L34" i="30"/>
  <c r="K34" i="30"/>
  <c r="J34" i="30"/>
  <c r="I34" i="30"/>
  <c r="H34" i="30"/>
  <c r="G34" i="30"/>
  <c r="F34" i="30"/>
  <c r="E34" i="30"/>
  <c r="D34" i="30"/>
  <c r="C34" i="30"/>
  <c r="B34" i="30"/>
  <c r="A32" i="30"/>
  <c r="A33"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2" i="30"/>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2" i="25"/>
  <c r="C34" i="25"/>
  <c r="D34" i="25"/>
  <c r="E34" i="25"/>
  <c r="F34" i="25"/>
  <c r="G34" i="25"/>
  <c r="H34" i="25"/>
  <c r="I34" i="25"/>
  <c r="J34" i="25"/>
  <c r="K34" i="25"/>
  <c r="L34" i="25"/>
  <c r="M34" i="25"/>
  <c r="N34" i="25"/>
  <c r="O34" i="25"/>
  <c r="P34" i="25"/>
  <c r="Q34" i="25"/>
  <c r="R34" i="25"/>
  <c r="S34" i="25"/>
  <c r="T34" i="25"/>
  <c r="U34" i="25"/>
  <c r="V34" i="25"/>
  <c r="W34" i="25"/>
  <c r="X34" i="25"/>
  <c r="Y34" i="25"/>
  <c r="Z34" i="25"/>
  <c r="AA34" i="25"/>
  <c r="AB34" i="25"/>
  <c r="AC34" i="25"/>
  <c r="B34"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AC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AC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AC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AC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AC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AC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AC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AC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AC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AC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AC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AC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AC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AC26" i="25"/>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AC27" i="25"/>
  <c r="C28"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C29" i="25"/>
  <c r="D29" i="25"/>
  <c r="E29" i="25"/>
  <c r="F29" i="25"/>
  <c r="G29" i="25"/>
  <c r="H29" i="25"/>
  <c r="I29" i="25"/>
  <c r="J29" i="25"/>
  <c r="K29" i="25"/>
  <c r="L29" i="25"/>
  <c r="M29" i="25"/>
  <c r="N29" i="25"/>
  <c r="O29" i="25"/>
  <c r="P29" i="25"/>
  <c r="Q29" i="25"/>
  <c r="R29" i="25"/>
  <c r="S29" i="25"/>
  <c r="T29" i="25"/>
  <c r="U29" i="25"/>
  <c r="V29" i="25"/>
  <c r="W29" i="25"/>
  <c r="X29" i="25"/>
  <c r="Y29" i="25"/>
  <c r="Z29" i="25"/>
  <c r="AA29" i="25"/>
  <c r="AB29" i="25"/>
  <c r="AC29" i="25"/>
  <c r="C30" i="25"/>
  <c r="D30" i="25"/>
  <c r="E30" i="25"/>
  <c r="F30" i="25"/>
  <c r="G30" i="25"/>
  <c r="H30" i="25"/>
  <c r="I30" i="25"/>
  <c r="J30" i="25"/>
  <c r="K30" i="25"/>
  <c r="L30" i="25"/>
  <c r="M30" i="25"/>
  <c r="N30" i="25"/>
  <c r="O30" i="25"/>
  <c r="P30" i="25"/>
  <c r="Q30" i="25"/>
  <c r="R30" i="25"/>
  <c r="S30" i="25"/>
  <c r="T30" i="25"/>
  <c r="U30" i="25"/>
  <c r="V30" i="25"/>
  <c r="W30" i="25"/>
  <c r="X30" i="25"/>
  <c r="Y30" i="25"/>
  <c r="Z30" i="25"/>
  <c r="AA30" i="25"/>
  <c r="AB30" i="25"/>
  <c r="AC30" i="25"/>
  <c r="C31" i="25"/>
  <c r="D31" i="25"/>
  <c r="E31" i="25"/>
  <c r="F31" i="25"/>
  <c r="G31" i="25"/>
  <c r="H31" i="25"/>
  <c r="I31" i="25"/>
  <c r="J31" i="25"/>
  <c r="K31" i="25"/>
  <c r="L31" i="25"/>
  <c r="M31" i="25"/>
  <c r="N31" i="25"/>
  <c r="O31" i="25"/>
  <c r="P31" i="25"/>
  <c r="Q31" i="25"/>
  <c r="R31" i="25"/>
  <c r="S31" i="25"/>
  <c r="T31" i="25"/>
  <c r="U31" i="25"/>
  <c r="V31" i="25"/>
  <c r="W31" i="25"/>
  <c r="X31" i="25"/>
  <c r="Y31" i="25"/>
  <c r="Z31" i="25"/>
  <c r="AA31" i="25"/>
  <c r="AB31" i="25"/>
  <c r="AC31" i="25"/>
  <c r="C32" i="25"/>
  <c r="D32" i="25"/>
  <c r="E32" i="25"/>
  <c r="F32" i="25"/>
  <c r="G32" i="25"/>
  <c r="H32" i="25"/>
  <c r="I32" i="25"/>
  <c r="J32" i="25"/>
  <c r="K32" i="25"/>
  <c r="L32" i="25"/>
  <c r="M32" i="25"/>
  <c r="N32" i="25"/>
  <c r="O32" i="25"/>
  <c r="P32" i="25"/>
  <c r="Q32" i="25"/>
  <c r="R32" i="25"/>
  <c r="S32" i="25"/>
  <c r="T32" i="25"/>
  <c r="U32" i="25"/>
  <c r="V32" i="25"/>
  <c r="W32" i="25"/>
  <c r="X32" i="25"/>
  <c r="Y32" i="25"/>
  <c r="Z32" i="25"/>
  <c r="AA32" i="25"/>
  <c r="AB32" i="25"/>
  <c r="AC32" i="25"/>
  <c r="C33"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C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2" i="25"/>
  <c r="C34" i="29"/>
  <c r="D34" i="29"/>
  <c r="E34" i="29"/>
  <c r="F34" i="29"/>
  <c r="G34" i="29"/>
  <c r="H34" i="29"/>
  <c r="I34" i="29"/>
  <c r="J34" i="29"/>
  <c r="K34" i="29"/>
  <c r="L34" i="29"/>
  <c r="M34" i="29"/>
  <c r="N34" i="29"/>
  <c r="O34" i="29"/>
  <c r="P34" i="29"/>
  <c r="Q34" i="29"/>
  <c r="R34" i="29"/>
  <c r="S34" i="29"/>
  <c r="T34" i="29"/>
  <c r="U34" i="29"/>
  <c r="V34" i="29"/>
  <c r="W34" i="29"/>
  <c r="X34" i="29"/>
  <c r="Y34" i="29"/>
  <c r="Z34" i="29"/>
  <c r="AA34" i="29"/>
  <c r="AB34" i="29"/>
  <c r="AC34" i="29"/>
  <c r="B34" i="29"/>
  <c r="A28" i="29"/>
  <c r="A29" i="29"/>
  <c r="A30" i="29"/>
  <c r="A31" i="29"/>
  <c r="A32" i="29"/>
  <c r="A33" i="29"/>
  <c r="A3" i="29"/>
  <c r="A4" i="29"/>
  <c r="A5" i="29"/>
  <c r="A6" i="29"/>
  <c r="A7" i="29"/>
  <c r="A8" i="29"/>
  <c r="A9" i="29"/>
  <c r="A10" i="29"/>
  <c r="A11" i="29"/>
  <c r="A12" i="29"/>
  <c r="A13" i="29"/>
  <c r="A14" i="29"/>
  <c r="A15" i="29"/>
  <c r="A16" i="29"/>
  <c r="A17" i="29"/>
  <c r="A18" i="29"/>
  <c r="A19" i="29"/>
  <c r="A20" i="29"/>
  <c r="A21" i="29"/>
  <c r="A22" i="29"/>
  <c r="A23" i="29"/>
  <c r="A24" i="29"/>
  <c r="A25" i="29"/>
  <c r="A26" i="29"/>
  <c r="A27" i="29"/>
  <c r="A2" i="29"/>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2" i="26"/>
  <c r="A33" i="26"/>
  <c r="A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2" i="26"/>
  <c r="C34" i="28"/>
  <c r="D34" i="28"/>
  <c r="E34" i="28"/>
  <c r="F34" i="28"/>
  <c r="G34" i="28"/>
  <c r="H34" i="28"/>
  <c r="I34" i="28"/>
  <c r="J34" i="28"/>
  <c r="K34" i="28"/>
  <c r="L34" i="28"/>
  <c r="M34" i="28"/>
  <c r="B34" i="28"/>
  <c r="A28" i="28"/>
  <c r="A29" i="28"/>
  <c r="A30" i="28"/>
  <c r="A31" i="28"/>
  <c r="A32" i="28"/>
  <c r="A33" i="28"/>
  <c r="A3" i="28"/>
  <c r="A4" i="28"/>
  <c r="A5" i="28"/>
  <c r="A6" i="28"/>
  <c r="A7" i="28"/>
  <c r="A8" i="28"/>
  <c r="A9" i="28"/>
  <c r="A10" i="28"/>
  <c r="A11" i="28"/>
  <c r="A12" i="28"/>
  <c r="A13" i="28"/>
  <c r="A14" i="28"/>
  <c r="A15" i="28"/>
  <c r="A16" i="28"/>
  <c r="A17" i="28"/>
  <c r="A18" i="28"/>
  <c r="A19" i="28"/>
  <c r="A20" i="28"/>
  <c r="A21" i="28"/>
  <c r="A22" i="28"/>
  <c r="A23" i="28"/>
  <c r="A24" i="28"/>
  <c r="A25" i="28"/>
  <c r="A26" i="28"/>
  <c r="A27" i="28"/>
  <c r="A2" i="28"/>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B27" i="11"/>
  <c r="C27" i="11"/>
  <c r="D27" i="11"/>
  <c r="E27" i="11"/>
  <c r="F27" i="11"/>
  <c r="G27" i="11"/>
  <c r="H27" i="11"/>
  <c r="I27" i="11"/>
  <c r="J27" i="11"/>
  <c r="K27" i="11"/>
  <c r="L27" i="11"/>
  <c r="M27" i="11"/>
  <c r="N27" i="11"/>
  <c r="O27" i="11"/>
  <c r="P27" i="11"/>
  <c r="Q27" i="11"/>
  <c r="R27" i="11"/>
  <c r="S27" i="11"/>
  <c r="T27" i="11"/>
  <c r="U27" i="11"/>
  <c r="V27" i="11"/>
  <c r="W27" i="11"/>
  <c r="X27" i="11"/>
  <c r="Y27" i="11"/>
  <c r="Z27" i="11"/>
  <c r="B28" i="11"/>
  <c r="C28" i="11"/>
  <c r="D28" i="11"/>
  <c r="E28" i="11"/>
  <c r="F28" i="11"/>
  <c r="G28" i="11"/>
  <c r="H28" i="11"/>
  <c r="I28" i="11"/>
  <c r="J28" i="11"/>
  <c r="K28" i="11"/>
  <c r="L28" i="11"/>
  <c r="M28" i="11"/>
  <c r="N28" i="11"/>
  <c r="O28" i="11"/>
  <c r="P28" i="11"/>
  <c r="Q28" i="11"/>
  <c r="R28" i="11"/>
  <c r="S28" i="11"/>
  <c r="T28" i="11"/>
  <c r="U28" i="11"/>
  <c r="V28" i="11"/>
  <c r="W28" i="11"/>
  <c r="X28" i="11"/>
  <c r="Y28" i="11"/>
  <c r="Z28" i="11"/>
  <c r="B29" i="11"/>
  <c r="C29" i="11"/>
  <c r="D29" i="11"/>
  <c r="E29" i="11"/>
  <c r="F29" i="11"/>
  <c r="G29" i="11"/>
  <c r="H29" i="11"/>
  <c r="I29" i="11"/>
  <c r="J29" i="11"/>
  <c r="K29" i="11"/>
  <c r="L29" i="11"/>
  <c r="M29" i="11"/>
  <c r="N29" i="11"/>
  <c r="O29" i="11"/>
  <c r="P29" i="11"/>
  <c r="Q29" i="11"/>
  <c r="R29" i="11"/>
  <c r="S29" i="11"/>
  <c r="T29" i="11"/>
  <c r="U29" i="11"/>
  <c r="V29" i="11"/>
  <c r="W29" i="11"/>
  <c r="X29" i="11"/>
  <c r="Y29" i="11"/>
  <c r="Z29" i="11"/>
  <c r="B30" i="11"/>
  <c r="C30" i="11"/>
  <c r="D30" i="11"/>
  <c r="E30" i="11"/>
  <c r="F30" i="11"/>
  <c r="G30" i="11"/>
  <c r="H30" i="11"/>
  <c r="I30" i="11"/>
  <c r="J30" i="11"/>
  <c r="K30" i="11"/>
  <c r="L30" i="11"/>
  <c r="M30" i="11"/>
  <c r="N30" i="11"/>
  <c r="O30" i="11"/>
  <c r="P30" i="11"/>
  <c r="Q30" i="11"/>
  <c r="R30" i="11"/>
  <c r="S30" i="11"/>
  <c r="T30" i="11"/>
  <c r="U30" i="11"/>
  <c r="V30" i="11"/>
  <c r="W30" i="11"/>
  <c r="X30" i="11"/>
  <c r="Y30" i="11"/>
  <c r="Z30" i="11"/>
  <c r="B31" i="11"/>
  <c r="C31" i="11"/>
  <c r="D31" i="11"/>
  <c r="E31" i="11"/>
  <c r="F31" i="11"/>
  <c r="G31" i="11"/>
  <c r="H31" i="11"/>
  <c r="I31" i="11"/>
  <c r="J31" i="11"/>
  <c r="K31" i="11"/>
  <c r="L31" i="11"/>
  <c r="M31" i="11"/>
  <c r="N31" i="11"/>
  <c r="O31" i="11"/>
  <c r="P31" i="11"/>
  <c r="Q31" i="11"/>
  <c r="R31" i="11"/>
  <c r="S31" i="11"/>
  <c r="T31" i="11"/>
  <c r="U31" i="11"/>
  <c r="V31" i="11"/>
  <c r="W31" i="11"/>
  <c r="X31" i="11"/>
  <c r="Y31" i="11"/>
  <c r="Z31" i="11"/>
  <c r="B32" i="11"/>
  <c r="C32" i="11"/>
  <c r="D32" i="11"/>
  <c r="E32" i="11"/>
  <c r="F32" i="11"/>
  <c r="G32" i="11"/>
  <c r="H32" i="11"/>
  <c r="I32" i="11"/>
  <c r="J32" i="11"/>
  <c r="K32" i="11"/>
  <c r="L32" i="11"/>
  <c r="M32" i="11"/>
  <c r="N32" i="11"/>
  <c r="O32" i="11"/>
  <c r="P32" i="11"/>
  <c r="Q32" i="11"/>
  <c r="R32" i="11"/>
  <c r="S32" i="11"/>
  <c r="T32" i="11"/>
  <c r="U32" i="11"/>
  <c r="V32" i="11"/>
  <c r="W32" i="11"/>
  <c r="X32" i="11"/>
  <c r="Y32" i="11"/>
  <c r="Z32" i="11"/>
  <c r="B33" i="11"/>
  <c r="C33" i="11"/>
  <c r="D33" i="11"/>
  <c r="E33" i="11"/>
  <c r="F33" i="11"/>
  <c r="G33" i="11"/>
  <c r="H33" i="11"/>
  <c r="I33" i="11"/>
  <c r="J33" i="11"/>
  <c r="K33" i="11"/>
  <c r="L33" i="11"/>
  <c r="M33" i="11"/>
  <c r="N33" i="11"/>
  <c r="O33" i="11"/>
  <c r="P33" i="11"/>
  <c r="Q33" i="11"/>
  <c r="R33" i="11"/>
  <c r="S33" i="11"/>
  <c r="T33" i="11"/>
  <c r="U33" i="11"/>
  <c r="V33" i="11"/>
  <c r="W33" i="11"/>
  <c r="X33" i="11"/>
  <c r="Y33" i="11"/>
  <c r="Z33" i="11"/>
  <c r="C34" i="11"/>
  <c r="D34" i="11"/>
  <c r="E34" i="11"/>
  <c r="F34" i="11"/>
  <c r="G34" i="11"/>
  <c r="H34" i="11"/>
  <c r="I34" i="11"/>
  <c r="J34" i="11"/>
  <c r="K34" i="11"/>
  <c r="L34" i="11"/>
  <c r="M34" i="11"/>
  <c r="N34" i="11"/>
  <c r="O34" i="11"/>
  <c r="P34" i="11"/>
  <c r="Q34" i="11"/>
  <c r="R34" i="11"/>
  <c r="S34" i="11"/>
  <c r="T34" i="11"/>
  <c r="U34" i="11"/>
  <c r="V34" i="11"/>
  <c r="W34" i="11"/>
  <c r="X34" i="11"/>
  <c r="Y34" i="11"/>
  <c r="Z34" i="11"/>
  <c r="B34"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2" i="11"/>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B34" i="27"/>
  <c r="A33" i="27"/>
  <c r="A32" i="27"/>
  <c r="A31" i="27"/>
  <c r="A30" i="27"/>
  <c r="A29" i="27"/>
  <c r="A28" i="27"/>
  <c r="A27" i="27"/>
  <c r="A3" i="27"/>
  <c r="A4" i="27"/>
  <c r="A5" i="27"/>
  <c r="A6" i="27"/>
  <c r="A7" i="27"/>
  <c r="A8" i="27"/>
  <c r="A9" i="27"/>
  <c r="A10" i="27"/>
  <c r="A11" i="27"/>
  <c r="A12" i="27"/>
  <c r="A13" i="27"/>
  <c r="A14" i="27"/>
  <c r="A15" i="27"/>
  <c r="A16" i="27"/>
  <c r="A17" i="27"/>
  <c r="A18" i="27"/>
  <c r="A19" i="27"/>
  <c r="A20" i="27"/>
  <c r="A21" i="27"/>
  <c r="A22" i="27"/>
  <c r="A23" i="27"/>
  <c r="A24" i="27"/>
  <c r="A25" i="27"/>
  <c r="A26" i="27"/>
  <c r="A2" i="27"/>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 i="42"/>
  <c r="Q35" i="41"/>
  <c r="P35" i="41"/>
  <c r="O35" i="41"/>
  <c r="N35" i="41"/>
  <c r="M35" i="41"/>
  <c r="L35" i="41"/>
  <c r="K35" i="41"/>
  <c r="J35" i="41"/>
  <c r="I35" i="41"/>
  <c r="H35" i="41"/>
  <c r="G35" i="41"/>
  <c r="F35" i="41"/>
  <c r="E35" i="41"/>
  <c r="D35" i="41"/>
  <c r="C35" i="41"/>
  <c r="B35" i="41"/>
  <c r="A28" i="41"/>
  <c r="A29" i="41"/>
  <c r="A30" i="41"/>
  <c r="A31" i="41"/>
  <c r="A32" i="41"/>
  <c r="A33" i="41"/>
  <c r="A34" i="41"/>
  <c r="A4" i="41"/>
  <c r="A5" i="41"/>
  <c r="A6" i="41"/>
  <c r="A7" i="41"/>
  <c r="A8" i="41"/>
  <c r="A9" i="41"/>
  <c r="A10" i="41"/>
  <c r="A11" i="41"/>
  <c r="A12" i="41"/>
  <c r="A13" i="41"/>
  <c r="A14" i="41"/>
  <c r="A15" i="41"/>
  <c r="A16" i="41"/>
  <c r="A17" i="41"/>
  <c r="A18" i="41"/>
  <c r="A19" i="41"/>
  <c r="A20" i="41"/>
  <c r="A21" i="41"/>
  <c r="A22" i="41"/>
  <c r="A23" i="41"/>
  <c r="A24" i="41"/>
  <c r="A25" i="41"/>
  <c r="A26" i="41"/>
  <c r="A27" i="41"/>
  <c r="A3" i="41"/>
  <c r="B35" i="36"/>
  <c r="C35" i="36"/>
  <c r="D35" i="36"/>
  <c r="E35" i="36"/>
  <c r="F35" i="36"/>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2" i="13"/>
  <c r="A33" i="13"/>
  <c r="A34" i="13"/>
  <c r="A4" i="13"/>
  <c r="A5" i="13"/>
  <c r="A6" i="13"/>
  <c r="A7" i="13"/>
  <c r="A8" i="13"/>
  <c r="A9" i="13"/>
  <c r="A10" i="13"/>
  <c r="A11" i="13"/>
  <c r="A12" i="13"/>
  <c r="A13" i="13"/>
  <c r="A14" i="13"/>
  <c r="A15" i="13"/>
  <c r="A16" i="13"/>
  <c r="A17" i="13"/>
  <c r="A18" i="13"/>
  <c r="A19" i="13"/>
  <c r="A20" i="13"/>
  <c r="A21" i="13"/>
  <c r="A22" i="13"/>
  <c r="A23" i="13"/>
  <c r="A24" i="13"/>
  <c r="A25" i="13"/>
  <c r="A26" i="13"/>
  <c r="A27" i="13"/>
  <c r="A28" i="13"/>
  <c r="A3" i="13"/>
  <c r="B35" i="39"/>
  <c r="C35" i="39"/>
  <c r="D35" i="39"/>
  <c r="E35" i="39"/>
  <c r="F35" i="39"/>
  <c r="G35"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E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4" i="14"/>
  <c r="A29" i="14"/>
  <c r="A30" i="14"/>
  <c r="A31" i="14"/>
  <c r="A32" i="14"/>
  <c r="A4" i="14"/>
  <c r="A5" i="14"/>
  <c r="A6" i="14"/>
  <c r="A7" i="14"/>
  <c r="A8" i="14"/>
  <c r="A9" i="14"/>
  <c r="A10" i="14"/>
  <c r="A11" i="14"/>
  <c r="A12" i="14"/>
  <c r="A13" i="14"/>
  <c r="A14" i="14"/>
  <c r="A15" i="14"/>
  <c r="A16" i="14"/>
  <c r="A17" i="14"/>
  <c r="A18" i="14"/>
  <c r="A19" i="14"/>
  <c r="A20" i="14"/>
  <c r="A21" i="14"/>
  <c r="A22" i="14"/>
  <c r="A23" i="14"/>
  <c r="A24" i="14"/>
  <c r="A25" i="14"/>
  <c r="A26" i="14"/>
  <c r="A27" i="14"/>
  <c r="A28" i="14"/>
  <c r="A3" i="14"/>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28" i="67"/>
  <c r="A29" i="67"/>
  <c r="A30" i="67"/>
  <c r="A31" i="67"/>
  <c r="A32" i="67"/>
  <c r="A33" i="67"/>
  <c r="A34" i="67"/>
  <c r="A4" i="67"/>
  <c r="A5" i="67"/>
  <c r="A6" i="67"/>
  <c r="A7" i="67"/>
  <c r="A8" i="67"/>
  <c r="A9" i="67"/>
  <c r="A10" i="67"/>
  <c r="A11" i="67"/>
  <c r="A12" i="67"/>
  <c r="A13" i="67"/>
  <c r="A14" i="67"/>
  <c r="A15" i="67"/>
  <c r="A16" i="67"/>
  <c r="A17" i="67"/>
  <c r="A18" i="67"/>
  <c r="A19" i="67"/>
  <c r="A20" i="67"/>
  <c r="A21" i="67"/>
  <c r="A22" i="67"/>
  <c r="A23" i="67"/>
  <c r="A24" i="67"/>
  <c r="A25" i="67"/>
  <c r="A26" i="67"/>
  <c r="A27"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3" i="67"/>
  <c r="A28" i="66"/>
  <c r="B28" i="66"/>
  <c r="C28" i="66"/>
  <c r="D28" i="66"/>
  <c r="E28" i="66"/>
  <c r="F28" i="66"/>
  <c r="G28" i="66"/>
  <c r="A29" i="66"/>
  <c r="B29" i="66"/>
  <c r="C29" i="66"/>
  <c r="D29" i="66"/>
  <c r="E29" i="66"/>
  <c r="F29" i="66"/>
  <c r="G29" i="66"/>
  <c r="A30" i="66"/>
  <c r="B30" i="66"/>
  <c r="C30" i="66"/>
  <c r="D30" i="66"/>
  <c r="E30" i="66"/>
  <c r="F30" i="66"/>
  <c r="G30" i="66"/>
  <c r="A31" i="66"/>
  <c r="B31" i="66"/>
  <c r="C31" i="66"/>
  <c r="D31" i="66"/>
  <c r="E31" i="66"/>
  <c r="F31" i="66"/>
  <c r="G31" i="66"/>
  <c r="A32" i="66"/>
  <c r="B32" i="66"/>
  <c r="C32" i="66"/>
  <c r="D32" i="66"/>
  <c r="E32" i="66"/>
  <c r="F32" i="66"/>
  <c r="G32" i="66"/>
  <c r="A33" i="66"/>
  <c r="B33" i="66"/>
  <c r="C33" i="66"/>
  <c r="D33" i="66"/>
  <c r="E33" i="66"/>
  <c r="F33" i="66"/>
  <c r="G33" i="66"/>
  <c r="A34" i="66"/>
  <c r="B34" i="66"/>
  <c r="C34" i="66"/>
  <c r="D34" i="66"/>
  <c r="E34" i="66"/>
  <c r="F34" i="66"/>
  <c r="G34" i="66"/>
  <c r="A4" i="66"/>
  <c r="A5" i="66"/>
  <c r="A6" i="66"/>
  <c r="A7" i="66"/>
  <c r="A8" i="66"/>
  <c r="A9" i="66"/>
  <c r="A10" i="66"/>
  <c r="A11" i="66"/>
  <c r="A12" i="66"/>
  <c r="A13" i="66"/>
  <c r="A14" i="66"/>
  <c r="A15" i="66"/>
  <c r="A16" i="66"/>
  <c r="A17" i="66"/>
  <c r="A18" i="66"/>
  <c r="A19" i="66"/>
  <c r="A20" i="66"/>
  <c r="A21" i="66"/>
  <c r="A22" i="66"/>
  <c r="A23" i="66"/>
  <c r="A24" i="66"/>
  <c r="A25" i="66"/>
  <c r="A26" i="66"/>
  <c r="A27" i="66"/>
  <c r="A3" i="66"/>
  <c r="B35" i="46"/>
  <c r="C35" i="46"/>
  <c r="D35" i="46"/>
  <c r="E35" i="46"/>
  <c r="F35" i="46"/>
  <c r="G35" i="46"/>
  <c r="H35" i="46"/>
  <c r="I35" i="46"/>
  <c r="J35" i="46"/>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A33" i="58"/>
  <c r="A34" i="58"/>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3" i="58"/>
  <c r="R34" i="58"/>
  <c r="A28" i="58"/>
  <c r="A29" i="58"/>
  <c r="A30" i="58"/>
  <c r="A31" i="58"/>
  <c r="A32"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5" i="58"/>
  <c r="R6" i="58"/>
  <c r="R7" i="58"/>
  <c r="R8" i="58"/>
  <c r="R9" i="58"/>
  <c r="R10" i="58"/>
  <c r="R11" i="58"/>
  <c r="R12" i="58"/>
  <c r="R13" i="58"/>
  <c r="R14" i="58"/>
  <c r="R15" i="58"/>
  <c r="R16" i="58"/>
  <c r="R17" i="58"/>
  <c r="R18" i="58"/>
  <c r="R19" i="58"/>
  <c r="R20" i="58"/>
  <c r="R21" i="58"/>
  <c r="R22" i="58"/>
  <c r="R23" i="58"/>
  <c r="R24" i="58"/>
  <c r="R25" i="58"/>
  <c r="R26" i="58"/>
  <c r="R27" i="58"/>
  <c r="R28" i="58"/>
  <c r="R29" i="58"/>
  <c r="R30" i="58"/>
  <c r="R31" i="58"/>
  <c r="R32" i="58"/>
  <c r="R3" i="58"/>
  <c r="A4" i="58"/>
  <c r="A5" i="58"/>
  <c r="A6" i="58"/>
  <c r="A7" i="58"/>
  <c r="A8" i="58"/>
  <c r="A9" i="58"/>
  <c r="A10" i="58"/>
  <c r="A11" i="58"/>
  <c r="A12" i="58"/>
  <c r="A13" i="58"/>
  <c r="A14" i="58"/>
  <c r="A15" i="58"/>
  <c r="A16" i="58"/>
  <c r="A17" i="58"/>
  <c r="A18" i="58"/>
  <c r="A19" i="58"/>
  <c r="A20" i="58"/>
  <c r="A21" i="58"/>
  <c r="A22" i="58"/>
  <c r="A23" i="58"/>
  <c r="A24" i="58"/>
  <c r="A25" i="58"/>
  <c r="A26" i="58"/>
  <c r="A27" i="58"/>
  <c r="A3" i="58"/>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4" i="57"/>
  <c r="R3" i="57"/>
  <c r="A34" i="57"/>
  <c r="A33" i="57"/>
  <c r="A32" i="57"/>
  <c r="A31" i="57"/>
  <c r="A30" i="57"/>
  <c r="A29" i="57"/>
  <c r="A28" i="57"/>
  <c r="A4" i="57"/>
  <c r="A5" i="57"/>
  <c r="A6" i="57"/>
  <c r="A7" i="57"/>
  <c r="A8" i="57"/>
  <c r="A9" i="57"/>
  <c r="A10" i="57"/>
  <c r="A11" i="57"/>
  <c r="A12" i="57"/>
  <c r="A13" i="57"/>
  <c r="A14" i="57"/>
  <c r="A15" i="57"/>
  <c r="A16" i="57"/>
  <c r="A17" i="57"/>
  <c r="A18" i="57"/>
  <c r="A19" i="57"/>
  <c r="A20" i="57"/>
  <c r="A21" i="57"/>
  <c r="A22" i="57"/>
  <c r="A23" i="57"/>
  <c r="A24" i="57"/>
  <c r="A25" i="57"/>
  <c r="A26" i="57"/>
  <c r="A27" i="57"/>
  <c r="A3" i="57"/>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32" i="53"/>
  <c r="A33" i="53"/>
  <c r="A34" i="53"/>
  <c r="A4" i="53"/>
  <c r="A5" i="53"/>
  <c r="A6" i="53"/>
  <c r="A7" i="53"/>
  <c r="A8" i="53"/>
  <c r="A9" i="53"/>
  <c r="A10" i="53"/>
  <c r="A11" i="53"/>
  <c r="A12" i="53"/>
  <c r="A13" i="53"/>
  <c r="A14" i="53"/>
  <c r="A15" i="53"/>
  <c r="A16" i="53"/>
  <c r="A17" i="53"/>
  <c r="A18" i="53"/>
  <c r="A19" i="53"/>
  <c r="A20" i="53"/>
  <c r="A21" i="53"/>
  <c r="A22" i="53"/>
  <c r="A23" i="53"/>
  <c r="A24" i="53"/>
  <c r="A25" i="53"/>
  <c r="A26" i="53"/>
  <c r="A27" i="53"/>
  <c r="A3" i="53"/>
  <c r="B35" i="50"/>
  <c r="A34" i="50"/>
  <c r="A33" i="50"/>
  <c r="A32" i="50"/>
  <c r="A31" i="50"/>
  <c r="A30" i="50"/>
  <c r="A29" i="50"/>
  <c r="A28" i="50"/>
  <c r="A4" i="50"/>
  <c r="A5" i="50"/>
  <c r="A6" i="50"/>
  <c r="A7" i="50"/>
  <c r="A8" i="50"/>
  <c r="A9" i="50"/>
  <c r="A10" i="50"/>
  <c r="A11" i="50"/>
  <c r="A12" i="50"/>
  <c r="A13" i="50"/>
  <c r="A14" i="50"/>
  <c r="A15" i="50"/>
  <c r="A16" i="50"/>
  <c r="A17" i="50"/>
  <c r="A18" i="50"/>
  <c r="A19" i="50"/>
  <c r="A20" i="50"/>
  <c r="A21" i="50"/>
  <c r="A22" i="50"/>
  <c r="A23" i="50"/>
  <c r="A24" i="50"/>
  <c r="A25" i="50"/>
  <c r="A26" i="50"/>
  <c r="A27" i="50"/>
  <c r="A3" i="5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7" i="9"/>
  <c r="O28" i="9"/>
  <c r="O29" i="9"/>
  <c r="O30" i="9"/>
  <c r="O31" i="9"/>
  <c r="O33" i="9"/>
  <c r="O34" i="9"/>
  <c r="O4" i="9"/>
  <c r="O5" i="9"/>
  <c r="O6" i="9"/>
  <c r="O7" i="9"/>
  <c r="O8" i="9"/>
  <c r="O9" i="9"/>
  <c r="O10" i="9"/>
  <c r="O11" i="9"/>
  <c r="O12" i="9"/>
  <c r="O13" i="9"/>
  <c r="O14" i="9"/>
  <c r="O15" i="9"/>
  <c r="O16" i="9"/>
  <c r="O17" i="9"/>
  <c r="O18" i="9"/>
  <c r="O19" i="9"/>
  <c r="O20" i="9"/>
  <c r="O21" i="9"/>
  <c r="O22" i="9"/>
  <c r="O23" i="9"/>
  <c r="O24" i="9"/>
  <c r="O25" i="9"/>
  <c r="O3" i="9"/>
  <c r="G28" i="10" l="1"/>
  <c r="G29" i="10"/>
  <c r="F30" i="10"/>
  <c r="G30" i="10"/>
  <c r="H30" i="10"/>
  <c r="I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C2" i="25"/>
  <c r="D2" i="25"/>
  <c r="E2" i="25"/>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C2" i="11" l="1"/>
  <c r="D2" i="11"/>
  <c r="E2" i="11"/>
  <c r="F2" i="11"/>
  <c r="G2" i="11"/>
  <c r="H2" i="11"/>
  <c r="I2" i="11"/>
  <c r="J2" i="11"/>
  <c r="K2" i="11"/>
  <c r="L2" i="11"/>
  <c r="M2" i="11"/>
  <c r="N2" i="11"/>
  <c r="O2" i="11"/>
  <c r="P2" i="11"/>
  <c r="Q2" i="11"/>
  <c r="R2" i="11"/>
  <c r="S2" i="11"/>
  <c r="T2" i="11"/>
  <c r="U2" i="11"/>
  <c r="V2" i="11"/>
  <c r="W2" i="11"/>
  <c r="X2" i="11"/>
  <c r="Y2" i="11"/>
  <c r="Z2" i="11"/>
  <c r="B2" i="11"/>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<sst xmlns="http://schemas.openxmlformats.org/spreadsheetml/2006/main" count="3846" uniqueCount="1798">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</sst>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3">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4" fillId="2" borderId="9" xfId="0" applyFont="1" applyFill="1" applyBorder="1" applyAlignment="1">
      <alignment horizontal="left" vertical="center" textRotation="90" wrapText="1"/>
    </xf>
    <xf numFmtId="0" fontId="4" fillId="2" borderId="5" xfId="0" applyFont="1" applyFill="1" applyBorder="1" applyAlignment="1">
      <alignment horizontal="left" vertical="center" textRotation="90"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6" fillId="0" borderId="2" xfId="0" applyFont="1" applyFill="1" applyBorder="1" applyAlignment="1">
      <alignment horizontal="left" vertical="center" wrapText="1"/>
    </xf>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0" borderId="3" xfId="0" applyNumberFormat="1" applyFont="1" applyFill="1" applyBorder="1" applyAlignment="1">
      <alignment horizontal="right"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cellXfs>
  <cellStyles count="2">
    <cellStyle name="Link" xfId="1" builtinId="8"/>
    <cellStyle name="Standard" xfId="0" builtinId="0"/>
  </cellStyles>
  <dxfs count="971">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theme="1"/>
        <name val="Arial"/>
        <family val="2"/>
        <scheme val="none"/>
      </font>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0" dataDxfId="969" totalsRowDxfId="967" tableBorderDxfId="968" totalsRowBorderDxfId="966">
  <autoFilter ref="A2:CJ34" xr:uid="{00000000-0009-0000-0100-000004000000}"/>
  <sortState ref="A3:CJ34">
    <sortCondition ref="A2:A34"/>
  </sortState>
  <tableColumns count="88">
    <tableColumn id="1" xr3:uid="{00000000-0010-0000-0000-000001000000}" name="Kurzbeleg" dataDxfId="311" totalsRowDxfId="137"/>
    <tableColumn id="83" xr3:uid="{632F5275-4B2A-4262-871F-BE0C2DC5B9A6}" name="Kürzel" dataDxfId="310" totalsRowDxfId="136"/>
    <tableColumn id="2" xr3:uid="{00000000-0010-0000-0000-000002000000}" name="Titel der Studie" dataDxfId="309" totalsRowDxfId="135"/>
    <tableColumn id="3" xr3:uid="{00000000-0010-0000-0000-000003000000}" name="durchführende Institution" dataDxfId="308" totalsRowDxfId="134"/>
    <tableColumn id="21" xr3:uid="{00000000-0010-0000-0000-000015000000}" name="Fördermittel- / Auftraggeber" dataDxfId="307" totalsRowDxfId="133"/>
    <tableColumn id="4" xr3:uid="{00000000-0010-0000-0000-000004000000}" name="Art der Schrift" dataDxfId="306" totalsRowDxfId="132"/>
    <tableColumn id="5" xr3:uid="{00000000-0010-0000-0000-000005000000}" name="Freitextbeschreibung der Methodik" dataDxfId="305" totalsRowDxfId="131"/>
    <tableColumn id="76" xr3:uid="{2CA42FD3-A7B8-4911-957F-F65B6F8CF4A2}" name="Bottom-Up-Abschätzung" dataDxfId="304" totalsRowDxfId="130"/>
    <tableColumn id="75" xr3:uid="{748392C3-1F39-4ED7-BABC-9B46699C91C8}" name="Top-Down-Abschätzung" dataDxfId="303" totalsRowDxfId="129"/>
    <tableColumn id="6" xr3:uid="{00000000-0010-0000-0000-000006000000}" name="Bestimmung Kosten-Potenzial-Kurven" dataDxfId="302" totalsRowDxfId="128"/>
    <tableColumn id="52" xr3:uid="{00000000-0010-0000-0000-000034000000}" name="Analyse mehrerer Szenarien / Entwicklungen" dataDxfId="301" totalsRowDxfId="127"/>
    <tableColumn id="51" xr3:uid="{00000000-0010-0000-0000-000033000000}" name="Untersuchung von Fehlermaßen" dataDxfId="300" totalsRowDxfId="126"/>
    <tableColumn id="46" xr3:uid="{00000000-0010-0000-0000-00002E000000}" name="Fokus Lastmanagement" dataDxfId="299" totalsRowDxfId="125"/>
    <tableColumn id="44" xr3:uid="{00000000-0010-0000-0000-00002C000000}" name="Quellen Methodik" dataDxfId="298" totalsRowDxfId="124"/>
    <tableColumn id="7" xr3:uid="{00000000-0010-0000-0000-000007000000}" name="Überblick über zentrale Annahmen" dataDxfId="297" totalsRowDxfId="12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296" totalsRowDxfId="122"/>
    <tableColumn id="48" xr3:uid="{00000000-0010-0000-0000-000030000000}" name="überwiegend verwendete Datenbasis" dataDxfId="295" totalsRowDxfId="121"/>
    <tableColumn id="10" xr3:uid="{00000000-0010-0000-0000-00000A000000}" name="Literaturanalyse" dataDxfId="294" totalsRowDxfId="120"/>
    <tableColumn id="11" xr3:uid="{00000000-0010-0000-0000-00000B000000}" name="Auswertung von Statistiken" dataDxfId="293" totalsRowDxfId="119"/>
    <tableColumn id="12" xr3:uid="{00000000-0010-0000-0000-00000C000000}" name="Expertenabschätzungen" dataDxfId="292" totalsRowDxfId="118"/>
    <tableColumn id="13" xr3:uid="{00000000-0010-0000-0000-00000D000000}" name="(Online-)Umfragen" dataDxfId="291" totalsRowDxfId="117"/>
    <tableColumn id="14" xr3:uid="{00000000-0010-0000-0000-00000E000000}" name="Unternehmensbefragungen / Interviews" dataDxfId="290" totalsRowDxfId="116"/>
    <tableColumn id="49" xr3:uid="{00000000-0010-0000-0000-000031000000}" name="eigene Annahmen" dataDxfId="289" totalsRowDxfId="115"/>
    <tableColumn id="15" xr3:uid="{00000000-0010-0000-0000-00000F000000}" name="eigene Erhebungen" dataDxfId="288" totalsRowDxfId="114"/>
    <tableColumn id="47" xr3:uid="{00000000-0010-0000-0000-00002F000000}" name="Bezugsjahr(e) der Datenbasis" dataDxfId="287" totalsRowDxfId="113"/>
    <tableColumn id="16" xr3:uid="{00000000-0010-0000-0000-000010000000}" name="Quellen Daten" dataDxfId="286" totalsRowDxfId="112"/>
    <tableColumn id="17" xr3:uid="{00000000-0010-0000-0000-000011000000}" name="analytischer Ansatz zur Verwertung technischer Potenziale" dataDxfId="285" totalsRowDxfId="111"/>
    <tableColumn id="18" xr3:uid="{00000000-0010-0000-0000-000012000000}" name="Branchen, Produktionsprozesse Industrie" dataDxfId="284" totalsRowDxfId="110"/>
    <tableColumn id="50" xr3:uid="{00000000-0010-0000-0000-000032000000}" name="Querschnittstechnologien Industrie" dataDxfId="283" totalsRowDxfId="109"/>
    <tableColumn id="19" xr3:uid="{00000000-0010-0000-0000-000013000000}" name="Querschnittstechnologien im GHD-Sektor" dataDxfId="282" totalsRowDxfId="108"/>
    <tableColumn id="20" xr3:uid="{00000000-0010-0000-0000-000014000000}" name="Branchen, Produktionsprozesse Haushalte" dataDxfId="281" totalsRowDxfId="107"/>
    <tableColumn id="43" xr3:uid="{FC53D474-7B46-4E3E-9171-DAF4242A80FA}" name="Verkehr, Erzeugung und sonstige" dataDxfId="280" totalsRowDxfId="106"/>
    <tableColumn id="22" xr3:uid="{00000000-0010-0000-0000-000016000000}" name="Quellen Betrachtungsumfang" dataDxfId="279" totalsRowDxfId="105"/>
    <tableColumn id="82" xr3:uid="{DC8AA85A-8581-492B-9E17-88AA1CEC3051}" name="Haushalte" dataDxfId="278" totalsRowDxfId="104">
      <calculatedColumnFormula>IF(Ueberblick[[#This Row],[Branchen, Produktionsprozesse Haushalte]]&lt;&gt;"",1,0)</calculatedColumnFormula>
    </tableColumn>
    <tableColumn id="81" xr3:uid="{46EB5746-8A34-4E93-A89E-5E5F042C5F02}" name="GHD" dataDxfId="277" totalsRowDxfId="103">
      <calculatedColumnFormula>IF(Ueberblick[[#This Row],[Querschnittstechnologien im GHD-Sektor]]&lt;&gt;"",1,0)</calculatedColumnFormula>
    </tableColumn>
    <tableColumn id="80" xr3:uid="{A50ACBF7-0464-4A88-B67D-4BE826976962}" name="Industrie" dataDxfId="276" totalsRowDxfId="10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275" totalsRowDxfId="101"/>
    <tableColumn id="24" xr3:uid="{00000000-0010-0000-0000-000018000000}" name="Potenzialtrennung pos/neg vorgenommen" dataDxfId="274" totalsRowDxfId="100"/>
    <tableColumn id="78" xr3:uid="{E6CC6DD3-D676-4817-8DF3-F52570A30183}" name="Potenzial pos" dataDxfId="273" totalsRowDxfId="99"/>
    <tableColumn id="77" xr3:uid="{27A38D6A-6E2E-4277-A774-ACE9DF072236}" name="Potenzial neg" dataDxfId="272" totalsRowDxfId="98"/>
    <tableColumn id="25" xr3:uid="{00000000-0010-0000-0000-000019000000}" name="Schaltdauer erfasst" dataDxfId="271" totalsRowDxfId="97"/>
    <tableColumn id="26" xr3:uid="{00000000-0010-0000-0000-00001A000000}" name="Verschiebedauer erfasst" dataDxfId="270" totalsRowDxfId="96"/>
    <tableColumn id="27" xr3:uid="{00000000-0010-0000-0000-00001B000000}" name="Angaben zur Schalthäufigkeit vorhanden" dataDxfId="269" totalsRowDxfId="95"/>
    <tableColumn id="28" xr3:uid="{00000000-0010-0000-0000-00001C000000}" name="Angeben zu Investitionsausgaben" dataDxfId="268" totalsRowDxfId="94"/>
    <tableColumn id="29" xr3:uid="{00000000-0010-0000-0000-00001D000000}" name="Angaben zu fixen Kosten" dataDxfId="267" totalsRowDxfId="93"/>
    <tableColumn id="30" xr3:uid="{00000000-0010-0000-0000-00001E000000}" name="Angaben zu variablen Kosten" dataDxfId="266" totalsRowDxfId="92"/>
    <tableColumn id="31" xr3:uid="{00000000-0010-0000-0000-00001F000000}" name="Quellen Flexibilitätsparameter" dataDxfId="265" totalsRowDxfId="91"/>
    <tableColumn id="32" xr3:uid="{00000000-0010-0000-0000-000020000000}" name="Überblick der Potenzialbegriffe" dataDxfId="264" totalsRowDxfId="90"/>
    <tableColumn id="67" xr3:uid="{00000000-0010-0000-0000-000043000000}" name="Angaben zum theoretischen Potenzial" dataDxfId="263" totalsRowDxfId="89"/>
    <tableColumn id="33" xr3:uid="{00000000-0010-0000-0000-000021000000}" name="Angaben zum technischen Potenzial" dataDxfId="262" totalsRowDxfId="88"/>
    <tableColumn id="70" xr3:uid="{00000000-0010-0000-0000-000046000000}" name="Angaben zum soziotechnischen Potenzial" dataDxfId="261" totalsRowDxfId="87"/>
    <tableColumn id="68" xr3:uid="{00000000-0010-0000-0000-000044000000}" name="Angaben zum ökonomischen Potenzial" dataDxfId="260" totalsRowDxfId="86"/>
    <tableColumn id="69" xr3:uid="{00000000-0010-0000-0000-000045000000}" name="Angaben zum sozialen Potenzial" dataDxfId="259" totalsRowDxfId="85"/>
    <tableColumn id="71" xr3:uid="{00000000-0010-0000-0000-000047000000}" name="Angaben zum realisierbaren Potenzial" dataDxfId="258" totalsRowDxfId="84"/>
    <tableColumn id="34" xr3:uid="{00000000-0010-0000-0000-000022000000}" name="Zeithorizont" dataDxfId="257" totalsRowDxfId="83"/>
    <tableColumn id="35" xr3:uid="{00000000-0010-0000-0000-000023000000}" name="Jahr Status quo / Basis" dataDxfId="256" totalsRowDxfId="82">
      <calculatedColumnFormula>LEFT(Gesamtueberblick!$BC3,4)</calculatedColumnFormula>
    </tableColumn>
    <tableColumn id="36" xr3:uid="{00000000-0010-0000-0000-000024000000}" name="2020 erfasst?" dataDxfId="255" totalsRowDxfId="81"/>
    <tableColumn id="37" xr3:uid="{00000000-0010-0000-0000-000025000000}" name="2025 erfasst?" dataDxfId="254" totalsRowDxfId="80"/>
    <tableColumn id="38" xr3:uid="{00000000-0010-0000-0000-000026000000}" name="2030 erfasst?" dataDxfId="253" totalsRowDxfId="79"/>
    <tableColumn id="39" xr3:uid="{00000000-0010-0000-0000-000027000000}" name="2050 erfasst?" dataDxfId="252" totalsRowDxfId="78"/>
    <tableColumn id="40" xr3:uid="{00000000-0010-0000-0000-000028000000}" name="Potenzial Industrie ges. pos." dataDxfId="251" totalsRowDxfId="77"/>
    <tableColumn id="55" xr3:uid="{00000000-0010-0000-0000-000037000000}" name="Potenzial Industrie ges. neg." dataDxfId="250" totalsRowDxfId="76"/>
    <tableColumn id="9" xr3:uid="{00000000-0010-0000-0000-000009000000}" name="Potenzial Industrie Prozesse pos." dataDxfId="249" totalsRowDxfId="75"/>
    <tableColumn id="8" xr3:uid="{00000000-0010-0000-0000-000008000000}" name="Potenzial Industrie Prozesse neg." dataDxfId="248" totalsRowDxfId="74"/>
    <tableColumn id="63" xr3:uid="{00000000-0010-0000-0000-00003F000000}" name="Potenzial Industrie QST pos." dataDxfId="247" totalsRowDxfId="73"/>
    <tableColumn id="62" xr3:uid="{00000000-0010-0000-0000-00003E000000}" name="Potenzial Industrie QST neg." dataDxfId="246" totalsRowDxfId="72"/>
    <tableColumn id="54" xr3:uid="{00000000-0010-0000-0000-000036000000}" name="Potenzial GHD ges. pos." dataDxfId="245" totalsRowDxfId="71"/>
    <tableColumn id="58" xr3:uid="{00000000-0010-0000-0000-00003A000000}" name="Potenzial GHD ges. neg." dataDxfId="244" totalsRowDxfId="70"/>
    <tableColumn id="56" xr3:uid="{00000000-0010-0000-0000-000038000000}" name="Potenzial GHD ges. pos. ohne Klimatisierung / Wärme" dataDxfId="243" totalsRowDxfId="69"/>
    <tableColumn id="59" xr3:uid="{00000000-0010-0000-0000-00003B000000}" name="Potenzial GHD ges. neg. ohne Klimatisierung / Wärme" dataDxfId="242" totalsRowDxfId="68"/>
    <tableColumn id="53" xr3:uid="{00000000-0010-0000-0000-000035000000}" name="Potenzial Haushalte ges. pos." dataDxfId="241" totalsRowDxfId="67"/>
    <tableColumn id="60" xr3:uid="{00000000-0010-0000-0000-00003C000000}" name="Potenzial Haushalte ges. neg." dataDxfId="240" totalsRowDxfId="66"/>
    <tableColumn id="57" xr3:uid="{00000000-0010-0000-0000-000039000000}" name="Potenzial Haushalte ges. pos. ohne Wärme" dataDxfId="239" totalsRowDxfId="65"/>
    <tableColumn id="61" xr3:uid="{00000000-0010-0000-0000-00003D000000}" name="Potenzial Haushalte ges. neg. ohne Wärme" dataDxfId="238" totalsRowDxfId="64"/>
    <tableColumn id="79" xr3:uid="{31F976D9-406C-4694-BCF6-AA5BA38954B6}" name="Benutzungsstunden / Auslastungsgrade angegeben?" dataDxfId="237" totalsRowDxfId="63"/>
    <tableColumn id="90" xr3:uid="{19489313-516D-412D-9F36-6FCC7070D4C8}" name="Saisonalität berücksichtigt?" dataDxfId="236" totalsRowDxfId="62"/>
    <tableColumn id="88" xr3:uid="{F0B48DC4-196A-4E69-8718-DC09EC019AA2}" name="Tageszeitliche Abhängigkeit berücksichtigt?" dataDxfId="235" totalsRowDxfId="61"/>
    <tableColumn id="87" xr3:uid="{791CC651-9903-42A6-83C7-7A702846D27A}" name="Temperaturabhängigkeit berücksichtigt?" dataDxfId="234" totalsRowDxfId="60"/>
    <tableColumn id="86" xr3:uid="{AED92EA0-1C20-4F2A-B9DA-829515E72C81}" name="Lastgänge / Lastblöcke berücksichtigt?" dataDxfId="233" totalsRowDxfId="59"/>
    <tableColumn id="85" xr3:uid="{894E805A-F833-49AA-9314-4AF0556EE073}" name="Zeitverfügbarkeitszeitreihen generiert?" dataDxfId="232" totalsRowDxfId="58"/>
    <tableColumn id="41" xr3:uid="{00000000-0010-0000-0000-000029000000}" name="Quellen Zeitverfügbarkeit" dataDxfId="231" totalsRowDxfId="57"/>
    <tableColumn id="42" xr3:uid="{00000000-0010-0000-0000-00002A000000}" name="Kommentar und Kritik" dataDxfId="230" totalsRowDxfId="56"/>
    <tableColumn id="66" xr3:uid="{00000000-0010-0000-0000-000042000000}" name="Erfassung BA Schmidt de Ccahuana" dataDxfId="229" totalsRowDxfId="55"/>
    <tableColumn id="65" xr3:uid="{00000000-0010-0000-0000-000041000000}" name="Erfassung BA Renner" dataDxfId="228" totalsRowDxfId="54"/>
    <tableColumn id="64" xr3:uid="{00000000-0010-0000-0000-000040000000}" name="Erfassung BA Vogt" dataDxfId="227" totalsRowDxfId="53"/>
    <tableColumn id="72" xr3:uid="{4954F5A7-DDCA-4E78-AF7F-7CA5F408B168}" name="Erfassung BA Stange" dataDxfId="226" totalsRowDxfId="52"/>
    <tableColumn id="73" xr3:uid="{47BF244D-B99D-4F4C-A65A-6EADB5DEECFC}" name="Erfassung BA Odeh" dataDxfId="225" totalsRowDxfId="51"/>
    <tableColumn id="74" xr3:uid="{95C0E32B-95CF-4D28-8CCE-294968D87A78}" name="Erfassung BA Benz" dataDxfId="224" totalsRowDxfId="5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893" dataDxfId="892" tableBorderDxfId="891">
  <autoFilter ref="A2:R34" xr:uid="{E48EAA67-8810-45E2-ADB4-BD9F158F350C}"/>
  <tableColumns count="18">
    <tableColumn id="1" xr3:uid="{0065E3CE-E3BC-4176-AFCE-8125FEF5C067}" name="Kurzbeleg" totalsRowLabel="Häufigkeit" dataDxfId="890" totalsRowDxfId="474">
      <calculatedColumnFormula>Ueberblick[[#This Row],[Kürzel]]</calculatedColumnFormula>
    </tableColumn>
    <tableColumn id="18" xr3:uid="{2F6B0C97-2340-4FE4-A5FC-0CA54CEB18CE}" name="StV / Leistungen" totalsRowFunction="sum" dataDxfId="889" totalsRowDxfId="473"/>
    <tableColumn id="17" xr3:uid="{24BB41DC-21EC-46F2-B0DD-3EBBDF218895}" name="Durchdringungsraten" totalsRowFunction="sum" dataDxfId="888" totalsRowDxfId="472"/>
    <tableColumn id="15" xr3:uid="{06BDA605-9AA8-444F-8214-9EC55E5127AC}" name="Profile / Zeitverfügbarkeit" totalsRowFunction="sum" dataDxfId="887" totalsRowDxfId="471"/>
    <tableColumn id="14" xr3:uid="{84C6FBFB-CE73-4249-BB5E-762AF37048E3}" name="flex. Leistung" totalsRowFunction="sum" dataDxfId="886" totalsRowDxfId="470"/>
    <tableColumn id="13" xr3:uid="{B49EA757-EAE3-4B16-B83A-E659218A4E46}" name="Zeitdauern" totalsRowFunction="sum" dataDxfId="885" totalsRowDxfId="469"/>
    <tableColumn id="12" xr3:uid="{F73D7CD5-DEF7-4E4A-93FA-E43C0CD5CD07}" name="Abrufhäufigkeit" totalsRowFunction="sum" dataDxfId="884" totalsRowDxfId="468"/>
    <tableColumn id="11" xr3:uid="{0CBA64DC-8ACF-4C11-BC71-2B05B7D76706}" name="spez. Leistung / Verbräuche" totalsRowFunction="sum" dataDxfId="883" totalsRowDxfId="467"/>
    <tableColumn id="10" xr3:uid="{E2D825DB-AE7C-4D42-8843-548E702FA48C}" name="(soziale) Akzeptanz" totalsRowFunction="sum" dataDxfId="882" totalsRowDxfId="466"/>
    <tableColumn id="9" xr3:uid="{0813D05E-9C37-40E5-BBD7-7149C4CDF01C}" name="Prozesseignung" totalsRowFunction="sum" dataDxfId="881" totalsRowDxfId="465"/>
    <tableColumn id="8" xr3:uid="{686DB26A-D51C-4655-96A5-1DEB6B0D6216}" name="Kosten(entwicklung)" totalsRowFunction="sum" dataDxfId="880" totalsRowDxfId="464"/>
    <tableColumn id="7" xr3:uid="{B8D80668-8069-48AE-9B17-108B5A8DD6D9}" name="Potenzialentwicklung" totalsRowFunction="sum" dataDxfId="879" totalsRowDxfId="463"/>
    <tableColumn id="6" xr3:uid="{FB24C3E3-F967-43E6-89AB-4D4428F4EDCF}" name="Simulationsdaten" totalsRowFunction="sum" dataDxfId="878" totalsRowDxfId="462"/>
    <tableColumn id="5" xr3:uid="{1F41B5E1-7F37-4D3A-97FF-AE494E34AAD8}" name="Erheblichkeitsschwelle" totalsRowFunction="sum" dataDxfId="877" totalsRowDxfId="461"/>
    <tableColumn id="4" xr3:uid="{17A4F7BD-039C-4E28-8818-4213B7623DD9}" name="Annahmen Elektormobilität" totalsRowFunction="sum" dataDxfId="876" totalsRowDxfId="460"/>
    <tableColumn id="3" xr3:uid="{E17FFE2A-57FF-4E25-8537-1DB00C5D1175}" name="Symmetrieannahme" totalsRowFunction="sum" dataDxfId="875" totalsRowDxfId="459"/>
    <tableColumn id="2" xr3:uid="{B821486A-45A3-4F71-8B30-57C4E74121B8}" name="Bereitstellungsalternative" totalsRowFunction="sum" dataDxfId="874" totalsRowDxfId="458"/>
    <tableColumn id="16" xr3:uid="{528F8889-0EA5-4D2A-8D8E-96F1717AC8F3}" name="Quellen zentrale Annahmen" dataDxfId="873" totalsRowDxfId="45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872" dataDxfId="871" tableBorderDxfId="870">
  <autoFilter ref="A2:R34" xr:uid="{E48EAA67-8810-45E2-ADB4-BD9F158F350C}"/>
  <sortState ref="A3:R27">
    <sortCondition ref="A2:A27"/>
  </sortState>
  <tableColumns count="18">
    <tableColumn id="1" xr3:uid="{88DDEBCC-C969-414E-A11E-C2E25FB2A5A7}" name="Kurzbeleg" totalsRowLabel="Häufigkeit" dataDxfId="869" totalsRowDxfId="492">
      <calculatedColumnFormula>Ueberblick428[[#This Row],[Kurzbeleg]]</calculatedColumnFormula>
    </tableColumn>
    <tableColumn id="18" xr3:uid="{049BE2F3-965F-40F7-83A0-65305B62F0EE}" name="StV / Leistungen" totalsRowFunction="custom" dataDxfId="868" totalsRowDxfId="49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867" totalsRowDxfId="490">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866" totalsRowDxfId="489">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865" totalsRowDxfId="488">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864" totalsRowDxfId="48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863" totalsRowDxfId="486">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862" totalsRowDxfId="485">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861" totalsRowDxfId="484">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860" totalsRowDxfId="483">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859" totalsRowDxfId="482">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858" totalsRowDxfId="48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857" totalsRowDxfId="480">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856" totalsRowDxfId="479">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855" totalsRowDxfId="478">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854" totalsRowDxfId="47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853" totalsRowDxfId="476">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852" totalsRowDxfId="475"/>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51" dataDxfId="850">
  <autoFilter ref="A1:B17" xr:uid="{7DF54DC3-53A2-4050-BE8A-6CC5D8058F05}"/>
  <tableColumns count="2">
    <tableColumn id="1" xr3:uid="{E4BAD795-B8F3-4693-99F2-15D4AD8B3C6C}" name="Datenbasis ursprünglich" dataDxfId="849"/>
    <tableColumn id="2" xr3:uid="{2E6B535F-09AF-4A52-A827-784E7FAA18A8}" name="Hilfsspalte Kategorie" dataDxfId="84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47" dataDxfId="846">
  <autoFilter ref="A1:B46" xr:uid="{7DF54DC3-53A2-4050-BE8A-6CC5D8058F05}"/>
  <tableColumns count="2">
    <tableColumn id="1" xr3:uid="{DDFEEF39-CA04-416C-AC29-F58AB1562CBC}" name="Datenbasis ursprünglich" dataDxfId="845"/>
    <tableColumn id="2" xr3:uid="{E3B24739-423B-4C54-9B1E-F30046DE6209}" name="Hilfsspalte Kategorie" dataDxfId="84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843" dataDxfId="842" tableBorderDxfId="841">
  <autoFilter ref="A2:R34" xr:uid="{E48EAA67-8810-45E2-ADB4-BD9F158F350C}"/>
  <sortState ref="A3:R27">
    <sortCondition ref="A2:A27"/>
  </sortState>
  <tableColumns count="18">
    <tableColumn id="1" xr3:uid="{9C8310E5-4B1D-4F22-90CF-C2CADCC43F38}" name="Kurzbeleg" totalsRowLabel="Häufigkeit" dataDxfId="456" totalsRowDxfId="438">
      <calculatedColumnFormula>Ueberblick[[#This Row],[Kürzel]]</calculatedColumnFormula>
    </tableColumn>
    <tableColumn id="18" xr3:uid="{933EB2D2-D588-44B4-A6F5-4F9A8DDF6D21}" name="öffentliche Statistiken" totalsRowFunction="sum" dataDxfId="455" totalsRowDxfId="437"/>
    <tableColumn id="4" xr3:uid="{1AF7507F-7D24-434C-9D0C-FA627DC8B8FF}" name="Energiverbrauchsstatistik" totalsRowFunction="sum" dataDxfId="454" totalsRowDxfId="436"/>
    <tableColumn id="17" xr3:uid="{82BF6E7B-56F0-42D1-96BB-E755FF8B8514}" name="Smart Metering- und _x000a_Lastamanagementfeldstudien" totalsRowFunction="sum" dataDxfId="453" totalsRowDxfId="435"/>
    <tableColumn id="3" xr3:uid="{90D2769A-9E32-4500-BF57-BF6E3B9B9DC3}" name="methodisch fokussierte Paper" totalsRowFunction="sum" dataDxfId="452" totalsRowDxfId="434"/>
    <tableColumn id="15" xr3:uid="{24B6788B-64AD-4AED-83A2-EB98D81AF72D}" name="Lastmanagementpotenzialstudien" totalsRowFunction="sum" dataDxfId="451" totalsRowDxfId="433"/>
    <tableColumn id="14" xr3:uid="{1E0C2D03-C063-4E7F-B003-ED0A210CE55D}" name="Lastprofilgeneratoren" totalsRowFunction="sum" dataDxfId="450" totalsRowDxfId="432"/>
    <tableColumn id="2" xr3:uid="{9E5B6D57-730A-45F2-ACA6-65A23FFF9FBF}" name="VNB-Daten (z. B. _x000a_Einspeisemanagement)" totalsRowFunction="sum" dataDxfId="449" totalsRowDxfId="431"/>
    <tableColumn id="13" xr3:uid="{C1097463-F922-42C0-AB88-07CF95DE022E}" name="sozialwissenschaftliche Studien" totalsRowFunction="sum" dataDxfId="448" totalsRowDxfId="430"/>
    <tableColumn id="12" xr3:uid="{10E58B54-CDA3-43F7-A46D-9523DF7859F6}" name="Branchen- und Verbandsstatistiken" totalsRowFunction="sum" dataDxfId="447" totalsRowDxfId="429"/>
    <tableColumn id="11" xr3:uid="{462A1D48-E880-4F8B-A26F-59B62B20FAC4}" name="reale Lastgangdaten" totalsRowFunction="sum" dataDxfId="446" totalsRowDxfId="428"/>
    <tableColumn id="10" xr3:uid="{E7B7B5C0-0852-4954-B49A-5E5594A412EB}" name="eigene Datenbasis / Datenbank" totalsRowFunction="sum" dataDxfId="445" totalsRowDxfId="427"/>
    <tableColumn id="9" xr3:uid="{905D38C8-033F-421B-BFAB-35676AC4E21B}" name="Energiesystemanalysen" totalsRowFunction="sum" dataDxfId="444" totalsRowDxfId="426"/>
    <tableColumn id="8" xr3:uid="{29B9E608-2804-4365-981D-3306267D14A9}" name="Herstellerangaben" totalsRowFunction="sum" dataDxfId="443" totalsRowDxfId="425"/>
    <tableColumn id="7" xr3:uid="{B43E13AD-EFBE-43CE-A960-B2AE8581DE9A}" name="technische Publikationen _x000a_zu Prozessen" totalsRowFunction="sum" dataDxfId="442" totalsRowDxfId="424"/>
    <tableColumn id="6" xr3:uid="{EE180D0E-565F-4F3E-9F0C-0B1123E13464}" name="Datenportale: Verbrauchs-, _x000a_Wetter-, Preisdaten" totalsRowFunction="sum" dataDxfId="441" totalsRowDxfId="423"/>
    <tableColumn id="5" xr3:uid="{5A10419D-4F8E-46A5-A42C-643101C34559}" name="Literatur zu Elekrotmobilität" totalsRowFunction="sum" dataDxfId="440" totalsRowDxfId="422"/>
    <tableColumn id="16" xr3:uid="{3002C7D7-17A9-454C-8E0E-702E112FA71E}" name="Quellen Daten" dataDxfId="439" totalsRowDxfId="421">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840" dataDxfId="839" tableBorderDxfId="838">
  <autoFilter ref="A2:R34" xr:uid="{E48EAA67-8810-45E2-ADB4-BD9F158F350C}"/>
  <sortState ref="A3:R27">
    <sortCondition ref="A2:A27"/>
  </sortState>
  <tableColumns count="18">
    <tableColumn id="1" xr3:uid="{1D3BE409-D9DF-4452-AB22-3BE329B6FC99}" name="Kurzbeleg" totalsRowLabel="Häufigkeit" dataDxfId="837" totalsRowDxfId="420">
      <calculatedColumnFormula>Ueberblick42848[[#This Row],[Kurzbeleg]]</calculatedColumnFormula>
    </tableColumn>
    <tableColumn id="18" xr3:uid="{1A507211-643C-4F03-8CC1-F8C9CC5CB8D8}" name="Statistiken der Statistikämter / öffentlicher Stellen" totalsRowFunction="custom" dataDxfId="836" totalsRowDxfId="419">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5" totalsRowDxfId="41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4" totalsRowDxfId="417">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3" totalsRowDxfId="416">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2" totalsRowDxfId="415">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414">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30" totalsRowDxfId="41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9" totalsRowDxfId="412">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8" totalsRowDxfId="411">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7" totalsRowDxfId="410">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6" totalsRowDxfId="409">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25" totalsRowDxfId="40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24" totalsRowDxfId="407">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23" totalsRowDxfId="406">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22" totalsRowDxfId="405">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21" totalsRowDxfId="404">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20" totalsRowDxfId="40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819" dataDxfId="817" headerRowBorderDxfId="818" tableBorderDxfId="816" totalsRowBorderDxfId="815">
  <autoFilter ref="A2:F35" xr:uid="{5FEBB4B3-3215-4733-9B99-DF562E70B30A}"/>
  <tableColumns count="6">
    <tableColumn id="1" xr3:uid="{73F037F7-FC88-4381-B623-F3C30084EAE4}" name="Kurzbeleg" dataDxfId="814"/>
    <tableColumn id="2" xr3:uid="{E282E9A7-6088-4A6E-B374-A09777A389D6}" name="Modellierung (Simulation)" dataDxfId="813">
      <calculatedColumnFormula>IF(Tabelle51[[#Headers],[Modellierung (Simulation)]]=Ueberblick[[#This Row],[analytischer Ansatz zur Verwertung technischer Potenziale]],1,0)</calculatedColumnFormula>
    </tableColumn>
    <tableColumn id="3" xr3:uid="{498618F4-E389-4E84-B789-C68E70D3FA03}" name="Modellierung (Optimierung)" dataDxfId="812">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11">
      <calculatedColumnFormula>IF(Tabelle51[[#Headers],[Wirtschaftlichkeitsabschätzung]]=Ueberblick[[#This Row],[analytischer Ansatz zur Verwertung technischer Potenziale]],1,0)</calculatedColumnFormula>
    </tableColumn>
    <tableColumn id="5" xr3:uid="{C20FF8D9-E994-4FFB-9CCE-9A6B6F260127}" name="keine Verwertung" dataDxfId="810">
      <calculatedColumnFormula>IF(Tabelle51[[#Headers],[keine Verwertung]]=Ueberblick[[#This Row],[analytischer Ansatz zur Verwertung technischer Potenziale]],1,0)</calculatedColumnFormula>
    </tableColumn>
    <tableColumn id="6" xr3:uid="{7CD82416-C9B5-47FF-8149-A1F8E2424F95}" name="kombinierter Ansatz" dataDxfId="809">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808" dataDxfId="806" headerRowBorderDxfId="807" tableBorderDxfId="805" totalsRowBorderDxfId="804">
  <autoFilter ref="A2:F35" xr:uid="{5FEBB4B3-3215-4733-9B99-DF562E70B30A}"/>
  <tableColumns count="6">
    <tableColumn id="1" xr3:uid="{C4209D56-E808-4346-B05B-B5A2B9916980}" name="Kurzbeleg" dataDxfId="803"/>
    <tableColumn id="2" xr3:uid="{0850887D-82C1-4150-BF26-29F7640CC2B0}" name="Modellierung (Simulation)" dataDxfId="802">
      <calculatedColumnFormula>IF(Tabelle5153[[#Headers],[Modellierung (Simulation)]]=Ueberblick[[#This Row],[analytischer Ansatz zur Verwertung technischer Potenziale]],1,0)</calculatedColumnFormula>
    </tableColumn>
    <tableColumn id="3" xr3:uid="{9E08E9FD-7C5B-4CF9-B7D7-E3907F9CB1E4}" name="Modellierung (Optimierung)" dataDxfId="801">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00">
      <calculatedColumnFormula>IF(Tabelle5153[[#Headers],[Wirtschaftlichkeitsabschätzung]]=Ueberblick[[#This Row],[analytischer Ansatz zur Verwertung technischer Potenziale]],1,0)</calculatedColumnFormula>
    </tableColumn>
    <tableColumn id="5" xr3:uid="{409D0BD9-D4E6-4325-952D-8BC15EEF47E2}" name="keine Verwertung" dataDxfId="799">
      <calculatedColumnFormula>IF(Tabelle5153[[#Headers],[keine Verwertung]]=Ueberblick[[#This Row],[analytischer Ansatz zur Verwertung technischer Potenziale]],1,0)</calculatedColumnFormula>
    </tableColumn>
    <tableColumn id="6" xr3:uid="{4849D869-E898-4DB1-B938-8D4454B94FDB}" name="kombinierter Ansatz" dataDxfId="798">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402" dataDxfId="401" headerRowBorderDxfId="399" tableBorderDxfId="400" totalsRowBorderDxfId="398">
  <autoFilter ref="A2:AH35" xr:uid="{5FEBB4B3-3215-4733-9B99-DF562E70B30A}"/>
  <tableColumns count="34">
    <tableColumn id="1" xr3:uid="{D8D85EF3-526D-4D75-A1CD-0E4BAA3FDABC}" name="Kurzbeleg (Lesart: Zeile zitiert Spalte bzw. Spalte zitiert in Zeile)" dataDxfId="396" totalsRowDxfId="397">
      <calculatedColumnFormula>Ueberblick[[#This Row],[Kürzel]]</calculatedColumnFormula>
    </tableColumn>
    <tableColumn id="2" xr3:uid="{F7B67D6E-F7E7-4A6B-AD39-F3B62E6B3F15}" name="Ape12" dataDxfId="394" totalsRowDxfId="395">
      <calculatedColumnFormula>IF(Tabelle5155[[#Headers],[Ape12]]=Ueberblick[[#This Row],[analytischer Ansatz zur Verwertung technischer Potenziale]],1,0)</calculatedColumnFormula>
    </tableColumn>
    <tableColumn id="3" xr3:uid="{BC8C9D11-5CDE-49CA-A9F9-892516226936}" name="Ary17" dataDxfId="392" totalsRowDxfId="393">
      <calculatedColumnFormula>IF(Tabelle5155[[#Headers],[Ary17]]=Ueberblick[[#This Row],[analytischer Ansatz zur Verwertung technischer Potenziale]],1,0)</calculatedColumnFormula>
    </tableColumn>
    <tableColumn id="4" xr3:uid="{9A290058-5E72-4FC4-96A4-FC8D481764E8}" name="Aus18" dataDxfId="390" totalsRowDxfId="391">
      <calculatedColumnFormula>IF(Tabelle5155[[#Headers],[Aus18]]=Ueberblick[[#This Row],[analytischer Ansatz zur Verwertung technischer Potenziale]],1,0)</calculatedColumnFormula>
    </tableColumn>
    <tableColumn id="5" xr3:uid="{3B1890C0-3E8B-4BFF-B52B-ABDBEBB16DE5}" name="Blu13" dataDxfId="388" totalsRowDxfId="389">
      <calculatedColumnFormula>IF(Tabelle5155[[#Headers],[Blu13]]=Ueberblick[[#This Row],[analytischer Ansatz zur Verwertung technischer Potenziale]],1,0)</calculatedColumnFormula>
    </tableColumn>
    <tableColumn id="6" xr3:uid="{380EF7F0-8179-4BBC-9C40-CAA522B99CB0}" name="Foc11" dataDxfId="386" totalsRowDxfId="387">
      <calculatedColumnFormula>IF(Tabelle5155[[#Headers],[Foc11]]=Ueberblick[[#This Row],[analytischer Ansatz zur Verwertung technischer Potenziale]],1,0)</calculatedColumnFormula>
    </tableColumn>
    <tableColumn id="7" xr3:uid="{00D20496-C8D4-48B1-95D3-9C29722AE0E9}" name="Gil15" dataDxfId="384" totalsRowDxfId="385"/>
    <tableColumn id="8" xr3:uid="{B21D8DBA-34D1-4C22-9AE2-DAE6778CD066}" name="Gob12" dataDxfId="382" totalsRowDxfId="383"/>
    <tableColumn id="9" xr3:uid="{F31A9588-1FBB-4186-B32D-07634440D196}" name="Gro13" dataDxfId="380" totalsRowDxfId="381"/>
    <tableColumn id="10" xr3:uid="{411D9D05-D9DD-4D82-8486-0349E75A939F}" name="Gru17" dataDxfId="378" totalsRowDxfId="379"/>
    <tableColumn id="11" xr3:uid="{793B3291-6495-4A5C-BF9F-8FB9A7ABA4A9}" name="Haa17" dataDxfId="376" totalsRowDxfId="377"/>
    <tableColumn id="12" xr3:uid="{AD6D2ADF-F4AA-4C73-9E4A-FDFAB51D3174}" name="Hei21" dataDxfId="374" totalsRowDxfId="375"/>
    <tableColumn id="13" xr3:uid="{30F0941A-EAAD-4A3D-9589-C63615A79D0E}" name="Hen15" dataDxfId="372" totalsRowDxfId="373"/>
    <tableColumn id="14" xr3:uid="{676F7C85-F4AA-4963-A13A-E95BD47843BD}" name="Jet21" dataDxfId="370" totalsRowDxfId="371"/>
    <tableColumn id="15" xr3:uid="{8ACF9F20-7DAF-4D20-A4EC-CF6DE11F4CDA}" name="Klo09" dataDxfId="368" totalsRowDxfId="369"/>
    <tableColumn id="16" xr3:uid="{3DB8B162-3FE4-4A90-87FA-57160990F655}" name="Klo13" dataDxfId="366" totalsRowDxfId="367"/>
    <tableColumn id="17" xr3:uid="{7DF585D4-AAEC-4443-BF8D-47DEAD115833}" name="Krz13" dataDxfId="364" totalsRowDxfId="365"/>
    <tableColumn id="18" xr3:uid="{FD7645FE-800D-41C9-8B2C-B20CDE4AAD77}" name="Lad18" dataDxfId="362" totalsRowDxfId="363"/>
    <tableColumn id="19" xr3:uid="{625EF37B-EA6F-440C-8C48-FA4C6608DC56}" name="Lan15" dataDxfId="360" totalsRowDxfId="361"/>
    <tableColumn id="20" xr3:uid="{464398E9-307A-424B-BC77-B063B069AE61}" name="Lie15" dataDxfId="358" totalsRowDxfId="359"/>
    <tableColumn id="21" xr3:uid="{98EB62A2-878C-4774-A9B6-7390E00F8DB8}" name="Mae18" dataDxfId="356" totalsRowDxfId="357"/>
    <tableColumn id="22" xr3:uid="{9F3A23F6-84A2-49FA-B741-6CEE135B942B}" name="Mol10" dataDxfId="354" totalsRowDxfId="355"/>
    <tableColumn id="23" xr3:uid="{86141CDD-CE48-4DFD-A844-7BB23CAC64BE}" name="Mue19" dataDxfId="352" totalsRowDxfId="353"/>
    <tableColumn id="24" xr3:uid="{9A0874CE-B113-4E71-BBF7-82E12D22F45C}" name="Pau11" dataDxfId="350" totalsRowDxfId="351"/>
    <tableColumn id="25" xr3:uid="{62AD8525-A9D3-4D98-8F6E-6F41AEA5A22C}" name="Pel16" dataDxfId="348" totalsRowDxfId="349"/>
    <tableColumn id="26" xr3:uid="{B75467F7-84A3-4F75-8912-19D0573D365F}" name="r2b14" dataDxfId="346" totalsRowDxfId="347"/>
    <tableColumn id="27" xr3:uid="{A3E82832-69FA-4E59-8662-294156864611}" name="Roo10" dataDxfId="336" totalsRowDxfId="345"/>
    <tableColumn id="28" xr3:uid="{2F2B50EE-3D95-4538-B4D9-83A6140374F7}" name="Sau19" dataDxfId="335" totalsRowDxfId="344"/>
    <tableColumn id="29" xr3:uid="{E4C80C40-8CDE-4BEF-BA52-EA00A1C984E5}" name="Sch14" dataDxfId="334" totalsRowDxfId="343"/>
    <tableColumn id="30" xr3:uid="{4944D849-AA3B-451E-8EF0-E73E0D488FE0}" name="Sta06" dataDxfId="333" totalsRowDxfId="342"/>
    <tableColumn id="31" xr3:uid="{BEE9679B-3C2D-4DCC-9EDC-760FBB05839D}" name="Ste17" dataDxfId="332" totalsRowDxfId="341"/>
    <tableColumn id="32" xr3:uid="{B7FD8097-45CD-45CF-86BE-9850FBA99BD0}" name="Sty15" dataDxfId="331" totalsRowDxfId="340"/>
    <tableColumn id="33" xr3:uid="{A1FB483A-3E37-4D0D-B31D-A40350266AC7}" name="Woh20" dataDxfId="330" totalsRowDxfId="339"/>
    <tableColumn id="34" xr3:uid="{E6D90963-AC67-4930-9C6D-74EF3A7549A3}" name="Fundstellen" dataDxfId="338" totalsRowDxfId="337"/>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97" dataDxfId="796">
  <autoFilter ref="A1:B13" xr:uid="{A03E08DD-7709-4984-BF16-151464BB880D}"/>
  <sortState ref="A2:B13">
    <sortCondition ref="B1:B13"/>
  </sortState>
  <tableColumns count="2">
    <tableColumn id="1" xr3:uid="{868C530B-3D67-4803-A4E7-B351301DE32B}" name="Hilfsspalte Kategorie" dataDxfId="795"/>
    <tableColumn id="2" xr3:uid="{1EF364BA-B991-492E-BEA2-73252059E8E6}" name="Industrie - QST zusammengefasst" dataDxfId="79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965" dataDxfId="963" headerRowBorderDxfId="964" tableBorderDxfId="962">
  <autoFilter ref="A1:F38" xr:uid="{B0CCFB7F-7C05-42CE-B1F3-4030B85CB263}"/>
  <sortState ref="A2:F38">
    <sortCondition ref="A1:A38"/>
  </sortState>
  <tableColumns count="6">
    <tableColumn id="1" xr3:uid="{18AFCF2E-B4FA-4BD4-9D0B-912C3DCAECC8}" name="Kurzbeleg" dataDxfId="961"/>
    <tableColumn id="2" xr3:uid="{096E67B4-7CB5-47EF-B3EF-7A68F33F9466}" name="Titel der Studie" dataDxfId="960"/>
    <tableColumn id="3" xr3:uid="{D8DC91E6-85EB-408C-9B9A-29D7915E4C6E}" name="durchführende Institution" dataDxfId="959"/>
    <tableColumn id="4" xr3:uid="{B2A958A3-638D-4E2B-B8C2-9392E7D2A026}" name="Fördermittel- / Auftraggeber" dataDxfId="958"/>
    <tableColumn id="5" xr3:uid="{923528D2-F611-44E9-B4D6-9E1B65EC6355}" name="Art der Schrift" dataDxfId="957"/>
    <tableColumn id="6" xr3:uid="{6735A55C-F82F-4915-9DAD-6E670C142B0E}" name="Fokus auf Lastmanagement" dataDxfId="956"/>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793" dataDxfId="792">
  <autoFilter ref="A1:D29" xr:uid="{A03E08DD-7709-4984-BF16-151464BB880D}"/>
  <sortState ref="A2:D28">
    <sortCondition ref="B1:B28"/>
  </sortState>
  <tableColumns count="4">
    <tableColumn id="1" xr3:uid="{FE6083EA-8CA9-4A80-A33C-380FEF53DC36}" name="Hilfsspalte Kategorie" dataDxfId="791"/>
    <tableColumn id="2" xr3:uid="{281E38E7-C624-4D2E-9E52-2E331D2D487F}" name="GHD - QST / Branchen zusammengefasst" dataDxfId="790"/>
    <tableColumn id="3" xr3:uid="{0DE1ED72-F3F6-4CE9-9A8E-0B9AD4A5844F}" name="WZ-Klassifikation" dataDxfId="789"/>
    <tableColumn id="4" xr3:uid="{B8882F8E-3B90-463F-ACB4-17888590CC35}" name="WZ-Bezeichnung" dataDxfId="78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87" dataDxfId="786">
  <autoFilter ref="A1:D20" xr:uid="{A03E08DD-7709-4984-BF16-151464BB880D}"/>
  <sortState ref="A2:D20">
    <sortCondition ref="B1:B20"/>
  </sortState>
  <tableColumns count="4">
    <tableColumn id="1" xr3:uid="{90FACE7E-D698-438B-87BE-2288B53E49D8}" name="Hilfsspalte Kategorie" dataDxfId="785"/>
    <tableColumn id="2" xr3:uid="{C889D00E-14CA-4666-A774-BEB1FF5E01C8}" name="HaHa - Geräte / Anwendungen zusammengefasst" dataDxfId="784"/>
    <tableColumn id="3" xr3:uid="{59E5BFC6-7A7C-46F5-B691-AC955A6CEC0C}" name="WZ-Klassifikation" dataDxfId="783"/>
    <tableColumn id="4" xr3:uid="{BD0935B8-3532-4FA0-B27A-70D043F64DC8}" name="WZ-Bezeichnung" dataDxfId="78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781" dataDxfId="780">
  <autoFilter ref="A1:D27" xr:uid="{A03E08DD-7709-4984-BF16-151464BB880D}"/>
  <tableColumns count="4">
    <tableColumn id="1" xr3:uid="{79072006-5505-4D3B-B704-6A25AC168E53}" name="Hilfsspalte Kategorie" dataDxfId="779"/>
    <tableColumn id="2" xr3:uid="{4E9EB8B9-E9B1-4126-9409-83702D7A064D}" name="Industrie - Prozesse zusammengefasst" dataDxfId="778"/>
    <tableColumn id="3" xr3:uid="{5DC6CBD8-8975-456F-AE4E-34A9564C8163}" name="WZ-Klassifikation" dataDxfId="777"/>
    <tableColumn id="4" xr3:uid="{38860EE9-9DB9-41B9-AB39-509B7C637128}" name="WZ-Bezeichnung" dataDxfId="776"/>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775" dataDxfId="774">
  <autoFilter ref="A1:D89" xr:uid="{5BF24CFB-1988-47FB-BD43-DC73E697E76C}"/>
  <sortState ref="A20:D87">
    <sortCondition ref="B1:B87"/>
  </sortState>
  <tableColumns count="4">
    <tableColumn id="1" xr3:uid="{6D7E9EC4-B9B3-49C1-86BF-6919F73E54E8}" name="Industrie - Prozesse ursprünglich" dataDxfId="773"/>
    <tableColumn id="2" xr3:uid="{B313EA94-78C1-4C8C-9496-9605C596C8DA}" name="Hilfsspalte Kategorie" dataDxfId="772"/>
    <tableColumn id="3" xr3:uid="{2A6288B0-7345-494B-8440-79CE01729FF3}" name="WZ-Klassifikation" dataDxfId="771"/>
    <tableColumn id="4" xr3:uid="{971E644A-8B41-4E87-92E9-F9993A234D89}" name="WZ-Bezeichnung" dataDxfId="77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769" dataDxfId="767" headerRowBorderDxfId="768" tableBorderDxfId="766" totalsRowBorderDxfId="765">
  <autoFilter ref="A1:AA33" xr:uid="{35E18D40-7314-4C3A-B78A-67D81B56EAD4}"/>
  <tableColumns count="27">
    <tableColumn id="1" xr3:uid="{4DFC38AB-8BEC-486F-B91B-4C44740E6209}" name="Kurzbeleg" dataDxfId="764"/>
    <tableColumn id="2" xr3:uid="{1ED7F4D7-DB1C-47B6-ADBE-5A0010DA755C}" name="Primäraluminiumelektrolyse" dataDxfId="763"/>
    <tableColumn id="3" xr3:uid="{535953BF-174B-4949-938E-0794B8BEF528}" name="Papierherstellung _x000a_(Prozess gesamt)" dataDxfId="762"/>
    <tableColumn id="4" xr3:uid="{7123BA30-0BC9-4859-9E4A-641B37B6D2DF}" name="Holzstoff- und Zellstoffherstellung _x000a_(Holzschleifer / Refiner)" dataDxfId="761"/>
    <tableColumn id="5" xr3:uid="{552EBFEA-ED62-4B2A-84AE-C546A900B3C5}" name="Papiermaschinen" dataDxfId="760"/>
    <tableColumn id="6" xr3:uid="{B4BF778F-DFD8-4CFA-9030-B2529EEB48F1}" name="Altpapierrecycling (Pulper)" dataDxfId="759"/>
    <tableColumn id="29" xr3:uid="{E1717EA6-B3E6-437C-AF04-6997D61E2387}" name="Papierveredelung _x000a_(Streichmaschinen und Kalander)" dataDxfId="758"/>
    <tableColumn id="7" xr3:uid="{D434FBAE-D015-453A-8225-C95F4620196C}" name="Chlor-Alkali-Elektrolyse" dataDxfId="757"/>
    <tableColumn id="8" xr3:uid="{5CA47E4D-7997-41C7-9878-5456C5FFAE20}" name="Elektrostahlherstellung _x000a_(Lichtbogenofen)" dataDxfId="756"/>
    <tableColumn id="9" xr3:uid="{535F0778-0A37-4065-AC7A-45401C3F4390}" name="Zementherstellung _x000a_(Prozess gesamt)" dataDxfId="755"/>
    <tableColumn id="10" xr3:uid="{7ED047C6-9033-40D2-A837-9BB6090A19A0}" name="Zementmühlen" dataDxfId="754"/>
    <tableColumn id="12" xr3:uid="{DE3BC066-54CA-42C7-BDC1-C785418C8FE7}" name="Luftzerlegung" dataDxfId="753"/>
    <tableColumn id="13" xr3:uid="{95A16E7B-A34A-455F-BA01-F2022F5350F6}" name="Kupfer- und Zinkherstellung _x000a_(Elektrolyse)" dataDxfId="752"/>
    <tableColumn id="14" xr3:uid="{1675FC09-6D9B-4BA5-9D6E-38E3B630C070}" name="Primärkupferherstellung _x000a_(elektrolytische Kupferraffination)" dataDxfId="751"/>
    <tableColumn id="15" xr3:uid="{C2BD8A95-93EC-497C-9787-824F4C2463FF}" name="Primärzinkherstellung _x000a_(Nasschemische Elektrolyse)" dataDxfId="750"/>
    <tableColumn id="16" xr3:uid="{1EE64974-739E-4458-8858-9F966B92DA9B}" name="Metallbearbeitung _x000a_(Wärmebehandlung)" dataDxfId="749"/>
    <tableColumn id="17" xr3:uid="{178548AE-4521-4968-962C-6F14307CAAFE}" name="Gießereien (Induktionsofen)" dataDxfId="748"/>
    <tableColumn id="19" xr3:uid="{14B2A3B1-D6D9-4058-8EC3-86E7F1B3C268}" name="Calciumcarbid-Herstellung _x000a_(Lichtbogenofen)" dataDxfId="747"/>
    <tableColumn id="20" xr3:uid="{AB87B2B3-09B9-40EB-A6A7-60F6D3C76D0E}" name="Ernährungsindustrie gesamt" dataDxfId="746"/>
    <tableColumn id="21" xr3:uid="{7513E9FF-DD72-4B5D-B7B9-E614F27694B1}" name="Chemieindustrie gesamt" dataDxfId="745"/>
    <tableColumn id="22" xr3:uid="{F270C622-BF7C-429C-86C0-2DDB125FA323}" name="Kfz-Industrie gesamt" dataDxfId="744"/>
    <tableColumn id="23" xr3:uid="{ECDFD12C-7696-44AD-909A-5A24C3E5108C}" name="Maschinenbau gesamt" dataDxfId="743"/>
    <tableColumn id="24" xr3:uid="{E10947C6-EAB2-4BA6-B1D4-ECA4AEEDB97F}" name="Glasindustrie gesamt" dataDxfId="742"/>
    <tableColumn id="25" xr3:uid="{B50A6CAF-5CCE-4DE5-BB39-027057E51E49}" name="Behälterglasindustrie" dataDxfId="741"/>
    <tableColumn id="27" xr3:uid="{A5959157-EE85-4411-BDC1-07E5AFEC52BB}" name="Silizium-Metall _x000a_(Lichtbogenofen)" dataDxfId="740"/>
    <tableColumn id="28" xr3:uid="{1796B00B-B236-4564-B8E4-FBD92C29FABE}" name="Graphitelektroden _x000a_(Graphitierungsofen)" dataDxfId="739"/>
    <tableColumn id="11" xr3:uid="{7FB3C985-DA46-4FA7-821F-EDF95CB04BAE}" name="Rohstoffschmelzanlagen für Feuerfestmaterialien" dataDxfId="13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34" totalsRowShown="0" headerRowDxfId="738" dataDxfId="736" headerRowBorderDxfId="737" tableBorderDxfId="735" totalsRowBorderDxfId="734">
  <autoFilter ref="A1:Z34" xr:uid="{35E18D40-7314-4C3A-B78A-67D81B56EAD4}"/>
  <tableColumns count="26">
    <tableColumn id="1" xr3:uid="{EA2A614A-EDF4-49A8-8CCE-0EBB58A18D5C}" name="Kurzbeleg" dataDxfId="733">
      <calculatedColumnFormula>Tabelle1420[[#This Row],[Kurzbeleg]]</calculatedColumnFormula>
    </tableColumn>
    <tableColumn id="2" xr3:uid="{7874FAE5-2638-4476-AD82-3F9A5825FA3B}" name="Primäraluminiumelektrolyse" dataDxfId="732">
      <calculatedColumnFormula>VLOOKUP(Tabelle1420[[#This Row],[Primäraluminiumelektrolyse]],Dropdown!$A$2:$D$4,4,FALSE)</calculatedColumnFormula>
    </tableColumn>
    <tableColumn id="3" xr3:uid="{4573F8FB-43FD-4ED4-B42F-AD4B2D4B0558}" name="Papierherstellung" dataDxfId="731"/>
    <tableColumn id="4" xr3:uid="{9EEF02CB-6057-46AF-A0F2-7D10CA6D638C}" name="Holzstoff- und Zellstoffherstellung" dataDxfId="730"/>
    <tableColumn id="5" xr3:uid="{B675B0D6-768D-423F-AD50-63CCA2FDD36D}" name="Papiermaschinen" dataDxfId="729"/>
    <tableColumn id="6" xr3:uid="{7FF90FDE-299C-4342-A5CD-61AE34F94DFE}" name="Altpapierrecycling (Pulper)" dataDxfId="728"/>
    <tableColumn id="29" xr3:uid="{9E5F457D-F53E-4E90-A03B-D34852AB0BDF}" name="Papierveredelung (Streichmaschinen und Kalander)" dataDxfId="727"/>
    <tableColumn id="7" xr3:uid="{3008FABF-1D2E-482E-AE37-E8F7372BD2F6}" name="Chlor-Alkali-Elektrolyse" dataDxfId="726"/>
    <tableColumn id="8" xr3:uid="{3391DB6B-60B7-40B4-A53A-66FA29FE40E3}" name="Elektrostahlherstellung (Lichtbogenofen)" dataDxfId="725"/>
    <tableColumn id="9" xr3:uid="{BB9AC3BB-F64F-4B8D-A5F4-32223679D85B}" name="Zementherstellung" dataDxfId="724"/>
    <tableColumn id="10" xr3:uid="{12E5AD2B-1990-49B2-BBF6-ACB21A3CF543}" name="Zementmühlen" dataDxfId="723"/>
    <tableColumn id="12" xr3:uid="{4BF64E6E-635F-4AC9-8877-F1074C70728A}" name="Luftzerlegung" dataDxfId="722"/>
    <tableColumn id="13" xr3:uid="{8947C39C-A4D8-47BF-889D-586BC4571871}" name="Kupfer- und Zinkherstellung (Elektrolyse)" dataDxfId="721"/>
    <tableColumn id="14" xr3:uid="{4D57FA4C-B372-45F3-8F74-3560AFCB1D15}" name="Primärkupferherstellung (elektrolytische Kupferraffination)" dataDxfId="720"/>
    <tableColumn id="15" xr3:uid="{0ABDCC41-C58E-407C-B67F-07AC43D23A2C}" name="Primärzinkherstellung (Nasschemische Elektrolyse)" dataDxfId="719"/>
    <tableColumn id="16" xr3:uid="{E9AADEDF-42FA-422F-B1D6-5C68CB2CABE0}" name="Metallbearbeitung (Wärmebehandlung)" dataDxfId="718"/>
    <tableColumn id="17" xr3:uid="{FFBA5DC4-624F-476D-BCCC-ABFB4F8527D4}" name="Gießereien (Induktionsofen)" dataDxfId="717"/>
    <tableColumn id="19" xr3:uid="{F7558C3A-E062-48C2-B667-E8DD5DD37AEC}" name="Calciumcarbid-Herstellung (Lichtbogenofen)" dataDxfId="716"/>
    <tableColumn id="20" xr3:uid="{B1EFB6C5-C555-4146-8DF0-768E025A6ABD}" name="Ernährungsindustrie gesamt" dataDxfId="715"/>
    <tableColumn id="21" xr3:uid="{DEBF1EF3-C1AA-464B-AEF4-D2EAE859BA51}" name="Chemieindustrie gesamt" dataDxfId="714"/>
    <tableColumn id="22" xr3:uid="{861ED872-339F-45B0-99A5-6557CD694977}" name="Kfz-Industrie gesamt" dataDxfId="713"/>
    <tableColumn id="23" xr3:uid="{24AB2EFE-69DB-4C0B-B6DD-C0D98255BFF1}" name="Maschinenbau gesamt" dataDxfId="712"/>
    <tableColumn id="24" xr3:uid="{3A8EC6DE-EF7E-428B-938C-61ACC7E0F519}" name="Glasindustrie gesamt" dataDxfId="711"/>
    <tableColumn id="25" xr3:uid="{A274F555-7F6D-4FF4-BC61-9A59B7B3E132}" name="Behälterglasindustrie" dataDxfId="710"/>
    <tableColumn id="27" xr3:uid="{3898CAF3-5650-4128-A6F2-55FB11BA2DC5}" name="Silizium-Metall (Lichtbogenofen)" dataDxfId="709"/>
    <tableColumn id="28" xr3:uid="{E9601048-568B-401B-97B6-69B5CD78BC63}" name="Graphitelektroden (Graphitierungsofen)" dataDxfId="708"/>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707" dataDxfId="705" headerRowBorderDxfId="706" tableBorderDxfId="704">
  <autoFilter ref="A1:M34" xr:uid="{A0B3C08B-9716-44D9-B61C-FD66E382073C}"/>
  <tableColumns count="13">
    <tableColumn id="1" xr3:uid="{A76CA4D0-CAB7-46C7-8229-CBF96E721E24}" name="Kurzbeleg" totalsRowFunction="sum" dataDxfId="703" totalsRowDxfId="702">
      <calculatedColumnFormula>Gesamtueberblick!B3</calculatedColumnFormula>
    </tableColumn>
    <tableColumn id="2" xr3:uid="{693E83B0-D9AB-4888-98EA-9B6908FCA563}" name="Druckluftanwendungen" dataDxfId="701" totalsRowDxfId="700"/>
    <tableColumn id="3" xr3:uid="{89A16228-E0AD-419E-9B74-7B8B7D24CE84}" name="Prozessdampf mittels _x000a_KWK-Eigenerzeugung" dataDxfId="699" totalsRowDxfId="698"/>
    <tableColumn id="4" xr3:uid="{711EEE4E-D014-45A3-A7C3-B2627873D101}" name="Prozesskälte" dataDxfId="697" totalsRowDxfId="696"/>
    <tableColumn id="5" xr3:uid="{CB29E5A1-3B7A-4EDA-ACEA-8AAF1BAC8BC1}" name="Kühlung _x000a_(Lebensmittelindustrie)" dataDxfId="695" totalsRowDxfId="694"/>
    <tableColumn id="6" xr3:uid="{6F4A3F2D-4E3E-413F-B932-42B14BFE3E52}" name="Belüftung" dataDxfId="693" totalsRowDxfId="692"/>
    <tableColumn id="7" xr3:uid="{ACB1897D-8418-46AF-BA1F-213BEBB0BD31}" name="Beleuchtung" dataDxfId="691" totalsRowDxfId="690"/>
    <tableColumn id="8" xr3:uid="{0BA0BD35-5EB9-482F-A79F-AC2E6E30CEF6}" name="Pumpenanwendungen" dataDxfId="689" totalsRowDxfId="688"/>
    <tableColumn id="9" xr3:uid="{B6BDE5D4-33C4-4BBA-96A4-4A62DD8ABA42}" name="Elektrodenheizkessel" dataDxfId="687" totalsRowDxfId="686"/>
    <tableColumn id="10" xr3:uid="{B522590D-3081-4A49-A70E-3DFAD1A5B410}" name="Zerkleinerer" dataDxfId="685" totalsRowDxfId="684"/>
    <tableColumn id="11" xr3:uid="{20C6BB25-C766-4BEA-8324-2A0616306208}" name="Fördertechnik" dataDxfId="683" totalsRowDxfId="682"/>
    <tableColumn id="12" xr3:uid="{3C79CE86-22FF-4B98-8628-439AA117B3F9}" name="Klimakälte" dataDxfId="681" totalsRowDxfId="680"/>
    <tableColumn id="13" xr3:uid="{39829662-D903-42D9-89C4-D5559DFD4107}" name="Elektrische _x000a_Wärmeerzeugung" totalsRowFunction="sum" dataDxfId="679" totalsRowDxfId="67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677" dataDxfId="675" headerRowBorderDxfId="676" tableBorderDxfId="674">
  <autoFilter ref="A1:M34" xr:uid="{A0B3C08B-9716-44D9-B61C-FD66E382073C}"/>
  <tableColumns count="13">
    <tableColumn id="1" xr3:uid="{5851855A-9536-4F87-AA22-E07DE423906A}" name="Kurzbeleg" dataDxfId="673">
      <calculatedColumnFormula>Tabelle1521[[#This Row],[Kurzbeleg]]</calculatedColumnFormula>
    </tableColumn>
    <tableColumn id="2" xr3:uid="{0BEC2AD4-2246-473D-A31D-6B60B192435B}" name="Druckluftanwendungen" dataDxfId="672">
      <calculatedColumnFormula>VLOOKUP(Tabelle1521[[#This Row],[Druckluftanwendungen]],Dropdown!$A$2:$D$4,4,FALSE)</calculatedColumnFormula>
    </tableColumn>
    <tableColumn id="3" xr3:uid="{F76FB3D2-46B3-4879-B50A-7AC5C271F749}" name="Prozessdampf mittels KWK-Eigenerzeugung" dataDxfId="671"/>
    <tableColumn id="4" xr3:uid="{83752EF1-D6FC-414D-BD53-24B5D0E430F4}" name="Prozesskälte" dataDxfId="670"/>
    <tableColumn id="5" xr3:uid="{EE3DE9E4-37E3-458C-AC45-8895BBD7C567}" name="Kühlung (Lebensmittelindustrie)" dataDxfId="669"/>
    <tableColumn id="6" xr3:uid="{CA69E8CA-3E0F-4F16-8358-EF318824E3EB}" name="Belüftung" dataDxfId="668"/>
    <tableColumn id="7" xr3:uid="{8BD3F4BE-29CF-4965-9FD8-219C57D8DC59}" name="Beleuchtung" dataDxfId="667"/>
    <tableColumn id="8" xr3:uid="{6A6E109F-D1FF-4D7D-9044-162E13B5F4FB}" name="Pumpenanwendungen" dataDxfId="666"/>
    <tableColumn id="9" xr3:uid="{FAE530AC-8100-4B1A-9DF4-F3F98443A831}" name="Elektrodenheizkessel" dataDxfId="665"/>
    <tableColumn id="10" xr3:uid="{016E005A-4F8A-492E-A5DD-6DDEF439513D}" name="Zerkleinerer" dataDxfId="664"/>
    <tableColumn id="11" xr3:uid="{4304F031-59CC-47EB-A7FA-7BD240E0F4E5}" name="Fördertechnik" dataDxfId="663"/>
    <tableColumn id="12" xr3:uid="{B467B71F-7754-4EDC-A913-2FE5BD368483}" name="Klimakälte" dataDxfId="662"/>
    <tableColumn id="13" xr3:uid="{9F736087-FDE3-4A57-8103-7813572A80E1}" name="Elektrische Wärmeerzeugung (Raum- und Prozesswärme)" dataDxfId="661"/>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660" dataDxfId="658" headerRowBorderDxfId="659" tableBorderDxfId="657">
  <autoFilter ref="A1:AC34" xr:uid="{05AF98B3-F721-4D50-ABCC-4B04656278BA}"/>
  <tableColumns count="29">
    <tableColumn id="1" xr3:uid="{F1B5B218-C7FA-445C-A7D7-E6A65ED4E39F}" name="Kurzbeleg" dataDxfId="48">
      <calculatedColumnFormula>Gesamtueberblick!B3</calculatedColumnFormula>
    </tableColumn>
    <tableColumn id="2" xr3:uid="{29C7BE6B-37B2-4D47-B228-582D61C3E47E}" name="Büros und Textilbetriebe gesamt" dataDxfId="47"/>
    <tableColumn id="3" xr3:uid="{F95513B4-AD8A-4E18-A0F0-2DFB394AF57E}" name="Handel gesamt" dataDxfId="46"/>
    <tableColumn id="4" xr3:uid="{A7F91D90-9D1C-4441-8931-3859FAB1D6BB}" name="Gastgewerbe gesamt" dataDxfId="45"/>
    <tableColumn id="5" xr3:uid="{0B866FE8-6249-4F6E-81BB-23246EC4636E}" name="Landwirtschaft gesamt" dataDxfId="44"/>
    <tableColumn id="6" xr3:uid="{740059D1-FABB-4D91-B245-219AA54DF59B}" name="Gartenbau gesamt" dataDxfId="43"/>
    <tableColumn id="7" xr3:uid="{FDC7EB1C-3F77-453D-BB94-38C4538DAF76}" name="Bäder gesamt" dataDxfId="42"/>
    <tableColumn id="8" xr3:uid="{7B7FB26C-AE72-4331-A10C-7A5F772C5B37}" name="Wäschereien gesamt" dataDxfId="41"/>
    <tableColumn id="9" xr3:uid="{73B011C0-4D93-44B3-9A56-0F50AC3444A4}" name="produzierendes Gewerbe gesamt" dataDxfId="40"/>
    <tableColumn id="10" xr3:uid="{B16F16E2-45E7-4009-9209-632E3E0D0107}" name="Baugewerbe gesamt" dataDxfId="39"/>
    <tableColumn id="11" xr3:uid="{DDBCAAAC-8779-4628-8928-BCEA3B2DF8B9}" name="Prozesskälte" dataDxfId="38"/>
    <tableColumn id="12" xr3:uid="{5A2D5951-A674-46D2-9C30-E2FB30179074}" name="Kühlhäuser" dataDxfId="37"/>
    <tableColumn id="13" xr3:uid="{DB8451D2-D612-4B33-BF6F-6C6200A45F44}" name="Kühlung im _x000a_Lebensmitteleinzelhandel" dataDxfId="36"/>
    <tableColumn id="14" xr3:uid="{0F2C2F77-AF47-402B-A8C3-4D3E7FC676A8}" name="Kühlung im Gastronomiebereich _x000a_(Hotels, Restaurants)" dataDxfId="35"/>
    <tableColumn id="16" xr3:uid="{B180584E-F93A-4B45-A78C-168F33A9811E}" name="Klimakälte" dataDxfId="34"/>
    <tableColumn id="18" xr3:uid="{84865AB8-0C4D-438B-98EE-0A5C26DD4BD3}" name="Warmwasserbereitstellung" dataDxfId="33"/>
    <tableColumn id="19" xr3:uid="{24916D74-51FC-434B-94ED-FED33D0BD957}" name="Raumwärme _x000a_(elektrische Raumheizung)" dataDxfId="32"/>
    <tableColumn id="20" xr3:uid="{194C10EA-C7C7-4279-96EA-5B9A2511C934}" name="Nachtspeicherheizungen" dataDxfId="31"/>
    <tableColumn id="21" xr3:uid="{3F41CFA9-497E-4AD4-9556-C319D1787207}" name="Wärmepumpen" dataDxfId="30"/>
    <tableColumn id="22" xr3:uid="{CEF3864B-0930-46AA-8C73-C7936DAB756B}" name="Hybrid-Wärmeerzeugungssysteme" dataDxfId="29"/>
    <tableColumn id="23" xr3:uid="{8D372C8E-8119-4F63-A107-1A499E17487E}" name="Pumpenanwendungen" dataDxfId="28"/>
    <tableColumn id="24" xr3:uid="{937239E5-942B-4E41-BDEC-13D0E4F8FF2C}" name="Pumpenanwendungen in der _x000a_Wasserversorgung" dataDxfId="27"/>
    <tableColumn id="25" xr3:uid="{69B14514-E7C0-4194-B952-FFAE11B0A0C2}" name="Beleuchtung im Gartenbau" dataDxfId="26"/>
    <tableColumn id="26" xr3:uid="{BBAAE4FD-49DB-4921-8A33-140E0509DDE1}" name="Belüftung" dataDxfId="25"/>
    <tableColumn id="27" xr3:uid="{4CFF34B5-80F6-4B8F-B613-9F8E9221826A}" name="Abwasserbehandlung" dataDxfId="24"/>
    <tableColumn id="15" xr3:uid="{02BD82EE-0E94-49F0-8C8B-4DFC7449B5C1}" name="Notstromaggregate, Back-Up-_x000a_Server und Mobilfunkstationen" dataDxfId="23"/>
    <tableColumn id="29" xr3:uid="{D6C342DA-D40D-459A-8D6C-B79AF0B98E3C}" name="Prozesswärme" dataDxfId="22"/>
    <tableColumn id="30" xr3:uid="{81311F27-FEC1-4887-AF73-D821E3CDC1C9}" name="Druckluft" dataDxfId="21"/>
    <tableColumn id="17" xr3:uid="{102205BF-526E-4487-A2C7-4195E491951B}" name="Rechenzentren" dataDxfId="20"/>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656" dataDxfId="654" headerRowBorderDxfId="655" tableBorderDxfId="653">
  <autoFilter ref="A1:AC34" xr:uid="{05AF98B3-F721-4D50-ABCC-4B04656278BA}"/>
  <tableColumns count="29">
    <tableColumn id="1" xr3:uid="{8D8875B7-958B-4AAB-A59E-A744BB2BD7B4}" name="Kurzbeleg" dataDxfId="652">
      <calculatedColumnFormula>Tabelle1722[[#This Row],[Kurzbeleg]]</calculatedColumnFormula>
    </tableColumn>
    <tableColumn id="2" xr3:uid="{A08A8298-265B-4C3B-ABA4-059EC9EEED58}" name="Büros und Textilbetriebe gesamt" dataDxfId="49">
      <calculatedColumnFormula>Tabelle1722[[#This Row],[Büros und Textilbetriebe gesamt]]</calculatedColumnFormula>
    </tableColumn>
    <tableColumn id="3" xr3:uid="{99F5D8C2-ECA4-4745-B66F-34946BE11AFC}" name="Handel gesamt" dataDxfId="651"/>
    <tableColumn id="4" xr3:uid="{FEAC25A5-C78F-44BE-808C-D345014DDF84}" name="Gastgewerbe gesamt" dataDxfId="650"/>
    <tableColumn id="5" xr3:uid="{C3CD48AA-0ECC-40DA-A14C-E93DC94BB098}" name="Landwirtschaft gesamt" dataDxfId="649"/>
    <tableColumn id="6" xr3:uid="{F019E30D-54BB-4D39-95C7-E7E0E9AAF5FA}" name="Gartenbau gesamt" dataDxfId="648"/>
    <tableColumn id="7" xr3:uid="{CADCC95D-78AE-4BAC-98E1-D646BB14B348}" name="Bäder gesamt" dataDxfId="647"/>
    <tableColumn id="8" xr3:uid="{5ADDAB03-B281-48DC-B323-F7212B351F55}" name="Wäschereien gesamt" dataDxfId="646"/>
    <tableColumn id="9" xr3:uid="{04F28BD5-CF01-478B-B437-B34E9664C8A8}" name="produzierendes Gewerbe gesamt" dataDxfId="645"/>
    <tableColumn id="10" xr3:uid="{19DE1E77-CB0E-4B42-B3A8-C7E265C35C27}" name="Baugewerbe gesamt" dataDxfId="644"/>
    <tableColumn id="11" xr3:uid="{B0EF21C7-C0AE-4D30-AA24-B596B91A6F9B}" name="Prozesskälte" dataDxfId="643"/>
    <tableColumn id="12" xr3:uid="{D281EE4E-5147-441E-8441-6624BE23E6A7}" name="Kühlhäuser" dataDxfId="642"/>
    <tableColumn id="13" xr3:uid="{BF1ACCF4-C417-454F-A00B-9EB77804BA26}" name="Kühlung im Lebensmitteleinzelhandel" dataDxfId="641"/>
    <tableColumn id="14" xr3:uid="{DBF91CB5-9EAA-4FF5-B0B6-EFE391306913}" name="Kühlung im Gastronomiebereich (Hotels, Restaurants)" dataDxfId="640"/>
    <tableColumn id="16" xr3:uid="{88BDF8F1-2BE4-4BEB-95C8-388BD408748C}" name="Klimakälte" dataDxfId="639"/>
    <tableColumn id="18" xr3:uid="{CED9BF9F-86C7-4E15-9758-C735258B385B}" name="Warmwasserbereitstellung" dataDxfId="638"/>
    <tableColumn id="19" xr3:uid="{83C29A72-7253-40A3-A55A-10ED98B46C44}" name="Raumwärme (elektrische Raumheizung)" dataDxfId="637"/>
    <tableColumn id="20" xr3:uid="{62BAAA64-F2DE-42F1-99E5-5716E4596350}" name="Nachtspeicherheizungen" dataDxfId="636"/>
    <tableColumn id="21" xr3:uid="{35BB23CF-7A4D-4B9C-B595-E304189CA08A}" name="Wärmepumpen" dataDxfId="635"/>
    <tableColumn id="22" xr3:uid="{2BC76470-F6D9-48E8-A034-B9B551EEF427}" name="Hybrid-Wärmeerzeugungssysteme" dataDxfId="634"/>
    <tableColumn id="23" xr3:uid="{D8DC08B5-F6A1-4C66-B902-C17E7D28DAF0}" name="Pumpenanwendungen" dataDxfId="633"/>
    <tableColumn id="24" xr3:uid="{B5CF1FB9-A826-46E8-8A68-8C9800B5E335}" name="Pumpenanwendungen in der Wasserversorgung" dataDxfId="632"/>
    <tableColumn id="25" xr3:uid="{CB33D002-7840-44B4-98D0-6C0AF0C077D5}" name="Beleuchtung im Gartenbau" dataDxfId="631"/>
    <tableColumn id="26" xr3:uid="{127D2DC1-1124-4AB2-B983-7D900767BD59}" name="Belüftung" dataDxfId="630"/>
    <tableColumn id="27" xr3:uid="{8B1474FE-4B91-4B4A-AC74-FE7877ACC70E}" name="Abwasserbehandlung" dataDxfId="629"/>
    <tableColumn id="15" xr3:uid="{E590CD43-45B9-4F27-84C1-5D0175D4524A}" name="Notstromaggregate, Back-Up-Server und Mobilfunkstationen" dataDxfId="628"/>
    <tableColumn id="29" xr3:uid="{DC338882-7A52-429D-94D8-44F6E771E84F}" name="Prozesswärme" dataDxfId="627"/>
    <tableColumn id="30" xr3:uid="{3D9F373E-79EB-49EF-92CA-4AE9251F354B}" name="Druckluft" dataDxfId="626"/>
    <tableColumn id="17" xr3:uid="{57B27A03-8BCB-4D53-ADB3-1F24EAF8CFEF}" name="Rechenzentren" dataDxfId="13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955" dataDxfId="954" tableBorderDxfId="953">
  <autoFilter ref="A2:P34" xr:uid="{E48EAA67-8810-45E2-ADB4-BD9F158F350C}"/>
  <sortState ref="A3:P27">
    <sortCondition ref="A2:A27"/>
  </sortState>
  <tableColumns count="16">
    <tableColumn id="1" xr3:uid="{B031046E-A31A-4671-94FE-2E31F93BB0BB}" name="Kurzbeleg" totalsRowLabel="Häufigkeit" dataDxfId="952" totalsRowDxfId="524">
      <calculatedColumnFormula>Ueberblick[[#This Row],[Kürzel]]</calculatedColumnFormula>
    </tableColumn>
    <tableColumn id="3" xr3:uid="{A444CCAC-A0F8-435E-84F6-65930ED560A9}" name="Bottom-Up-Abschätzung" totalsRowFunction="custom" dataDxfId="951" totalsRowDxfId="523">
      <calculatedColumnFormula>Ueberblick[[#This Row],[Bottom-Up-Abschätzung]]</calculatedColumnFormula>
      <totalsRowFormula>SUM(B3:B34)</totalsRowFormula>
    </tableColumn>
    <tableColumn id="2" xr3:uid="{56B864F0-95BA-4CCB-A501-E3D5B9F974B8}" name="Top-Down-Abschätzung" totalsRowFunction="custom" dataDxfId="950" totalsRowDxfId="522">
      <calculatedColumnFormula>Ueberblick[[#This Row],[Top-Down-Abschätzung]]</calculatedColumnFormula>
      <totalsRowFormula>SUM(C3:C34)</totalsRowFormula>
    </tableColumn>
    <tableColumn id="6" xr3:uid="{08C6C910-FCAE-4D58-88F2-D0BCE05F75FB}" name="Kosten-Potenzial-Kurven" totalsRowFunction="custom" dataDxfId="949" totalsRowDxfId="521">
      <calculatedColumnFormula>Ueberblick[[#This Row],[Bestimmung Kosten-Potenzial-Kurven]]</calculatedColumnFormula>
      <totalsRowFormula>SUM(D3:D34)</totalsRowFormula>
    </tableColumn>
    <tableColumn id="52" xr3:uid="{A7927F2E-7243-4F10-8B0A-B2D40C0BE4DA}" name="Analyse mehrerer Szenarien" totalsRowFunction="custom" dataDxfId="948" totalsRowDxfId="520">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947" totalsRowDxfId="519">
      <calculatedColumnFormula>Ueberblick[[#This Row],[Untersuchung von Fehlermaßen]]</calculatedColumnFormula>
      <totalsRowFormula>SUM(F3:F34)</totalsRowFormula>
    </tableColumn>
    <tableColumn id="44" xr3:uid="{42896804-085B-4B7B-B8D0-97EAC51FE556}" name="Quellen Methodik" dataDxfId="946" totalsRowDxfId="518">
      <calculatedColumnFormula>Ueberblick[[#This Row],[Quellen Methodik]]</calculatedColumnFormula>
    </tableColumn>
    <tableColumn id="10" xr3:uid="{5C5A6A34-7D58-4D26-BAFD-D29648271253}" name="Literaturanalyse" totalsRowFunction="custom" dataDxfId="945" totalsRowDxfId="517">
      <calculatedColumnFormula>Ueberblick[[#This Row],[Literaturanalyse]]</calculatedColumnFormula>
      <totalsRowFormula>SUM(H3:H34)</totalsRowFormula>
    </tableColumn>
    <tableColumn id="11" xr3:uid="{9B028F62-FBDB-44E7-920C-2D30A43DBD32}" name="Auswertung von Statistiken" totalsRowFunction="custom" dataDxfId="944" totalsRowDxfId="516">
      <calculatedColumnFormula>Ueberblick[[#This Row],[Auswertung von Statistiken]]</calculatedColumnFormula>
      <totalsRowFormula>SUM(I3:I34)</totalsRowFormula>
    </tableColumn>
    <tableColumn id="12" xr3:uid="{3CB45CCD-A829-4411-9563-A08C8A64B66A}" name="Expertenabschätzungen" totalsRowFunction="custom" dataDxfId="943" totalsRowDxfId="515">
      <calculatedColumnFormula>Ueberblick[[#This Row],[Expertenabschätzungen]]</calculatedColumnFormula>
      <totalsRowFormula>SUM(J3:J34)</totalsRowFormula>
    </tableColumn>
    <tableColumn id="13" xr3:uid="{50EF631F-A5FC-4723-BBD4-B8BA0150437E}" name="(Online-)Umfragen" totalsRowFunction="custom" dataDxfId="942" totalsRowDxfId="514">
      <calculatedColumnFormula>Ueberblick[[#This Row],[(Online-)Umfragen]]</calculatedColumnFormula>
      <totalsRowFormula>SUM(K3:K34)</totalsRowFormula>
    </tableColumn>
    <tableColumn id="14" xr3:uid="{6ECE1F6F-01F2-482B-A4BA-86530D4E5B7F}" name="Unternehmensbefragungen" totalsRowFunction="custom" dataDxfId="941" totalsRowDxfId="513">
      <calculatedColumnFormula>Ueberblick[[#This Row],[Unternehmensbefragungen / Interviews]]</calculatedColumnFormula>
      <totalsRowFormula>SUM(L3:L34)</totalsRowFormula>
    </tableColumn>
    <tableColumn id="49" xr3:uid="{63CD15A1-D04F-4108-AE5B-80FEC332891C}" name="eigene Annahmen" totalsRowFunction="custom" dataDxfId="940" totalsRowDxfId="512">
      <calculatedColumnFormula>Ueberblick[[#This Row],[eigene Annahmen]]</calculatedColumnFormula>
      <totalsRowFormula>SUM(M3:M34)</totalsRowFormula>
    </tableColumn>
    <tableColumn id="15" xr3:uid="{07E88EBA-CDC9-4453-8354-6632E4BAAF37}" name="eigene Erhebungen" totalsRowFunction="custom" dataDxfId="939" totalsRowDxfId="511">
      <calculatedColumnFormula>Ueberblick[[#This Row],[eigene Erhebungen]]</calculatedColumnFormula>
      <totalsRowFormula>SUM(N3:N34)</totalsRowFormula>
    </tableColumn>
    <tableColumn id="47" xr3:uid="{52A909CD-675D-4CCC-9776-ADA069E9A867}" name="Bezugsjahr(e) der Datenbasis" dataDxfId="938" totalsRowDxfId="510">
      <calculatedColumnFormula>Ueberblick[[#This Row],[Bezugsjahr(e) der Datenbasis]]</calculatedColumnFormula>
    </tableColumn>
    <tableColumn id="16" xr3:uid="{DE6CEB48-692F-44F0-8EF7-B68BB005B867}" name="Quellen Daten" dataDxfId="937" totalsRowDxfId="509"/>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625" dataDxfId="623" headerRowBorderDxfId="624" tableBorderDxfId="622">
  <autoFilter ref="A1:T34" xr:uid="{B646E2A0-16ED-491B-A7BA-F900EEE90740}"/>
  <tableColumns count="20">
    <tableColumn id="1" xr3:uid="{DBEF9DD3-8CE8-48BC-83A2-A0E2EEB7FF06}" name="Kurzbeleg" dataDxfId="19">
      <calculatedColumnFormula>Gesamtueberblick!B3</calculatedColumnFormula>
    </tableColumn>
    <tableColumn id="2" xr3:uid="{40BD514F-F379-4912-BA94-6C0F3681D7D4}" name="Kühlschränke" dataDxfId="18"/>
    <tableColumn id="3" xr3:uid="{D8D7566E-A1F1-42B6-8851-5E979CB5CA8C}" name="Geschirrspüler" dataDxfId="17"/>
    <tableColumn id="4" xr3:uid="{4A9DA0EF-FC73-41D1-87CD-960897A14F7D}" name="Wäschetrockner" dataDxfId="16"/>
    <tableColumn id="5" xr3:uid="{5C3A27E1-3EB7-4192-A63F-4EAE077CD779}" name="Waschmaschinen" dataDxfId="15"/>
    <tableColumn id="6" xr3:uid="{2549357B-25F9-4ED4-B6FB-3D768E9F69EA}" name="Raumklimatisierung (Klimaanlagen)" dataDxfId="14"/>
    <tableColumn id="7" xr3:uid="{7D661DAD-4E94-4FDF-A35D-63BB4AA57812}" name="Wärmepumpen" dataDxfId="13"/>
    <tableColumn id="8" xr3:uid="{FAC687D6-3067-4262-BDD8-0C2DAC5054BF}" name="Hybrid-Wärmepumpen" dataDxfId="12"/>
    <tableColumn id="9" xr3:uid="{2C43D7E6-DCC3-41D6-B1CF-AFAE0E503E67}" name="Nachtspeicherheizungen" dataDxfId="11"/>
    <tableColumn id="10" xr3:uid="{8ED04F67-930A-48C9-A2EA-403A1FA2AD30}" name="Kühl- und Gefrierkombinationen" dataDxfId="10"/>
    <tableColumn id="11" xr3:uid="{57E67BA9-E936-4DF2-BC2C-6E64DBFD81F1}" name="elektrische Warmwassererzeugung" dataDxfId="9"/>
    <tableColumn id="12" xr3:uid="{1CBDFA65-68E4-456E-BB8D-E620F14FAAC2}" name="Gefrierschränke und -truhen" dataDxfId="8"/>
    <tableColumn id="13" xr3:uid="{286089A3-4B1D-40A1-8540-E67EFAB70331}" name="Elektrische Öfen" dataDxfId="7"/>
    <tableColumn id="14" xr3:uid="{EBB74204-9AC8-43DF-A851-D96C79046124}" name="elektrische Direktheizungen" dataDxfId="6"/>
    <tableColumn id="15" xr3:uid="{352A9748-659D-4068-9E27-7749EBB43A7C}" name="Heizungsumwälzpumpen" dataDxfId="5"/>
    <tableColumn id="16" xr3:uid="{E1A68B54-863A-4A50-A5A6-D498573A9017}" name="Elektromobilität" dataDxfId="4"/>
    <tableColumn id="17" xr3:uid="{A1AC4C95-A469-48DB-BFAC-D36DA640C29E}" name="Smart Meter / intelligente Geräte" dataDxfId="3"/>
    <tableColumn id="18" xr3:uid="{8E962C50-781D-4C42-B0AB-67AAC0A3D740}" name="Photovoltaik" dataDxfId="2"/>
    <tableColumn id="19" xr3:uid="{4F238899-73F2-46F1-885C-DAB485E9D7C4}" name="Mini-/Mikro-BHKWs" dataDxfId="1"/>
    <tableColumn id="20" xr3:uid="{AFBCB111-3F6A-4522-86E6-FD8D50575B9A}" name="Lastflexibilisierung mittels _x000a_Batteriespeichern" dataDxfId="0"/>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621" dataDxfId="619" headerRowBorderDxfId="620" tableBorderDxfId="618">
  <autoFilter ref="A1:T34" xr:uid="{B646E2A0-16ED-491B-A7BA-F900EEE90740}"/>
  <tableColumns count="20">
    <tableColumn id="1" xr3:uid="{1C567F08-51DE-45C7-B935-CAF989B1E018}" name="Kurzbeleg" dataDxfId="617">
      <calculatedColumnFormula>Tabelle1823[[#This Row],[Kurzbeleg]]</calculatedColumnFormula>
    </tableColumn>
    <tableColumn id="2" xr3:uid="{2FE5242D-FA5D-4991-85AA-3FA067D70ECD}" name="Kühlschränke" dataDxfId="616">
      <calculatedColumnFormula>VLOOKUP(Tabelle1823[[#This Row],[Kühlschränke]],Dropdown!$A$2:$D$4,4,FALSE)</calculatedColumnFormula>
    </tableColumn>
    <tableColumn id="3" xr3:uid="{0951F671-6F2B-4478-9DCD-8FF06F8C6694}" name="Geschirrspüler" dataDxfId="615"/>
    <tableColumn id="4" xr3:uid="{4554221B-DDE3-4224-B364-4746E4CB14BE}" name="Wäschetrockner" dataDxfId="614"/>
    <tableColumn id="5" xr3:uid="{6297A904-7FEB-4A62-A4B4-1F6E15CA432F}" name="Waschmaschinen" dataDxfId="613"/>
    <tableColumn id="6" xr3:uid="{7CC36789-0B30-43A5-9FB4-58BE526108DA}" name="Raumklimatisierung (Klimaanlagen)" dataDxfId="612"/>
    <tableColumn id="7" xr3:uid="{99E3DB38-D8B7-4E56-AC5B-5EA068F1CF15}" name="Wärmepumpen" dataDxfId="611"/>
    <tableColumn id="8" xr3:uid="{DC0F6F75-E6A4-43D5-97A0-E939D6E17883}" name="Hybrid-Wärmepumpen" dataDxfId="610"/>
    <tableColumn id="9" xr3:uid="{2F35EE20-664D-482F-8F7F-C6CBEB8B9A15}" name="Nachtspeicherheizungen" dataDxfId="609"/>
    <tableColumn id="10" xr3:uid="{82BFE578-DE00-4DB4-91B3-5010A4CEE796}" name="Kühl- und Gefrierkombinationen" dataDxfId="608"/>
    <tableColumn id="11" xr3:uid="{8694BA96-3450-438A-A420-8E350B26C4A0}" name="elektrische Warmwassererzeugung" dataDxfId="607"/>
    <tableColumn id="12" xr3:uid="{B9B7357D-96F9-4F21-9E12-EE4D29D06562}" name="Gefrierschränke und -truhen" dataDxfId="606"/>
    <tableColumn id="13" xr3:uid="{4CC97DFB-7A63-45B1-AA22-EFF2DAC946A5}" name="Elektrische Öfen" dataDxfId="605"/>
    <tableColumn id="14" xr3:uid="{D2063B4E-C0F4-441D-95F9-76B7EF82AF7B}" name="elektrische Direktheizungen" dataDxfId="604"/>
    <tableColumn id="15" xr3:uid="{6DC9FD55-554B-4F3B-83DD-BFBECD016DBF}" name="Heizungsumwälzpumpen" dataDxfId="603"/>
    <tableColumn id="16" xr3:uid="{4CBB20D5-31A9-40A2-8834-9D845C99CF2A}" name="Elektromobilität" dataDxfId="602"/>
    <tableColumn id="17" xr3:uid="{A17BE2AD-296E-442D-B3A8-87628506A037}" name="Smart Meter / intelligente Geräte" dataDxfId="601"/>
    <tableColumn id="18" xr3:uid="{8CCAB9A7-5069-4E07-95C1-1BD5D4E1BF7D}" name="Photovoltaik" dataDxfId="600"/>
    <tableColumn id="19" xr3:uid="{C40D8D5B-5397-4C3D-9C59-E17D150D3ED5}" name="Mini-/Mikro-BHKWs" dataDxfId="599"/>
    <tableColumn id="20" xr3:uid="{5DDCEE83-4333-43FD-AA58-4CCD4838C00F}" name="Lastflexibilisierung mittels Batteriespeichern" dataDxfId="598"/>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597" dataDxfId="595" headerRowBorderDxfId="596" tableBorderDxfId="594">
  <autoFilter ref="A2:K34" xr:uid="{0241E770-D63C-4859-83DC-64669ED8FFD3}"/>
  <tableColumns count="11">
    <tableColumn id="1" xr3:uid="{84745543-9402-4055-B819-6DDEDF43128A}" name="Kurzbeleg" dataDxfId="167" totalsRowDxfId="593">
      <calculatedColumnFormula>Ueberblick[[#This Row],[Kürzel]]</calculatedColumnFormula>
    </tableColumn>
    <tableColumn id="2" xr3:uid="{A98B89CA-6F2C-4679-B768-D4184C166AA5}" name="Potenzialtrennung" dataDxfId="166" totalsRowDxfId="592"/>
    <tableColumn id="11" xr3:uid="{47F1213E-50F4-46B5-852B-F412065564A5}" name="Potenzial positiv" dataDxfId="165" totalsRowDxfId="591"/>
    <tableColumn id="10" xr3:uid="{47A53D7F-3122-41BC-A1D9-0DB74BE01B99}" name="Potenzial negativ" dataDxfId="164" totalsRowDxfId="590"/>
    <tableColumn id="3" xr3:uid="{5C462586-AD86-4EA9-AB01-195491285FE3}" name="Schaltdauer" dataDxfId="163" totalsRowDxfId="589"/>
    <tableColumn id="4" xr3:uid="{D8BEB2CB-97D8-4CB7-869F-73B08A9AAD19}" name="Verschiebedauer" dataDxfId="162" totalsRowDxfId="588"/>
    <tableColumn id="5" xr3:uid="{72A19C4E-F4E7-47B3-A4EA-C1851EE29913}" name="Schalthäufigkeit" dataDxfId="161" totalsRowDxfId="587"/>
    <tableColumn id="6" xr3:uid="{C37AE1A0-F6A5-478F-9946-F6200A1DC074}" name="Investitionsausgaben" dataDxfId="160" totalsRowDxfId="586"/>
    <tableColumn id="7" xr3:uid="{28357F89-FF39-4ABD-A4D2-3BD75761F26B}" name="fixe Kosten" dataDxfId="159" totalsRowDxfId="585"/>
    <tableColumn id="8" xr3:uid="{93709E4A-E8DE-400E-A64A-EF8BA2DD7868}" name="variable Kosten" dataDxfId="157" totalsRowDxfId="584"/>
    <tableColumn id="9" xr3:uid="{BAB644F7-9C82-4F78-9458-729932A16EEA}" name="Quellen Flexibilitätsparameter" dataDxfId="158" totalsRowDxfId="583">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582" dataDxfId="580" headerRowBorderDxfId="581" tableBorderDxfId="579">
  <autoFilter ref="A2:K35" xr:uid="{0241E770-D63C-4859-83DC-64669ED8FFD3}"/>
  <tableColumns count="11">
    <tableColumn id="1" xr3:uid="{3A9A6221-4E36-4565-9063-C0B7B29A7555}" name="Kurzbeleg" dataDxfId="178">
      <calculatedColumnFormula>'03_Flexparameter_kodiert'!A3</calculatedColumnFormula>
    </tableColumn>
    <tableColumn id="2" xr3:uid="{4105C517-4678-43C4-A105-45D3C8DDE9A0}" name="Potenzialtrennung" dataDxfId="177"/>
    <tableColumn id="12" xr3:uid="{E53C93AC-1AF6-45E4-BDDB-5F0081C94687}" name="Potenzial pos" dataDxfId="176">
      <calculatedColumnFormula>Ueberblick[[#This Row],[Potenzial pos]]</calculatedColumnFormula>
    </tableColumn>
    <tableColumn id="11" xr3:uid="{8D5B7C2F-5FD5-4E1C-991C-3926A9C819E6}" name="Potenzial neg" dataDxfId="175">
      <calculatedColumnFormula>Ueberblick[[#This Row],[Potenzial neg]]</calculatedColumnFormula>
    </tableColumn>
    <tableColumn id="3" xr3:uid="{BC3F3EAB-5287-4323-8DE0-0E5CF057C024}" name="Schaltdauer" dataDxfId="174"/>
    <tableColumn id="4" xr3:uid="{4AC6DB65-739B-46B2-82FC-8F96DC590D88}" name="Verschiebedauer" dataDxfId="173"/>
    <tableColumn id="5" xr3:uid="{478DD909-BEB3-45C0-910E-700C5701C9D8}" name="Schalthäufigkeit" dataDxfId="172"/>
    <tableColumn id="6" xr3:uid="{7517964D-E50A-4933-AA54-F39ECCC71EBD}" name="Investitionsausgaben" dataDxfId="171"/>
    <tableColumn id="7" xr3:uid="{11C17DEA-BFBC-437E-AE2A-26C611A97CAB}" name="fixe Kosten" dataDxfId="170"/>
    <tableColumn id="8" xr3:uid="{794ACD9A-F37B-4299-8CDB-FCE9A47FA994}" name="variable Kosten" dataDxfId="168"/>
    <tableColumn id="9" xr3:uid="{24B15E4D-36C1-4A8F-B4CD-7A7472269761}" name="Quellen Flexibilitätsparameter" dataDxfId="169"/>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578" dataDxfId="577" tableBorderDxfId="576">
  <autoFilter ref="A2:H34" xr:uid="{49F8BF2C-CE14-40D1-8B84-292063AC69C7}"/>
  <sortState ref="A3:H27">
    <sortCondition ref="A2:A27"/>
  </sortState>
  <tableColumns count="8">
    <tableColumn id="1" xr3:uid="{7E48FF77-CC15-4159-A517-2DBAC54ACAC5}" name="Kurzbeleg" totalsRowLabel="Häufigkeit" dataDxfId="186" totalsRowDxfId="329">
      <calculatedColumnFormula>Ueberblick[[#This Row],[Kürzel]]</calculatedColumnFormula>
    </tableColumn>
    <tableColumn id="3" xr3:uid="{5B4C06F8-6793-4CE4-BCB9-7D44362E6A26}" name="Benutzungsstunden / _x000a_Auslastung" totalsRowFunction="custom" dataDxfId="185" totalsRowDxfId="328">
      <calculatedColumnFormula>Ueberblick[[#This Row],[Benutzungsstunden / Auslastungsgrade angegeben?]]</calculatedColumnFormula>
      <totalsRowFormula>SUM(B3:B34)</totalsRowFormula>
    </tableColumn>
    <tableColumn id="2" xr3:uid="{01D01223-25F4-423E-AE24-037D88A24BB4}" name="Saisonalität" totalsRowFunction="custom" dataDxfId="184" totalsRowDxfId="327">
      <calculatedColumnFormula>Ueberblick[[#This Row],[Saisonalität berücksichtigt?]]</calculatedColumnFormula>
      <totalsRowFormula>SUM(C3:C34)</totalsRowFormula>
    </tableColumn>
    <tableColumn id="6" xr3:uid="{894FAF0A-56A3-487F-A32C-BA1FD60069C0}" name="Tageszeit" totalsRowFunction="custom" dataDxfId="183" totalsRowDxfId="326">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82" totalsRowDxfId="325">
      <calculatedColumnFormula>Ueberblick[[#This Row],[Temperaturabhängigkeit berücksichtigt?]]</calculatedColumnFormula>
      <totalsRowFormula>SUM(E3:E34)</totalsRowFormula>
    </tableColumn>
    <tableColumn id="51" xr3:uid="{04F9C558-9F32-44DA-9EAD-8D9DA7DC34E2}" name="Lastgänge / Lastblöcke" totalsRowFunction="custom" dataDxfId="181" totalsRowDxfId="324">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79" totalsRowDxfId="323">
      <calculatedColumnFormula>Ueberblick[[#This Row],[Zeitverfügbarkeitszeitreihen generiert?]]</calculatedColumnFormula>
      <totalsRowFormula>SUM(G3:G34)</totalsRowFormula>
    </tableColumn>
    <tableColumn id="10" xr3:uid="{04C129B8-94EB-43CC-9F02-D4C19F41084A}" name="Quellen Zeitverfügbarkeit" totalsRowFunction="custom" dataDxfId="180" totalsRowDxfId="322">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575" dataDxfId="574" tableBorderDxfId="573">
  <autoFilter ref="A2:H34" xr:uid="{49F8BF2C-CE14-40D1-8B84-292063AC69C7}"/>
  <sortState ref="A3:H27">
    <sortCondition ref="A2:A27"/>
  </sortState>
  <tableColumns count="8">
    <tableColumn id="1" xr3:uid="{990E48C0-04E9-4910-B3CE-48860798A1A6}" name="Kurzbeleg" totalsRowLabel="Häufigkeit" dataDxfId="194" totalsRowDxfId="321"/>
    <tableColumn id="3" xr3:uid="{87124D3E-A618-4CD6-A5BA-BB2B90EFC54B}" name="Benutzungsstunden / Auslastung" totalsRowFunction="custom" dataDxfId="193" totalsRowDxfId="32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92" totalsRowDxfId="319">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91" totalsRowDxfId="318">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90" totalsRowDxfId="317">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89" totalsRowDxfId="316">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187" totalsRowDxfId="315">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188" totalsRowDxfId="314">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572" dataDxfId="570" headerRowBorderDxfId="571" tableBorderDxfId="569" totalsRowBorderDxfId="568">
  <autoFilter ref="A2:G34" xr:uid="{38CBE066-074E-4DAA-9763-78BC569F67BB}"/>
  <tableColumns count="7">
    <tableColumn id="1" xr3:uid="{921EA572-4E33-46FE-8237-E70F0CD5B825}" name="Kurzbeleg" totalsRowLabel="Häufigkeit" dataDxfId="567" totalsRowDxfId="313">
      <calculatedColumnFormula>Ueberblick[[#This Row],[Kürzel]]</calculatedColumnFormula>
    </tableColumn>
    <tableColumn id="2" xr3:uid="{24A5E19C-6D40-4722-B748-F2A31084BC3B}" name="theoretisch" totalsRowFunction="custom" dataDxfId="206" totalsRowDxfId="205">
      <calculatedColumnFormula>Ueberblick[[#This Row],[Angaben zum theoretischen Potenzial]]</calculatedColumnFormula>
      <totalsRowFormula>SUM(B3:B34)</totalsRowFormula>
    </tableColumn>
    <tableColumn id="3" xr3:uid="{EEC8A46D-F0BB-4B12-9F32-2D6A42536283}" name="technisch" totalsRowFunction="custom" dataDxfId="204" totalsRowDxfId="203">
      <calculatedColumnFormula>Ueberblick[[#This Row],[Angaben zum technischen Potenzial]]</calculatedColumnFormula>
      <totalsRowFormula>SUM(C3:C34)</totalsRowFormula>
    </tableColumn>
    <tableColumn id="4" xr3:uid="{8CBB0782-80FD-475A-AFCB-A79D022DE934}" name="soziotechnisch" totalsRowFunction="custom" dataDxfId="202" totalsRowDxfId="201">
      <calculatedColumnFormula>Ueberblick[[#This Row],[Angaben zum soziotechnischen Potenzial]]</calculatedColumnFormula>
      <totalsRowFormula>SUM(D3:D34)</totalsRowFormula>
    </tableColumn>
    <tableColumn id="5" xr3:uid="{E92B7704-F107-4FD8-8B74-A8BFF50A636C}" name="ökonomisch" totalsRowFunction="custom" dataDxfId="200" totalsRowDxfId="199">
      <calculatedColumnFormula>Ueberblick[[#This Row],[Angaben zum ökonomischen Potenzial]]</calculatedColumnFormula>
      <totalsRowFormula>SUM(E3:E34)</totalsRowFormula>
    </tableColumn>
    <tableColumn id="6" xr3:uid="{98390297-3629-4975-AD5A-99045E04613C}" name="sozial" totalsRowFunction="custom" dataDxfId="198" totalsRowDxfId="197">
      <calculatedColumnFormula>Ueberblick[[#This Row],[Angaben zum sozialen Potenzial]]</calculatedColumnFormula>
      <totalsRowFormula>SUM(F3:F34)</totalsRowFormula>
    </tableColumn>
    <tableColumn id="7" xr3:uid="{E1455D20-86DD-416E-A2BC-5D838A8EA2DC}" name="realisiert" totalsRowFunction="custom" dataDxfId="196" totalsRowDxfId="195">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566" dataDxfId="564" headerRowBorderDxfId="565" tableBorderDxfId="563" totalsRowBorderDxfId="562">
  <autoFilter ref="A2:G35" xr:uid="{8F5EF1D7-1193-4CDC-A3D2-F861EB251E98}"/>
  <tableColumns count="7">
    <tableColumn id="1" xr3:uid="{605525C9-FA6C-4005-85C7-A5106D5B5C22}" name="Kurzbeleg" dataDxfId="312">
      <calculatedColumnFormula>Tabelle32[[#This Row],[Kurzbeleg]]</calculatedColumnFormula>
    </tableColumn>
    <tableColumn id="2" xr3:uid="{A17EBDC0-9581-4A1C-9055-4037C81DFEDF}" name="theoretisch" dataDxfId="212"/>
    <tableColumn id="3" xr3:uid="{48117A09-A867-49F2-ADD6-1815F4F3FC2F}" name="technisch" dataDxfId="211"/>
    <tableColumn id="4" xr3:uid="{0931FD43-7885-4667-8EF3-0E3916A31B86}" name="soziotechnisch" dataDxfId="210"/>
    <tableColumn id="5" xr3:uid="{471E7BD9-1876-4FE1-B86C-025FDE3D4192}" name="ökonomisch" dataDxfId="209"/>
    <tableColumn id="6" xr3:uid="{27C0D3AE-89AA-4764-A843-38129CDF7A46}" name="sozial" dataDxfId="208"/>
    <tableColumn id="7" xr3:uid="{14B98435-7165-4CDE-8982-FB835093ADFE}" name="realisiert" dataDxfId="207"/>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561" dataDxfId="560" tableBorderDxfId="559">
  <autoFilter ref="A2:F34" xr:uid="{1D039F9F-F1A7-4153-B919-0882AEA54969}"/>
  <tableColumns count="6">
    <tableColumn id="1" xr3:uid="{4FF77DC7-76BA-4873-B359-80DD950EC368}" name="Kurzbeleg" dataDxfId="558">
      <calculatedColumnFormula>Ueberblick[[#This Row],[Kürzel]]</calculatedColumnFormula>
    </tableColumn>
    <tableColumn id="2" xr3:uid="{BB712044-258A-4766-9C05-483067C14546}" name="Status quo_x000a_(vor 2020)" dataDxfId="217">
      <calculatedColumnFormula>Ueberblick[[#This Row],[Jahr Status quo / Basis]]</calculatedColumnFormula>
    </tableColumn>
    <tableColumn id="3" xr3:uid="{538D6517-9406-4025-B856-D4D2B2BF99EC}" name="2020" dataDxfId="216">
      <calculatedColumnFormula>Ueberblick[[#This Row],[2020 erfasst?]]</calculatedColumnFormula>
    </tableColumn>
    <tableColumn id="4" xr3:uid="{CF286769-D2E6-49F6-A3CD-60302CCDF718}" name="2025" dataDxfId="215">
      <calculatedColumnFormula>Ueberblick[[#This Row],[2025 erfasst?]]</calculatedColumnFormula>
    </tableColumn>
    <tableColumn id="5" xr3:uid="{DC0003E1-C595-4160-9334-6A426E75B16B}" name="2030" dataDxfId="214">
      <calculatedColumnFormula>Ueberblick[[#This Row],[2030 erfasst?]]</calculatedColumnFormula>
    </tableColumn>
    <tableColumn id="6" xr3:uid="{D5973044-ADA3-4F29-860C-0C7E6E0649F8}" name="2050" dataDxfId="213">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57" dataDxfId="556" tableBorderDxfId="555">
  <autoFilter ref="A2:F35" xr:uid="{1D039F9F-F1A7-4153-B919-0882AEA54969}"/>
  <tableColumns count="6">
    <tableColumn id="1" xr3:uid="{5517549D-5FE3-45ED-A9EC-3C3338EC4D9C}" name="Kurzbeleg" dataDxfId="223">
      <calculatedColumnFormula>'05_Betrachtungshorizont_kodiert'!A3</calculatedColumnFormula>
    </tableColumn>
    <tableColumn id="2" xr3:uid="{0D6ED452-23BE-4ABC-AD46-89DC09BCBC41}" name="Status quo_x000a_(vor 2020)" dataDxfId="222"/>
    <tableColumn id="3" xr3:uid="{7B09E658-5F35-4779-B9E5-F4003F896F6C}" name="2020" dataDxfId="221"/>
    <tableColumn id="4" xr3:uid="{3FC8159A-A14E-4746-97D3-682ED396A899}" name="2025" dataDxfId="220"/>
    <tableColumn id="5" xr3:uid="{2D2631E6-CD60-4EA0-833D-67F150D5C8C7}" name="2030" dataDxfId="219"/>
    <tableColumn id="6" xr3:uid="{94C30EA7-A6D7-4903-8D96-D26B1412C2CD}" name="2050" dataDxfId="21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936" dataDxfId="935" tableBorderDxfId="934">
  <autoFilter ref="A2:P34" xr:uid="{E48EAA67-8810-45E2-ADB4-BD9F158F350C}"/>
  <sortState ref="A3:P27">
    <sortCondition ref="A2:A27"/>
  </sortState>
  <tableColumns count="16">
    <tableColumn id="1" xr3:uid="{19994B13-0C9C-4CB2-8DFD-7A86C88A1F91}" name="Publikation(en)" totalsRowLabel="Häufigkeit" dataDxfId="933" totalsRowDxfId="508"/>
    <tableColumn id="3" xr3:uid="{D627E9DC-C675-43C6-BE43-F66486FCF465}" name="Bottom-Up-Abschätzung" totalsRowFunction="custom" dataDxfId="932" totalsRowDxfId="507">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931" totalsRowDxfId="506">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930" totalsRowDxfId="50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929" totalsRowDxfId="504">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928" totalsRowDxfId="503">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927" totalsRowDxfId="502">
      <calculatedColumnFormula>Ueberblick[[#This Row],[Quellen Methodik]]</calculatedColumnFormula>
    </tableColumn>
    <tableColumn id="10" xr3:uid="{6FE53AEE-08C6-4C60-8CA5-885A7A0DCBAC}" name="Literaturanalyse" totalsRowFunction="custom" dataDxfId="926" totalsRowDxfId="501">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925" totalsRowDxfId="500">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924" totalsRowDxfId="499">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923" totalsRowDxfId="498">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922" totalsRowDxfId="497">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921" totalsRowDxfId="496">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920" totalsRowDxfId="49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919" totalsRowDxfId="494">
      <calculatedColumnFormula>Ueberblick4[[#This Row],[Bezugsjahr(e) der Datenbasis]]</calculatedColumnFormula>
    </tableColumn>
    <tableColumn id="16" xr3:uid="{3B5F867C-919F-4AD5-96FE-663F22F6C1AA}" name="Quellen Daten" dataDxfId="918" totalsRowDxfId="493"/>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554" dataDxfId="553" tableBorderDxfId="552">
  <autoFilter ref="A2:R34" xr:uid="{1D039F9F-F1A7-4153-B919-0882AEA54969}"/>
  <tableColumns count="18">
    <tableColumn id="1" xr3:uid="{68C6CF4D-E0D9-4A8A-A61F-90AFAF76E6D4}" name="Kurzbeleg" dataDxfId="551"/>
    <tableColumn id="18" xr3:uid="{F69B64B9-0D02-47CF-A7D2-1852E263C68D}" name="2005" dataDxfId="156"/>
    <tableColumn id="17" xr3:uid="{E4156D0D-1403-49CE-B172-6309AB7C888F}" name="2006" dataDxfId="155"/>
    <tableColumn id="16" xr3:uid="{AB62F21C-A977-495D-9BD9-84403E45B20E}" name="2007" dataDxfId="154"/>
    <tableColumn id="15" xr3:uid="{FBBA2E53-2EF7-4971-937B-9293FF9E1C30}" name="2008" dataDxfId="153"/>
    <tableColumn id="14" xr3:uid="{49FCB612-D6F0-4426-9317-5C6CE967186C}" name="2009" dataDxfId="152"/>
    <tableColumn id="2" xr3:uid="{D5600D07-732D-4436-AF2E-F0DE3D1E5F0C}" name="2010" dataDxfId="151"/>
    <tableColumn id="3" xr3:uid="{954EF445-E1EF-4CD8-9B78-4B23A1AA4B99}" name="2011" dataDxfId="150"/>
    <tableColumn id="4" xr3:uid="{73E01B5E-2C99-4FF9-9E89-B00C8AFA0032}" name="2012" dataDxfId="149"/>
    <tableColumn id="5" xr3:uid="{12D8700B-FAA0-4B6F-A3C3-1448C3CC19AC}" name="2013" dataDxfId="148"/>
    <tableColumn id="6" xr3:uid="{807B2755-9792-4AD0-ABC2-796B21D9CC22}" name="2014" dataDxfId="147"/>
    <tableColumn id="7" xr3:uid="{75FF941B-58C6-4B15-A567-D41D3BF7BE78}" name="2015" dataDxfId="146"/>
    <tableColumn id="8" xr3:uid="{7835AD46-B074-487E-A5F5-1915CA456478}" name="2016" dataDxfId="145"/>
    <tableColumn id="9" xr3:uid="{A0558CB5-46A2-4FFF-B3F1-F459876E1A23}" name="2017" dataDxfId="144"/>
    <tableColumn id="10" xr3:uid="{D148BF73-8C3B-468B-A62F-693BCA932E4B}" name="2018" dataDxfId="143"/>
    <tableColumn id="11" xr3:uid="{0676D823-A242-420F-9824-7F75EB094A92}" name="2019" dataDxfId="142"/>
    <tableColumn id="12" xr3:uid="{18A43F6F-D4AF-4E75-9CE6-D0BA4235CDBF}" name="2020" dataDxfId="141"/>
    <tableColumn id="13" xr3:uid="{AFE2C09C-DA15-4787-AD1C-4DCCEF2FE778}" name="nicht spezifiziert" dataDxfId="140"/>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550" dataDxfId="549" tableBorderDxfId="548">
  <autoFilter ref="A2:R35" xr:uid="{1D039F9F-F1A7-4153-B919-0882AEA54969}"/>
  <tableColumns count="18">
    <tableColumn id="1" xr3:uid="{5C30FBCA-99DE-4533-B643-D4FB63CB6075}" name="Kurzbeleg" dataDxfId="547">
      <calculatedColumnFormula>Tabelle2834[[#This Row],[Kurzbeleg]]</calculatedColumnFormula>
    </tableColumn>
    <tableColumn id="18" xr3:uid="{F8415AD7-AA84-44F1-9AAD-19102B48A1CA}" name="2005" dataDxfId="546"/>
    <tableColumn id="17" xr3:uid="{5F9E2D15-55B1-4F17-8824-2A638D9D35FC}" name="2006" dataDxfId="545"/>
    <tableColumn id="16" xr3:uid="{C16564CB-94C7-4E38-AE1D-C3760FD47B75}" name="2007" dataDxfId="544"/>
    <tableColumn id="15" xr3:uid="{FD50150C-840D-40E2-A884-47BC6DC7E1FE}" name="2008" dataDxfId="543"/>
    <tableColumn id="14" xr3:uid="{34D7A32B-2963-4842-A69E-7A9A5EAA99E8}" name="2009" dataDxfId="542"/>
    <tableColumn id="2" xr3:uid="{10CB8AA7-B08D-4E7A-8232-B60FAEE13712}" name="2010" dataDxfId="541"/>
    <tableColumn id="3" xr3:uid="{1C2055C9-C631-4F9D-91AF-CF40669C8AC0}" name="2011" dataDxfId="540"/>
    <tableColumn id="4" xr3:uid="{C6C0D53F-71C9-4678-B06C-DA7EE8609F8F}" name="2012" dataDxfId="539"/>
    <tableColumn id="5" xr3:uid="{312CC546-D2D5-4F4D-9CA8-4905868E797A}" name="2013" dataDxfId="538"/>
    <tableColumn id="6" xr3:uid="{3B03EC94-0C89-4066-817D-BB0D06D3A741}" name="2014" dataDxfId="537"/>
    <tableColumn id="7" xr3:uid="{DEEEA4A4-92E7-46BA-84BC-4C1E6874D9F4}" name="2015" dataDxfId="536"/>
    <tableColumn id="8" xr3:uid="{141AC760-5B2F-44F3-9797-9E31074D53A8}" name="2016" dataDxfId="535"/>
    <tableColumn id="9" xr3:uid="{873EAB67-B794-4A9C-BE56-A3BE19C0CE64}" name="2017" dataDxfId="534"/>
    <tableColumn id="10" xr3:uid="{398ABCAD-79F6-4992-81A4-D1A0A7C621B6}" name="2018" dataDxfId="533"/>
    <tableColumn id="11" xr3:uid="{A8A05A4C-2897-422F-B5BA-8D55C2753154}" name="2019" dataDxfId="532"/>
    <tableColumn id="12" xr3:uid="{F90121B4-E30A-4DDB-9D14-3CDB8913B8AB}" name="2020" dataDxfId="531"/>
    <tableColumn id="13" xr3:uid="{FC433F8B-DBB2-46DA-A301-CCA5705B65BF}" name="nicht spezifiziert" dataDxfId="530"/>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529">
  <autoFilter ref="A1:D6" xr:uid="{00000000-0009-0000-0100-000002000000}"/>
  <tableColumns count="4">
    <tableColumn id="1" xr3:uid="{00000000-0010-0000-0100-000001000000}" name="Entscheidungsfragen" dataDxfId="528"/>
    <tableColumn id="2" xr3:uid="{00000000-0010-0000-0100-000002000000}" name="Ansatz" dataDxfId="527"/>
    <tableColumn id="3" xr3:uid="{174376E4-3660-4E26-B104-514018CEECDA}" name="Fokus LMM" dataDxfId="526"/>
    <tableColumn id="4" xr3:uid="{FC884E3D-8676-4F10-A247-55A03AD27691}" name="Methode" dataDxfId="52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917" dataDxfId="916">
  <autoFilter ref="A1:B25" xr:uid="{840155AC-FA62-4985-9AEB-C65C17F11D7E}"/>
  <sortState ref="A2:B25">
    <sortCondition ref="B1:B25"/>
  </sortState>
  <tableColumns count="2">
    <tableColumn id="1" xr3:uid="{04EF2B55-B3A5-4614-BA68-2E70A0BF489F}" name="Industrie - QST ursprünglich" dataDxfId="915"/>
    <tableColumn id="2" xr3:uid="{004C0B32-BB48-4E34-83AA-6F1172AB91CA}" name="Hilfsspalte Kategorie" dataDxfId="91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913" dataDxfId="912">
  <autoFilter ref="A1:D53" xr:uid="{B5F1B62F-0C5D-422F-909E-EB72132E6074}"/>
  <tableColumns count="4">
    <tableColumn id="1" xr3:uid="{0386A85A-335F-4E65-9688-089FE2D99782}" name="GHD - QST / Branchen ursprünglich" dataDxfId="911"/>
    <tableColumn id="2" xr3:uid="{4F3D923E-282D-42EF-AB65-68CC000B4C82}" name="Hilfsspalte Kategorie" dataDxfId="910"/>
    <tableColumn id="3" xr3:uid="{B82E04B9-0C80-4333-9272-06548B14BC9F}" name="WZ-Klassifikation" dataDxfId="909"/>
    <tableColumn id="4" xr3:uid="{D100D5BD-697E-4221-8B9A-BE6FC37D34E5}" name="WZ-Bezeichnung" dataDxfId="90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907" dataDxfId="906">
  <autoFilter ref="A1:D39" xr:uid="{5C073C4A-9352-497C-AD67-990F03A68918}"/>
  <tableColumns count="4">
    <tableColumn id="1" xr3:uid="{E9CF13E8-B64D-49B7-9BAB-380DA511440E}" name="HaHa - Geräte / Anwendungen ursprünglich" dataDxfId="905"/>
    <tableColumn id="2" xr3:uid="{F13BD2D4-4496-4DC8-AD6C-E817A79567B8}" name="Hilfsspalte Kategorie" dataDxfId="904"/>
    <tableColumn id="3" xr3:uid="{6D409BC2-9B5E-4B6A-8F10-B37B39F9900D}" name="WZ-Klassifikation" dataDxfId="903"/>
    <tableColumn id="4" xr3:uid="{EA9F0D85-BB86-49D4-B0E7-B16D22A5B864}" name="WZ-Bezeichnung" dataDxfId="90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901" dataDxfId="900">
  <autoFilter ref="A1:B17" xr:uid="{7DF54DC3-53A2-4050-BE8A-6CC5D8058F05}"/>
  <tableColumns count="2">
    <tableColumn id="1" xr3:uid="{664217BB-30EB-404C-9351-D3C74887D67E}" name="Annahmen ursprünglich" dataDxfId="899"/>
    <tableColumn id="2" xr3:uid="{A5B1B6ED-3738-4DF9-BCB7-6DBA74291731}" name="Hilfsspalte Kategorie" dataDxfId="89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897" dataDxfId="896">
  <autoFilter ref="A1:B72" xr:uid="{7DF54DC3-53A2-4050-BE8A-6CC5D8058F05}"/>
  <tableColumns count="2">
    <tableColumn id="1" xr3:uid="{0BB7C963-596A-429D-8B4C-506EE2330FD2}" name="Annahmen - ursprünglich" dataDxfId="895"/>
    <tableColumn id="2" xr3:uid="{A96D2AAC-C428-4E9E-AE81-82FF8257C57C}" name="Hilfsspalte Kategorie" dataDxfId="894"/>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vmlDrawing" Target="../drawings/vmlDrawing7.v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42.xml"/><Relationship Id="rId1" Type="http://schemas.openxmlformats.org/officeDocument/2006/relationships/vmlDrawing" Target="../drawings/vmlDrawing8.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tabSelected="1" workbookViewId="0"/>
  </sheetViews>
  <sheetFormatPr baseColWidth="10" defaultColWidth="11" defaultRowHeight="14.25" x14ac:dyDescent="0.2"/>
  <cols>
    <col min="1" max="3" width="5.625" style="85" customWidth="1"/>
    <col min="4" max="19" width="11" style="85"/>
    <col min="20" max="20" width="5.625" style="85" customWidth="1"/>
    <col min="21" max="16384" width="11" style="85"/>
  </cols>
  <sheetData>
    <row r="2" spans="2:20" x14ac:dyDescent="0.2">
      <c r="B2" s="89"/>
      <c r="C2" s="90"/>
      <c r="D2" s="90"/>
      <c r="E2" s="90"/>
      <c r="F2" s="90"/>
      <c r="G2" s="90"/>
      <c r="H2" s="90"/>
      <c r="I2" s="90"/>
      <c r="J2" s="90"/>
      <c r="K2" s="90"/>
      <c r="L2" s="90"/>
      <c r="M2" s="90"/>
      <c r="N2" s="90"/>
      <c r="O2" s="90"/>
      <c r="P2" s="90"/>
      <c r="Q2" s="90"/>
      <c r="R2" s="90"/>
      <c r="S2" s="90"/>
      <c r="T2" s="91"/>
    </row>
    <row r="3" spans="2:20" ht="20.25" x14ac:dyDescent="0.3">
      <c r="B3" s="92"/>
      <c r="C3" s="111" t="s">
        <v>1390</v>
      </c>
      <c r="D3" s="94"/>
      <c r="E3" s="94"/>
      <c r="F3" s="94"/>
      <c r="G3" s="94"/>
      <c r="H3" s="94"/>
      <c r="I3" s="94"/>
      <c r="J3" s="94"/>
      <c r="K3" s="94"/>
      <c r="L3" s="94"/>
      <c r="M3" s="94"/>
      <c r="N3" s="94"/>
      <c r="O3" s="94"/>
      <c r="P3" s="94"/>
      <c r="Q3" s="94"/>
      <c r="R3" s="94"/>
      <c r="S3" s="94"/>
      <c r="T3" s="95"/>
    </row>
    <row r="4" spans="2:20" x14ac:dyDescent="0.2">
      <c r="B4" s="92"/>
      <c r="C4" s="94"/>
      <c r="D4" s="94"/>
      <c r="E4" s="94"/>
      <c r="F4" s="94"/>
      <c r="G4" s="94"/>
      <c r="H4" s="94"/>
      <c r="I4" s="94"/>
      <c r="J4" s="94"/>
      <c r="K4" s="94"/>
      <c r="L4" s="94"/>
      <c r="M4" s="94"/>
      <c r="N4" s="94"/>
      <c r="O4" s="94"/>
      <c r="P4" s="94"/>
      <c r="Q4" s="94"/>
      <c r="R4" s="94"/>
      <c r="S4" s="94"/>
      <c r="T4" s="95"/>
    </row>
    <row r="5" spans="2:20" ht="15.75" x14ac:dyDescent="0.25">
      <c r="B5" s="92"/>
      <c r="C5" s="93" t="s">
        <v>969</v>
      </c>
      <c r="D5" s="93" t="s">
        <v>1392</v>
      </c>
      <c r="E5" s="94"/>
      <c r="F5" s="94"/>
      <c r="G5" s="94"/>
      <c r="H5" s="94"/>
      <c r="I5" s="94"/>
      <c r="J5" s="96" t="s">
        <v>1393</v>
      </c>
      <c r="K5" s="94"/>
      <c r="L5" s="94"/>
      <c r="M5" s="94"/>
      <c r="N5" s="94"/>
      <c r="O5" s="94"/>
      <c r="P5" s="94"/>
      <c r="Q5" s="94"/>
      <c r="R5" s="94"/>
      <c r="S5" s="94"/>
      <c r="T5" s="95"/>
    </row>
    <row r="6" spans="2:20" x14ac:dyDescent="0.2">
      <c r="B6" s="92"/>
      <c r="C6" s="94"/>
      <c r="D6" s="97" t="s">
        <v>1391</v>
      </c>
      <c r="E6" s="94"/>
      <c r="F6" s="94"/>
      <c r="G6" s="94"/>
      <c r="H6" s="94"/>
      <c r="I6" s="94"/>
      <c r="J6" s="94"/>
      <c r="K6" s="94"/>
      <c r="L6" s="94"/>
      <c r="M6" s="94"/>
      <c r="N6" s="94"/>
      <c r="O6" s="94"/>
      <c r="P6" s="94"/>
      <c r="Q6" s="94"/>
      <c r="R6" s="94"/>
      <c r="S6" s="94"/>
      <c r="T6" s="95"/>
    </row>
    <row r="7" spans="2:20" ht="15" x14ac:dyDescent="0.25">
      <c r="B7" s="92"/>
      <c r="C7" s="94"/>
      <c r="D7" s="97" t="s">
        <v>1459</v>
      </c>
      <c r="E7" s="94"/>
      <c r="F7" s="94"/>
      <c r="G7" s="94"/>
      <c r="H7" s="94"/>
      <c r="I7" s="94"/>
      <c r="J7" s="94"/>
      <c r="K7" s="94"/>
      <c r="L7" s="94"/>
      <c r="M7" s="94"/>
      <c r="N7" s="94"/>
      <c r="O7" s="94"/>
      <c r="P7" s="94"/>
      <c r="Q7" s="94"/>
      <c r="R7" s="94"/>
      <c r="S7" s="94"/>
      <c r="T7" s="95"/>
    </row>
    <row r="8" spans="2:20" x14ac:dyDescent="0.2">
      <c r="B8" s="92"/>
      <c r="C8" s="94"/>
      <c r="D8" s="97"/>
      <c r="E8" s="94"/>
      <c r="F8" s="94"/>
      <c r="G8" s="94"/>
      <c r="H8" s="94"/>
      <c r="I8" s="94"/>
      <c r="J8" s="94"/>
      <c r="K8" s="94"/>
      <c r="L8" s="94"/>
      <c r="M8" s="94"/>
      <c r="N8" s="94"/>
      <c r="O8" s="94"/>
      <c r="P8" s="94"/>
      <c r="Q8" s="94"/>
      <c r="R8" s="94"/>
      <c r="S8" s="94"/>
      <c r="T8" s="95"/>
    </row>
    <row r="9" spans="2:20" ht="15" x14ac:dyDescent="0.25">
      <c r="B9" s="92"/>
      <c r="C9" s="93" t="s">
        <v>970</v>
      </c>
      <c r="D9" s="93" t="s">
        <v>1394</v>
      </c>
      <c r="E9" s="94"/>
      <c r="F9" s="94"/>
      <c r="G9" s="94"/>
      <c r="H9" s="94"/>
      <c r="I9" s="94"/>
      <c r="J9" s="94"/>
      <c r="K9" s="94"/>
      <c r="L9" s="94"/>
      <c r="M9" s="94"/>
      <c r="N9" s="94"/>
      <c r="O9" s="94"/>
      <c r="P9" s="94"/>
      <c r="Q9" s="94"/>
      <c r="R9" s="94"/>
      <c r="S9" s="94"/>
      <c r="T9" s="95"/>
    </row>
    <row r="10" spans="2:20" s="86" customFormat="1" x14ac:dyDescent="0.2">
      <c r="B10" s="98"/>
      <c r="C10" s="99"/>
      <c r="D10" s="94" t="s">
        <v>1470</v>
      </c>
      <c r="E10" s="99"/>
      <c r="F10" s="99"/>
      <c r="G10" s="99"/>
      <c r="H10" s="99"/>
      <c r="I10" s="99"/>
      <c r="J10" s="99"/>
      <c r="K10" s="99"/>
      <c r="L10" s="99"/>
      <c r="M10" s="99"/>
      <c r="N10" s="99"/>
      <c r="O10" s="99"/>
      <c r="P10" s="99"/>
      <c r="Q10" s="99"/>
      <c r="R10" s="99"/>
      <c r="S10" s="99"/>
      <c r="T10" s="100"/>
    </row>
    <row r="11" spans="2:20" x14ac:dyDescent="0.2">
      <c r="B11" s="92"/>
      <c r="C11" s="94"/>
      <c r="D11" s="94" t="s">
        <v>1471</v>
      </c>
      <c r="E11" s="94"/>
      <c r="F11" s="94"/>
      <c r="G11" s="94"/>
      <c r="H11" s="94"/>
      <c r="I11" s="94"/>
      <c r="J11" s="94"/>
      <c r="K11" s="94"/>
      <c r="L11" s="94"/>
      <c r="M11" s="94"/>
      <c r="N11" s="94"/>
      <c r="O11" s="94"/>
      <c r="P11" s="94"/>
      <c r="Q11" s="94"/>
      <c r="R11" s="94"/>
      <c r="S11" s="94"/>
      <c r="T11" s="95"/>
    </row>
    <row r="12" spans="2:20" ht="15" x14ac:dyDescent="0.25">
      <c r="B12" s="92"/>
      <c r="C12" s="94"/>
      <c r="D12" s="99" t="s">
        <v>1467</v>
      </c>
      <c r="E12" s="94"/>
      <c r="F12" s="94"/>
      <c r="G12" s="94"/>
      <c r="H12" s="94"/>
      <c r="I12" s="94"/>
      <c r="J12" s="94"/>
      <c r="K12" s="94"/>
      <c r="L12" s="94"/>
      <c r="M12" s="94"/>
      <c r="N12" s="94"/>
      <c r="O12" s="94"/>
      <c r="P12" s="94"/>
      <c r="Q12" s="94"/>
      <c r="R12" s="94"/>
      <c r="S12" s="94"/>
      <c r="T12" s="95"/>
    </row>
    <row r="13" spans="2:20" ht="15" x14ac:dyDescent="0.25">
      <c r="B13" s="92"/>
      <c r="C13" s="94"/>
      <c r="D13" s="93"/>
      <c r="E13" s="94"/>
      <c r="F13" s="94"/>
      <c r="G13" s="94"/>
      <c r="H13" s="94"/>
      <c r="I13" s="94"/>
      <c r="J13" s="94"/>
      <c r="K13" s="94"/>
      <c r="L13" s="94"/>
      <c r="M13" s="94"/>
      <c r="N13" s="94"/>
      <c r="O13" s="94"/>
      <c r="P13" s="94"/>
      <c r="Q13" s="94"/>
      <c r="R13" s="94"/>
      <c r="S13" s="94"/>
      <c r="T13" s="95"/>
    </row>
    <row r="14" spans="2:20" ht="15" x14ac:dyDescent="0.25">
      <c r="B14" s="92"/>
      <c r="C14" s="94"/>
      <c r="D14" s="101" t="s">
        <v>1395</v>
      </c>
      <c r="E14" s="94" t="s">
        <v>1396</v>
      </c>
      <c r="F14" s="94"/>
      <c r="G14" s="94"/>
      <c r="H14" s="94"/>
      <c r="I14" s="94"/>
      <c r="J14" s="94"/>
      <c r="K14" s="94"/>
      <c r="L14" s="94"/>
      <c r="M14" s="94"/>
      <c r="N14" s="94"/>
      <c r="O14" s="94"/>
      <c r="P14" s="94"/>
      <c r="Q14" s="94"/>
      <c r="R14" s="94"/>
      <c r="S14" s="94"/>
      <c r="T14" s="95"/>
    </row>
    <row r="15" spans="2:20" x14ac:dyDescent="0.2">
      <c r="B15" s="92"/>
      <c r="C15" s="94"/>
      <c r="D15" s="94" t="s">
        <v>1468</v>
      </c>
      <c r="E15" s="94" t="s">
        <v>1397</v>
      </c>
      <c r="F15" s="94"/>
      <c r="G15" s="94"/>
      <c r="H15" s="94"/>
      <c r="I15" s="94"/>
      <c r="J15" s="94"/>
      <c r="K15" s="94"/>
      <c r="L15" s="94"/>
      <c r="M15" s="94"/>
      <c r="N15" s="94"/>
      <c r="O15" s="94"/>
      <c r="P15" s="94"/>
      <c r="Q15" s="94"/>
      <c r="R15" s="94"/>
      <c r="S15" s="94"/>
      <c r="T15" s="95"/>
    </row>
    <row r="16" spans="2:20" x14ac:dyDescent="0.2">
      <c r="B16" s="92"/>
      <c r="C16" s="94"/>
      <c r="D16" s="102" t="s">
        <v>1441</v>
      </c>
      <c r="E16" s="94" t="s">
        <v>1436</v>
      </c>
      <c r="F16" s="94"/>
      <c r="G16" s="94"/>
      <c r="H16" s="94"/>
      <c r="I16" s="94"/>
      <c r="J16" s="94"/>
      <c r="K16" s="94"/>
      <c r="L16" s="94"/>
      <c r="M16" s="94"/>
      <c r="N16" s="94"/>
      <c r="O16" s="94"/>
      <c r="P16" s="94"/>
      <c r="Q16" s="94"/>
      <c r="R16" s="94"/>
      <c r="S16" s="94"/>
      <c r="T16" s="95"/>
    </row>
    <row r="17" spans="2:20" x14ac:dyDescent="0.2">
      <c r="B17" s="92"/>
      <c r="C17" s="94"/>
      <c r="D17" s="102" t="s">
        <v>1442</v>
      </c>
      <c r="E17" s="94" t="s">
        <v>1437</v>
      </c>
      <c r="F17" s="94"/>
      <c r="G17" s="94"/>
      <c r="H17" s="94"/>
      <c r="I17" s="94"/>
      <c r="J17" s="94"/>
      <c r="K17" s="94"/>
      <c r="L17" s="94"/>
      <c r="M17" s="94"/>
      <c r="N17" s="94"/>
      <c r="O17" s="94"/>
      <c r="P17" s="94"/>
      <c r="Q17" s="94"/>
      <c r="R17" s="94"/>
      <c r="S17" s="94"/>
      <c r="T17" s="95"/>
    </row>
    <row r="18" spans="2:20" x14ac:dyDescent="0.2">
      <c r="B18" s="92"/>
      <c r="C18" s="94"/>
      <c r="D18" s="102" t="s">
        <v>1443</v>
      </c>
      <c r="E18" s="94" t="s">
        <v>1438</v>
      </c>
      <c r="F18" s="94"/>
      <c r="G18" s="94"/>
      <c r="H18" s="94"/>
      <c r="I18" s="94"/>
      <c r="J18" s="94"/>
      <c r="K18" s="94"/>
      <c r="L18" s="94"/>
      <c r="M18" s="94"/>
      <c r="N18" s="94"/>
      <c r="O18" s="94"/>
      <c r="P18" s="94"/>
      <c r="Q18" s="94"/>
      <c r="R18" s="94"/>
      <c r="S18" s="94"/>
      <c r="T18" s="95"/>
    </row>
    <row r="19" spans="2:20" x14ac:dyDescent="0.2">
      <c r="B19" s="92"/>
      <c r="C19" s="94"/>
      <c r="D19" s="102" t="s">
        <v>1446</v>
      </c>
      <c r="E19" s="94" t="s">
        <v>1439</v>
      </c>
      <c r="F19" s="94"/>
      <c r="G19" s="94"/>
      <c r="H19" s="94"/>
      <c r="I19" s="94"/>
      <c r="J19" s="94"/>
      <c r="K19" s="94"/>
      <c r="L19" s="94"/>
      <c r="M19" s="94"/>
      <c r="N19" s="94"/>
      <c r="O19" s="94"/>
      <c r="P19" s="94"/>
      <c r="Q19" s="94"/>
      <c r="R19" s="94"/>
      <c r="S19" s="94"/>
      <c r="T19" s="95"/>
    </row>
    <row r="20" spans="2:20" x14ac:dyDescent="0.2">
      <c r="B20" s="92"/>
      <c r="C20" s="94"/>
      <c r="D20" s="102" t="s">
        <v>1444</v>
      </c>
      <c r="E20" s="94"/>
      <c r="F20" s="94"/>
      <c r="G20" s="94"/>
      <c r="H20" s="94"/>
      <c r="I20" s="94"/>
      <c r="J20" s="94"/>
      <c r="K20" s="94"/>
      <c r="L20" s="94"/>
      <c r="M20" s="94"/>
      <c r="N20" s="94"/>
      <c r="O20" s="94"/>
      <c r="P20" s="94"/>
      <c r="Q20" s="94"/>
      <c r="R20" s="94"/>
      <c r="S20" s="94"/>
      <c r="T20" s="95"/>
    </row>
    <row r="21" spans="2:20" x14ac:dyDescent="0.2">
      <c r="B21" s="92"/>
      <c r="C21" s="94"/>
      <c r="D21" s="102" t="s">
        <v>1445</v>
      </c>
      <c r="E21" s="94"/>
      <c r="F21" s="94"/>
      <c r="G21" s="94"/>
      <c r="H21" s="94"/>
      <c r="I21" s="94"/>
      <c r="J21" s="94"/>
      <c r="K21" s="94"/>
      <c r="L21" s="94"/>
      <c r="M21" s="94"/>
      <c r="N21" s="94"/>
      <c r="O21" s="94"/>
      <c r="P21" s="94"/>
      <c r="Q21" s="94"/>
      <c r="R21" s="94"/>
      <c r="S21" s="94"/>
      <c r="T21" s="95"/>
    </row>
    <row r="22" spans="2:20" x14ac:dyDescent="0.2">
      <c r="B22" s="92"/>
      <c r="C22" s="94"/>
      <c r="D22" s="97"/>
      <c r="E22" s="94"/>
      <c r="F22" s="94"/>
      <c r="G22" s="94"/>
      <c r="H22" s="94"/>
      <c r="I22" s="94"/>
      <c r="J22" s="94"/>
      <c r="K22" s="94"/>
      <c r="L22" s="94"/>
      <c r="M22" s="94"/>
      <c r="N22" s="94"/>
      <c r="O22" s="94"/>
      <c r="P22" s="94"/>
      <c r="Q22" s="94"/>
      <c r="R22" s="94"/>
      <c r="S22" s="94"/>
      <c r="T22" s="95"/>
    </row>
    <row r="23" spans="2:20" ht="15" x14ac:dyDescent="0.25">
      <c r="B23" s="92"/>
      <c r="C23" s="94"/>
      <c r="D23" s="101" t="s">
        <v>1440</v>
      </c>
      <c r="E23" s="94"/>
      <c r="F23" s="94"/>
      <c r="G23" s="94"/>
      <c r="H23" s="94"/>
      <c r="I23" s="94"/>
      <c r="J23" s="94"/>
      <c r="K23" s="94"/>
      <c r="L23" s="94"/>
      <c r="M23" s="94"/>
      <c r="N23" s="94"/>
      <c r="O23" s="94"/>
      <c r="P23" s="94"/>
      <c r="Q23" s="94"/>
      <c r="R23" s="94"/>
      <c r="S23" s="94"/>
      <c r="T23" s="95"/>
    </row>
    <row r="24" spans="2:20" x14ac:dyDescent="0.2">
      <c r="B24" s="92"/>
      <c r="C24" s="94"/>
      <c r="D24" s="103" t="s">
        <v>1469</v>
      </c>
      <c r="E24" s="94"/>
      <c r="F24" s="94"/>
      <c r="G24" s="94"/>
      <c r="H24" s="94"/>
      <c r="I24" s="94"/>
      <c r="J24" s="94"/>
      <c r="K24" s="94"/>
      <c r="L24" s="94"/>
      <c r="M24" s="94"/>
      <c r="N24" s="94"/>
      <c r="O24" s="94"/>
      <c r="P24" s="94"/>
      <c r="Q24" s="94"/>
      <c r="R24" s="94"/>
      <c r="S24" s="94"/>
      <c r="T24" s="95"/>
    </row>
    <row r="25" spans="2:20" x14ac:dyDescent="0.2">
      <c r="B25" s="92"/>
      <c r="C25" s="94"/>
      <c r="D25" s="102" t="s">
        <v>1451</v>
      </c>
      <c r="E25" s="94"/>
      <c r="F25" s="94"/>
      <c r="G25" s="94"/>
      <c r="H25" s="94"/>
      <c r="I25" s="94"/>
      <c r="J25" s="94"/>
      <c r="K25" s="94"/>
      <c r="L25" s="94"/>
      <c r="M25" s="94"/>
      <c r="N25" s="94"/>
      <c r="O25" s="94"/>
      <c r="P25" s="94"/>
      <c r="Q25" s="94"/>
      <c r="R25" s="94"/>
      <c r="S25" s="94"/>
      <c r="T25" s="95"/>
    </row>
    <row r="26" spans="2:20" x14ac:dyDescent="0.2">
      <c r="B26" s="92"/>
      <c r="C26" s="94"/>
      <c r="D26" s="102" t="s">
        <v>1447</v>
      </c>
      <c r="E26" s="94"/>
      <c r="F26" s="94"/>
      <c r="G26" s="94"/>
      <c r="H26" s="94"/>
      <c r="I26" s="94"/>
      <c r="J26" s="94"/>
      <c r="K26" s="94"/>
      <c r="L26" s="94"/>
      <c r="M26" s="94"/>
      <c r="N26" s="94"/>
      <c r="O26" s="94"/>
      <c r="P26" s="94"/>
      <c r="Q26" s="94"/>
      <c r="R26" s="94"/>
      <c r="S26" s="94"/>
      <c r="T26" s="95"/>
    </row>
    <row r="27" spans="2:20" x14ac:dyDescent="0.2">
      <c r="B27" s="92"/>
      <c r="C27" s="94"/>
      <c r="D27" s="102" t="s">
        <v>1448</v>
      </c>
      <c r="E27" s="94"/>
      <c r="F27" s="94"/>
      <c r="G27" s="94"/>
      <c r="H27" s="94"/>
      <c r="I27" s="94"/>
      <c r="J27" s="94"/>
      <c r="K27" s="94"/>
      <c r="L27" s="94"/>
      <c r="M27" s="94"/>
      <c r="N27" s="94"/>
      <c r="O27" s="94"/>
      <c r="P27" s="94"/>
      <c r="Q27" s="94"/>
      <c r="R27" s="94"/>
      <c r="S27" s="94"/>
      <c r="T27" s="95"/>
    </row>
    <row r="28" spans="2:20" x14ac:dyDescent="0.2">
      <c r="B28" s="92"/>
      <c r="C28" s="94"/>
      <c r="D28" s="102" t="s">
        <v>1449</v>
      </c>
      <c r="E28" s="94"/>
      <c r="F28" s="94"/>
      <c r="G28" s="94"/>
      <c r="H28" s="94"/>
      <c r="I28" s="94"/>
      <c r="J28" s="94"/>
      <c r="K28" s="94"/>
      <c r="L28" s="94"/>
      <c r="M28" s="94"/>
      <c r="N28" s="94"/>
      <c r="O28" s="94"/>
      <c r="P28" s="94"/>
      <c r="Q28" s="94"/>
      <c r="R28" s="94"/>
      <c r="S28" s="94"/>
      <c r="T28" s="95"/>
    </row>
    <row r="29" spans="2:20" x14ac:dyDescent="0.2">
      <c r="B29" s="92"/>
      <c r="C29" s="94"/>
      <c r="D29" s="102" t="s">
        <v>1450</v>
      </c>
      <c r="E29" s="94"/>
      <c r="F29" s="94"/>
      <c r="G29" s="94"/>
      <c r="H29" s="94"/>
      <c r="I29" s="94"/>
      <c r="J29" s="94"/>
      <c r="K29" s="94"/>
      <c r="L29" s="94"/>
      <c r="M29" s="94"/>
      <c r="N29" s="94"/>
      <c r="O29" s="94"/>
      <c r="P29" s="94"/>
      <c r="Q29" s="94"/>
      <c r="R29" s="94"/>
      <c r="S29" s="94"/>
      <c r="T29" s="95"/>
    </row>
    <row r="30" spans="2:20" x14ac:dyDescent="0.2">
      <c r="B30" s="92"/>
      <c r="C30" s="94"/>
      <c r="D30" s="102" t="s">
        <v>1452</v>
      </c>
      <c r="E30" s="94"/>
      <c r="F30" s="94"/>
      <c r="G30" s="94"/>
      <c r="H30" s="94"/>
      <c r="I30" s="94"/>
      <c r="J30" s="94"/>
      <c r="K30" s="94"/>
      <c r="L30" s="94"/>
      <c r="M30" s="94"/>
      <c r="N30" s="94"/>
      <c r="O30" s="94"/>
      <c r="P30" s="94"/>
      <c r="Q30" s="94"/>
      <c r="R30" s="94"/>
      <c r="S30" s="94"/>
      <c r="T30" s="95"/>
    </row>
    <row r="31" spans="2:20" x14ac:dyDescent="0.2">
      <c r="B31" s="92"/>
      <c r="C31" s="94"/>
      <c r="D31" s="104" t="s">
        <v>1453</v>
      </c>
      <c r="E31" s="94"/>
      <c r="F31" s="94"/>
      <c r="G31" s="94"/>
      <c r="H31" s="94"/>
      <c r="I31" s="94"/>
      <c r="J31" s="94"/>
      <c r="K31" s="94"/>
      <c r="L31" s="94"/>
      <c r="M31" s="94"/>
      <c r="N31" s="94"/>
      <c r="O31" s="94"/>
      <c r="P31" s="94"/>
      <c r="Q31" s="94"/>
      <c r="R31" s="94"/>
      <c r="S31" s="94"/>
      <c r="T31" s="95"/>
    </row>
    <row r="32" spans="2:20" x14ac:dyDescent="0.2">
      <c r="B32" s="92"/>
      <c r="C32" s="94"/>
      <c r="D32" s="104" t="s">
        <v>1454</v>
      </c>
      <c r="E32" s="94"/>
      <c r="F32" s="94"/>
      <c r="G32" s="94"/>
      <c r="H32" s="94"/>
      <c r="I32" s="94"/>
      <c r="J32" s="94"/>
      <c r="K32" s="94"/>
      <c r="L32" s="94"/>
      <c r="M32" s="94"/>
      <c r="N32" s="94"/>
      <c r="O32" s="94"/>
      <c r="P32" s="94"/>
      <c r="Q32" s="94"/>
      <c r="R32" s="94"/>
      <c r="S32" s="94"/>
      <c r="T32" s="95"/>
    </row>
    <row r="33" spans="2:20" x14ac:dyDescent="0.2">
      <c r="B33" s="92"/>
      <c r="C33" s="94"/>
      <c r="D33" s="104" t="s">
        <v>1455</v>
      </c>
      <c r="E33" s="94"/>
      <c r="F33" s="94"/>
      <c r="G33" s="94"/>
      <c r="H33" s="94"/>
      <c r="I33" s="94"/>
      <c r="J33" s="94"/>
      <c r="K33" s="94"/>
      <c r="L33" s="94"/>
      <c r="M33" s="94"/>
      <c r="N33" s="94"/>
      <c r="O33" s="94"/>
      <c r="P33" s="94"/>
      <c r="Q33" s="94"/>
      <c r="R33" s="94"/>
      <c r="S33" s="94"/>
      <c r="T33" s="95"/>
    </row>
    <row r="34" spans="2:20" x14ac:dyDescent="0.2">
      <c r="B34" s="92"/>
      <c r="C34" s="94"/>
      <c r="D34" s="104" t="s">
        <v>1671</v>
      </c>
      <c r="E34" s="94"/>
      <c r="F34" s="94"/>
      <c r="G34" s="94"/>
      <c r="H34" s="94"/>
      <c r="I34" s="94"/>
      <c r="J34" s="94"/>
      <c r="K34" s="94"/>
      <c r="L34" s="94"/>
      <c r="M34" s="94"/>
      <c r="N34" s="94"/>
      <c r="O34" s="94"/>
      <c r="P34" s="94"/>
      <c r="Q34" s="94"/>
      <c r="R34" s="94"/>
      <c r="S34" s="94"/>
      <c r="T34" s="95"/>
    </row>
    <row r="35" spans="2:20" x14ac:dyDescent="0.2">
      <c r="B35" s="92"/>
      <c r="C35" s="94"/>
      <c r="D35" s="102" t="s">
        <v>1456</v>
      </c>
      <c r="E35" s="94"/>
      <c r="F35" s="94"/>
      <c r="G35" s="94"/>
      <c r="H35" s="94"/>
      <c r="I35" s="94"/>
      <c r="J35" s="94"/>
      <c r="K35" s="94"/>
      <c r="L35" s="94"/>
      <c r="M35" s="94"/>
      <c r="N35" s="94"/>
      <c r="O35" s="94"/>
      <c r="P35" s="94"/>
      <c r="Q35" s="94"/>
      <c r="R35" s="94"/>
      <c r="S35" s="94"/>
      <c r="T35" s="95"/>
    </row>
    <row r="36" spans="2:20" x14ac:dyDescent="0.2">
      <c r="B36" s="92"/>
      <c r="C36" s="94"/>
      <c r="D36" s="102" t="s">
        <v>1457</v>
      </c>
      <c r="E36" s="94"/>
      <c r="F36" s="94"/>
      <c r="G36" s="94"/>
      <c r="H36" s="94"/>
      <c r="I36" s="94"/>
      <c r="J36" s="94"/>
      <c r="K36" s="94"/>
      <c r="L36" s="94"/>
      <c r="M36" s="94"/>
      <c r="N36" s="94"/>
      <c r="O36" s="94"/>
      <c r="P36" s="94"/>
      <c r="Q36" s="94"/>
      <c r="R36" s="94"/>
      <c r="S36" s="94"/>
      <c r="T36" s="95"/>
    </row>
    <row r="37" spans="2:20" x14ac:dyDescent="0.2">
      <c r="B37" s="92"/>
      <c r="C37" s="94"/>
      <c r="D37" s="102" t="s">
        <v>1458</v>
      </c>
      <c r="E37" s="94"/>
      <c r="F37" s="94"/>
      <c r="G37" s="94"/>
      <c r="H37" s="94"/>
      <c r="I37" s="94"/>
      <c r="J37" s="94"/>
      <c r="K37" s="94"/>
      <c r="L37" s="94"/>
      <c r="M37" s="94"/>
      <c r="N37" s="94"/>
      <c r="O37" s="94"/>
      <c r="P37" s="94"/>
      <c r="Q37" s="94"/>
      <c r="R37" s="94"/>
      <c r="S37" s="94"/>
      <c r="T37" s="95"/>
    </row>
    <row r="38" spans="2:20" x14ac:dyDescent="0.2">
      <c r="B38" s="92"/>
      <c r="C38" s="94"/>
      <c r="D38" s="102"/>
      <c r="E38" s="94"/>
      <c r="F38" s="94"/>
      <c r="G38" s="94"/>
      <c r="H38" s="94"/>
      <c r="I38" s="94"/>
      <c r="J38" s="94"/>
      <c r="K38" s="94"/>
      <c r="L38" s="94"/>
      <c r="M38" s="94"/>
      <c r="N38" s="94"/>
      <c r="O38" s="94"/>
      <c r="P38" s="94"/>
      <c r="Q38" s="94"/>
      <c r="R38" s="94"/>
      <c r="S38" s="94"/>
      <c r="T38" s="95"/>
    </row>
    <row r="39" spans="2:20" x14ac:dyDescent="0.2">
      <c r="B39" s="92"/>
      <c r="C39" s="94"/>
      <c r="D39" s="105" t="s">
        <v>1472</v>
      </c>
      <c r="E39" s="94"/>
      <c r="F39" s="94"/>
      <c r="G39" s="94"/>
      <c r="H39" s="94"/>
      <c r="I39" s="94"/>
      <c r="J39" s="94"/>
      <c r="K39" s="94"/>
      <c r="L39" s="94"/>
      <c r="M39" s="94"/>
      <c r="N39" s="94"/>
      <c r="O39" s="94"/>
      <c r="P39" s="94"/>
      <c r="Q39" s="94"/>
      <c r="R39" s="94"/>
      <c r="S39" s="94"/>
      <c r="T39" s="95"/>
    </row>
    <row r="40" spans="2:20" ht="15" x14ac:dyDescent="0.2">
      <c r="B40" s="92"/>
      <c r="C40" s="94"/>
      <c r="D40" s="105" t="s">
        <v>1473</v>
      </c>
      <c r="E40" s="94"/>
      <c r="F40" s="94"/>
      <c r="G40" s="94"/>
      <c r="H40" s="96" t="s">
        <v>1475</v>
      </c>
      <c r="I40" s="94"/>
      <c r="J40" s="94" t="s">
        <v>1477</v>
      </c>
      <c r="K40" s="94"/>
      <c r="L40" s="94"/>
      <c r="M40" s="94"/>
      <c r="N40" s="94"/>
      <c r="O40" s="94"/>
      <c r="P40" s="94"/>
      <c r="Q40" s="94"/>
      <c r="R40" s="94"/>
      <c r="S40" s="94"/>
      <c r="T40" s="95"/>
    </row>
    <row r="41" spans="2:20" x14ac:dyDescent="0.2">
      <c r="B41" s="92"/>
      <c r="C41" s="94"/>
      <c r="D41" s="97" t="s">
        <v>1474</v>
      </c>
      <c r="E41" s="94"/>
      <c r="F41" s="94"/>
      <c r="G41" s="94"/>
      <c r="H41" s="94"/>
      <c r="I41" s="94"/>
      <c r="J41" s="94"/>
      <c r="K41" s="94"/>
      <c r="L41" s="94"/>
      <c r="M41" s="94"/>
      <c r="N41" s="94"/>
      <c r="O41" s="94"/>
      <c r="P41" s="94"/>
      <c r="Q41" s="94"/>
      <c r="R41" s="94"/>
      <c r="S41" s="94"/>
      <c r="T41" s="95"/>
    </row>
    <row r="42" spans="2:20" x14ac:dyDescent="0.2">
      <c r="B42" s="92"/>
      <c r="C42" s="94"/>
      <c r="D42" s="97" t="s">
        <v>1476</v>
      </c>
      <c r="E42" s="94"/>
      <c r="F42" s="94"/>
      <c r="G42" s="94"/>
      <c r="H42" s="94"/>
      <c r="I42" s="94"/>
      <c r="J42" s="94"/>
      <c r="K42" s="94"/>
      <c r="L42" s="94"/>
      <c r="M42" s="94"/>
      <c r="N42" s="94"/>
      <c r="O42" s="94"/>
      <c r="P42" s="94"/>
      <c r="Q42" s="94"/>
      <c r="R42" s="94"/>
      <c r="S42" s="94"/>
      <c r="T42" s="95"/>
    </row>
    <row r="43" spans="2:20" x14ac:dyDescent="0.2">
      <c r="B43" s="92"/>
      <c r="C43" s="94"/>
      <c r="D43" s="97"/>
      <c r="E43" s="94"/>
      <c r="F43" s="94"/>
      <c r="G43" s="94"/>
      <c r="H43" s="94"/>
      <c r="I43" s="94"/>
      <c r="J43" s="94"/>
      <c r="K43" s="94"/>
      <c r="L43" s="94"/>
      <c r="M43" s="94"/>
      <c r="N43" s="94"/>
      <c r="O43" s="94"/>
      <c r="P43" s="94"/>
      <c r="Q43" s="94"/>
      <c r="R43" s="94"/>
      <c r="S43" s="94"/>
      <c r="T43" s="95"/>
    </row>
    <row r="44" spans="2:20" ht="15" x14ac:dyDescent="0.25">
      <c r="B44" s="92"/>
      <c r="C44" s="106" t="s">
        <v>976</v>
      </c>
      <c r="D44" s="93" t="s">
        <v>1460</v>
      </c>
      <c r="E44" s="94"/>
      <c r="F44" s="94"/>
      <c r="G44" s="94"/>
      <c r="H44" s="94"/>
      <c r="I44" s="94"/>
      <c r="J44" s="94"/>
      <c r="K44" s="94"/>
      <c r="L44" s="94"/>
      <c r="M44" s="94"/>
      <c r="N44" s="94"/>
      <c r="O44" s="94"/>
      <c r="P44" s="94"/>
      <c r="Q44" s="94"/>
      <c r="R44" s="94"/>
      <c r="S44" s="94"/>
      <c r="T44" s="95"/>
    </row>
    <row r="45" spans="2:20" x14ac:dyDescent="0.2">
      <c r="B45" s="92"/>
      <c r="C45" s="94"/>
      <c r="D45" s="94" t="s">
        <v>1463</v>
      </c>
      <c r="E45" s="94"/>
      <c r="F45" s="94"/>
      <c r="G45" s="94"/>
      <c r="H45" s="94"/>
      <c r="I45" s="94"/>
      <c r="J45" s="94"/>
      <c r="K45" s="94"/>
      <c r="L45" s="94"/>
      <c r="M45" s="94"/>
      <c r="N45" s="94"/>
      <c r="O45" s="94"/>
      <c r="P45" s="94"/>
      <c r="Q45" s="94"/>
      <c r="R45" s="94"/>
      <c r="S45" s="94"/>
      <c r="T45" s="95"/>
    </row>
    <row r="46" spans="2:20" x14ac:dyDescent="0.2">
      <c r="B46" s="92"/>
      <c r="C46" s="94"/>
      <c r="D46" s="102" t="s">
        <v>1466</v>
      </c>
      <c r="E46" s="94"/>
      <c r="F46" s="94"/>
      <c r="G46" s="94"/>
      <c r="H46" s="94"/>
      <c r="I46" s="94"/>
      <c r="J46" s="94"/>
      <c r="K46" s="94"/>
      <c r="L46" s="94"/>
      <c r="M46" s="94"/>
      <c r="N46" s="94"/>
      <c r="O46" s="94"/>
      <c r="P46" s="94"/>
      <c r="Q46" s="94"/>
      <c r="R46" s="94"/>
      <c r="S46" s="94"/>
      <c r="T46" s="95"/>
    </row>
    <row r="47" spans="2:20" ht="15" x14ac:dyDescent="0.2">
      <c r="B47" s="92"/>
      <c r="C47" s="94"/>
      <c r="D47" s="102" t="s">
        <v>1465</v>
      </c>
      <c r="E47" s="94"/>
      <c r="F47" s="94"/>
      <c r="G47" s="94"/>
      <c r="H47" s="94"/>
      <c r="I47" s="94"/>
      <c r="J47" s="94"/>
      <c r="K47" s="94"/>
      <c r="L47" s="94"/>
      <c r="M47" s="94"/>
      <c r="N47" s="96" t="s">
        <v>1461</v>
      </c>
      <c r="O47" s="94"/>
      <c r="P47" s="94"/>
      <c r="Q47" s="94"/>
      <c r="R47" s="94"/>
      <c r="S47" s="94"/>
      <c r="T47" s="95"/>
    </row>
    <row r="48" spans="2:20" x14ac:dyDescent="0.2">
      <c r="B48" s="92"/>
      <c r="C48" s="94"/>
      <c r="D48" s="102" t="s">
        <v>1464</v>
      </c>
      <c r="E48" s="94"/>
      <c r="F48" s="94"/>
      <c r="G48" s="94"/>
      <c r="H48" s="94"/>
      <c r="I48" s="94"/>
      <c r="J48" s="94"/>
      <c r="K48" s="94"/>
      <c r="L48" s="94"/>
      <c r="M48" s="94"/>
      <c r="N48" s="94"/>
      <c r="O48" s="94"/>
      <c r="P48" s="94"/>
      <c r="Q48" s="94"/>
      <c r="R48" s="94"/>
      <c r="S48" s="94"/>
      <c r="T48" s="95"/>
    </row>
    <row r="49" spans="2:20" ht="15" x14ac:dyDescent="0.25">
      <c r="B49" s="92"/>
      <c r="C49" s="94"/>
      <c r="D49" s="94" t="s">
        <v>1462</v>
      </c>
      <c r="E49" s="94"/>
      <c r="F49" s="94"/>
      <c r="G49" s="94"/>
      <c r="H49" s="94"/>
      <c r="I49" s="94"/>
      <c r="J49" s="94"/>
      <c r="K49" s="94"/>
      <c r="L49" s="94"/>
      <c r="M49" s="94"/>
      <c r="N49" s="94"/>
      <c r="O49" s="94"/>
      <c r="P49" s="94"/>
      <c r="Q49" s="94"/>
      <c r="R49" s="94"/>
      <c r="S49" s="94"/>
      <c r="T49" s="95"/>
    </row>
    <row r="50" spans="2:20" x14ac:dyDescent="0.2">
      <c r="B50" s="107"/>
      <c r="C50" s="108"/>
      <c r="D50" s="108"/>
      <c r="E50" s="108"/>
      <c r="F50" s="108"/>
      <c r="G50" s="108"/>
      <c r="H50" s="108"/>
      <c r="I50" s="108"/>
      <c r="J50" s="108"/>
      <c r="K50" s="108"/>
      <c r="L50" s="108"/>
      <c r="M50" s="108"/>
      <c r="N50" s="108"/>
      <c r="O50" s="108"/>
      <c r="P50" s="108"/>
      <c r="Q50" s="108"/>
      <c r="R50" s="108"/>
      <c r="S50" s="108"/>
      <c r="T50" s="109"/>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69" t="s">
        <v>1204</v>
      </c>
      <c r="B1" s="69" t="s">
        <v>871</v>
      </c>
    </row>
    <row r="2" spans="1:2" x14ac:dyDescent="0.2">
      <c r="A2" s="66" t="s">
        <v>1291</v>
      </c>
      <c r="B2" s="70">
        <v>1</v>
      </c>
    </row>
    <row r="3" spans="1:2" x14ac:dyDescent="0.2">
      <c r="A3" s="66" t="s">
        <v>1280</v>
      </c>
      <c r="B3" s="70">
        <v>2</v>
      </c>
    </row>
    <row r="4" spans="1:2" x14ac:dyDescent="0.2">
      <c r="A4" s="66" t="s">
        <v>1292</v>
      </c>
      <c r="B4" s="70">
        <v>3</v>
      </c>
    </row>
    <row r="5" spans="1:2" x14ac:dyDescent="0.2">
      <c r="A5" s="66" t="s">
        <v>1247</v>
      </c>
      <c r="B5" s="70">
        <v>4</v>
      </c>
    </row>
    <row r="6" spans="1:2" ht="25.5" x14ac:dyDescent="0.2">
      <c r="A6" s="66" t="s">
        <v>1281</v>
      </c>
      <c r="B6" s="70">
        <v>5</v>
      </c>
    </row>
    <row r="7" spans="1:2" x14ac:dyDescent="0.2">
      <c r="A7" s="66" t="s">
        <v>1282</v>
      </c>
      <c r="B7" s="70">
        <v>6</v>
      </c>
    </row>
    <row r="8" spans="1:2" x14ac:dyDescent="0.2">
      <c r="A8" s="66" t="s">
        <v>1289</v>
      </c>
      <c r="B8" s="70">
        <v>7</v>
      </c>
    </row>
    <row r="9" spans="1:2" x14ac:dyDescent="0.2">
      <c r="A9" s="66" t="s">
        <v>1283</v>
      </c>
      <c r="B9" s="70">
        <v>8</v>
      </c>
    </row>
    <row r="10" spans="1:2" x14ac:dyDescent="0.2">
      <c r="A10" s="66" t="s">
        <v>1284</v>
      </c>
      <c r="B10" s="70">
        <v>9</v>
      </c>
    </row>
    <row r="11" spans="1:2" x14ac:dyDescent="0.2">
      <c r="A11" s="66" t="s">
        <v>1285</v>
      </c>
      <c r="B11" s="70">
        <v>10</v>
      </c>
    </row>
    <row r="12" spans="1:2" x14ac:dyDescent="0.2">
      <c r="A12" s="66" t="s">
        <v>1293</v>
      </c>
      <c r="B12" s="70">
        <v>11</v>
      </c>
    </row>
    <row r="13" spans="1:2" ht="25.5" x14ac:dyDescent="0.2">
      <c r="A13" s="66" t="s">
        <v>1286</v>
      </c>
      <c r="B13" s="70">
        <v>12</v>
      </c>
    </row>
    <row r="14" spans="1:2" x14ac:dyDescent="0.2">
      <c r="A14" s="66" t="s">
        <v>1287</v>
      </c>
      <c r="B14" s="70">
        <v>13</v>
      </c>
    </row>
    <row r="15" spans="1:2" x14ac:dyDescent="0.2">
      <c r="A15" s="66" t="s">
        <v>1288</v>
      </c>
      <c r="B15" s="70">
        <v>14</v>
      </c>
    </row>
    <row r="16" spans="1:2" x14ac:dyDescent="0.2">
      <c r="A16" s="66" t="s">
        <v>1290</v>
      </c>
      <c r="B16" s="70">
        <v>15</v>
      </c>
    </row>
    <row r="17" spans="1:2" x14ac:dyDescent="0.2">
      <c r="A17" s="66" t="s">
        <v>1294</v>
      </c>
      <c r="B17" s="70">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69" t="s">
        <v>1205</v>
      </c>
      <c r="B1" s="69" t="s">
        <v>871</v>
      </c>
    </row>
    <row r="2" spans="1:2" ht="25.5" x14ac:dyDescent="0.2">
      <c r="A2" s="66" t="s">
        <v>1206</v>
      </c>
      <c r="B2" s="70">
        <v>1</v>
      </c>
    </row>
    <row r="3" spans="1:2" ht="25.5" x14ac:dyDescent="0.2">
      <c r="A3" s="66" t="s">
        <v>1207</v>
      </c>
      <c r="B3" s="70">
        <v>2</v>
      </c>
    </row>
    <row r="4" spans="1:2" ht="25.5" x14ac:dyDescent="0.2">
      <c r="A4" s="66" t="s">
        <v>1208</v>
      </c>
      <c r="B4" s="70">
        <v>3</v>
      </c>
    </row>
    <row r="5" spans="1:2" ht="38.25" x14ac:dyDescent="0.2">
      <c r="A5" s="66" t="s">
        <v>1209</v>
      </c>
      <c r="B5" s="70">
        <v>4</v>
      </c>
    </row>
    <row r="6" spans="1:2" x14ac:dyDescent="0.2">
      <c r="A6" s="66" t="s">
        <v>1210</v>
      </c>
      <c r="B6" s="70">
        <v>5</v>
      </c>
    </row>
    <row r="7" spans="1:2" x14ac:dyDescent="0.2">
      <c r="A7" s="66" t="s">
        <v>1211</v>
      </c>
      <c r="B7" s="70">
        <v>6</v>
      </c>
    </row>
    <row r="8" spans="1:2" ht="25.5" x14ac:dyDescent="0.2">
      <c r="A8" s="66" t="s">
        <v>1212</v>
      </c>
      <c r="B8" s="70">
        <v>4</v>
      </c>
    </row>
    <row r="9" spans="1:2" ht="25.5" x14ac:dyDescent="0.2">
      <c r="A9" s="66" t="s">
        <v>1214</v>
      </c>
      <c r="B9" s="70">
        <v>7</v>
      </c>
    </row>
    <row r="10" spans="1:2" x14ac:dyDescent="0.2">
      <c r="A10" s="66" t="s">
        <v>1213</v>
      </c>
      <c r="B10" s="70">
        <v>3</v>
      </c>
    </row>
    <row r="11" spans="1:2" x14ac:dyDescent="0.2">
      <c r="A11" s="66" t="s">
        <v>1257</v>
      </c>
      <c r="B11" s="70">
        <v>4</v>
      </c>
    </row>
    <row r="12" spans="1:2" x14ac:dyDescent="0.2">
      <c r="A12" s="66" t="s">
        <v>1256</v>
      </c>
      <c r="B12" s="70">
        <v>5</v>
      </c>
    </row>
    <row r="13" spans="1:2" ht="38.25" x14ac:dyDescent="0.2">
      <c r="A13" s="66" t="s">
        <v>1215</v>
      </c>
      <c r="B13" s="70">
        <v>3</v>
      </c>
    </row>
    <row r="14" spans="1:2" x14ac:dyDescent="0.2">
      <c r="A14" s="66" t="s">
        <v>1216</v>
      </c>
      <c r="B14" s="70">
        <v>3</v>
      </c>
    </row>
    <row r="15" spans="1:2" x14ac:dyDescent="0.2">
      <c r="A15" s="66" t="s">
        <v>1217</v>
      </c>
      <c r="B15" s="70">
        <v>5</v>
      </c>
    </row>
    <row r="16" spans="1:2" ht="25.5" x14ac:dyDescent="0.2">
      <c r="A16" s="66" t="s">
        <v>1218</v>
      </c>
      <c r="B16" s="70">
        <v>8</v>
      </c>
    </row>
    <row r="17" spans="1:2" ht="25.5" x14ac:dyDescent="0.2">
      <c r="A17" s="66" t="s">
        <v>1219</v>
      </c>
      <c r="B17" s="70">
        <v>2</v>
      </c>
    </row>
    <row r="18" spans="1:2" x14ac:dyDescent="0.2">
      <c r="A18" s="66" t="s">
        <v>1220</v>
      </c>
      <c r="B18" s="70">
        <v>5</v>
      </c>
    </row>
    <row r="19" spans="1:2" x14ac:dyDescent="0.2">
      <c r="A19" s="66" t="s">
        <v>1221</v>
      </c>
      <c r="B19" s="70">
        <v>9</v>
      </c>
    </row>
    <row r="20" spans="1:2" ht="25.5" x14ac:dyDescent="0.2">
      <c r="A20" s="66" t="s">
        <v>1259</v>
      </c>
      <c r="B20" s="70">
        <v>5</v>
      </c>
    </row>
    <row r="21" spans="1:2" x14ac:dyDescent="0.2">
      <c r="A21" s="66" t="s">
        <v>1258</v>
      </c>
      <c r="B21" s="70">
        <v>10</v>
      </c>
    </row>
    <row r="22" spans="1:2" x14ac:dyDescent="0.2">
      <c r="A22" s="66" t="s">
        <v>1225</v>
      </c>
      <c r="B22" s="70">
        <v>5</v>
      </c>
    </row>
    <row r="23" spans="1:2" x14ac:dyDescent="0.2">
      <c r="A23" s="66" t="s">
        <v>1222</v>
      </c>
      <c r="B23" s="70">
        <v>11</v>
      </c>
    </row>
    <row r="24" spans="1:2" ht="25.5" x14ac:dyDescent="0.2">
      <c r="A24" s="66" t="s">
        <v>1223</v>
      </c>
      <c r="B24" s="70">
        <v>10</v>
      </c>
    </row>
    <row r="25" spans="1:2" ht="25.5" x14ac:dyDescent="0.2">
      <c r="A25" s="66" t="s">
        <v>1224</v>
      </c>
      <c r="B25" s="70">
        <v>3</v>
      </c>
    </row>
    <row r="26" spans="1:2" ht="25.5" x14ac:dyDescent="0.2">
      <c r="A26" s="66" t="s">
        <v>1260</v>
      </c>
      <c r="B26" s="70">
        <v>2</v>
      </c>
    </row>
    <row r="27" spans="1:2" ht="25.5" x14ac:dyDescent="0.2">
      <c r="A27" s="66" t="s">
        <v>1261</v>
      </c>
      <c r="B27" s="70">
        <v>12</v>
      </c>
    </row>
    <row r="28" spans="1:2" ht="25.5" x14ac:dyDescent="0.2">
      <c r="A28" s="66" t="s">
        <v>1236</v>
      </c>
      <c r="B28" s="70">
        <v>8</v>
      </c>
    </row>
    <row r="29" spans="1:2" x14ac:dyDescent="0.2">
      <c r="A29" s="67" t="s">
        <v>1226</v>
      </c>
      <c r="B29" s="70">
        <v>1</v>
      </c>
    </row>
    <row r="30" spans="1:2" ht="25.5" x14ac:dyDescent="0.2">
      <c r="A30" s="66" t="s">
        <v>1227</v>
      </c>
      <c r="B30" s="70">
        <v>3</v>
      </c>
    </row>
    <row r="31" spans="1:2" x14ac:dyDescent="0.2">
      <c r="A31" s="66" t="s">
        <v>1237</v>
      </c>
      <c r="B31" s="70">
        <v>4</v>
      </c>
    </row>
    <row r="32" spans="1:2" x14ac:dyDescent="0.2">
      <c r="A32" s="66" t="s">
        <v>1238</v>
      </c>
      <c r="B32" s="70">
        <v>11</v>
      </c>
    </row>
    <row r="33" spans="1:2" ht="38.25" x14ac:dyDescent="0.2">
      <c r="A33" s="66" t="s">
        <v>1228</v>
      </c>
      <c r="B33" s="70">
        <v>10</v>
      </c>
    </row>
    <row r="34" spans="1:2" ht="25.5" x14ac:dyDescent="0.2">
      <c r="A34" s="66" t="s">
        <v>1239</v>
      </c>
      <c r="B34" s="70">
        <v>3</v>
      </c>
    </row>
    <row r="35" spans="1:2" x14ac:dyDescent="0.2">
      <c r="A35" s="66" t="s">
        <v>1240</v>
      </c>
      <c r="B35" s="70">
        <v>13</v>
      </c>
    </row>
    <row r="36" spans="1:2" ht="25.5" x14ac:dyDescent="0.2">
      <c r="A36" s="66" t="s">
        <v>319</v>
      </c>
      <c r="B36" s="70">
        <v>7</v>
      </c>
    </row>
    <row r="37" spans="1:2" ht="25.5" x14ac:dyDescent="0.2">
      <c r="A37" s="66" t="s">
        <v>1262</v>
      </c>
      <c r="B37" s="70">
        <v>5</v>
      </c>
    </row>
    <row r="38" spans="1:2" x14ac:dyDescent="0.2">
      <c r="A38" s="66" t="s">
        <v>1241</v>
      </c>
      <c r="B38" s="70">
        <v>6</v>
      </c>
    </row>
    <row r="39" spans="1:2" x14ac:dyDescent="0.2">
      <c r="A39" s="66" t="s">
        <v>1242</v>
      </c>
      <c r="B39" s="70">
        <v>10</v>
      </c>
    </row>
    <row r="40" spans="1:2" x14ac:dyDescent="0.2">
      <c r="A40" s="66" t="s">
        <v>1243</v>
      </c>
      <c r="B40" s="70">
        <v>3</v>
      </c>
    </row>
    <row r="41" spans="1:2" x14ac:dyDescent="0.2">
      <c r="A41" s="66" t="s">
        <v>1263</v>
      </c>
      <c r="B41" s="70">
        <v>1</v>
      </c>
    </row>
    <row r="42" spans="1:2" x14ac:dyDescent="0.2">
      <c r="A42" s="66" t="s">
        <v>1264</v>
      </c>
      <c r="B42" s="70">
        <v>3</v>
      </c>
    </row>
    <row r="43" spans="1:2" ht="25.5" x14ac:dyDescent="0.2">
      <c r="A43" s="66" t="s">
        <v>1244</v>
      </c>
      <c r="B43" s="70">
        <v>14</v>
      </c>
    </row>
    <row r="44" spans="1:2" ht="51" x14ac:dyDescent="0.2">
      <c r="A44" s="66" t="s">
        <v>1266</v>
      </c>
      <c r="B44" s="70">
        <v>2</v>
      </c>
    </row>
    <row r="45" spans="1:2" ht="25.5" x14ac:dyDescent="0.2">
      <c r="A45" s="66" t="s">
        <v>1265</v>
      </c>
      <c r="B45" s="70">
        <v>1</v>
      </c>
    </row>
    <row r="46" spans="1:2" x14ac:dyDescent="0.2">
      <c r="A46" s="66" t="s">
        <v>1245</v>
      </c>
      <c r="B46" s="70">
        <v>7</v>
      </c>
    </row>
    <row r="47" spans="1:2" ht="38.25" x14ac:dyDescent="0.2">
      <c r="A47" s="66" t="s">
        <v>1267</v>
      </c>
      <c r="B47" s="70">
        <v>15</v>
      </c>
    </row>
    <row r="48" spans="1:2" x14ac:dyDescent="0.2">
      <c r="A48" s="66" t="s">
        <v>1246</v>
      </c>
      <c r="B48" s="70">
        <v>16</v>
      </c>
    </row>
    <row r="49" spans="1:2" ht="25.5" x14ac:dyDescent="0.2">
      <c r="A49" s="66" t="s">
        <v>328</v>
      </c>
      <c r="B49" s="70">
        <v>2</v>
      </c>
    </row>
    <row r="50" spans="1:2" ht="25.5" x14ac:dyDescent="0.2">
      <c r="A50" s="66" t="s">
        <v>1229</v>
      </c>
      <c r="B50" s="70">
        <v>3</v>
      </c>
    </row>
    <row r="51" spans="1:2" x14ac:dyDescent="0.2">
      <c r="A51" s="66" t="s">
        <v>1247</v>
      </c>
      <c r="B51" s="70">
        <v>4</v>
      </c>
    </row>
    <row r="52" spans="1:2" ht="25.5" x14ac:dyDescent="0.2">
      <c r="A52" s="66" t="s">
        <v>1273</v>
      </c>
      <c r="B52" s="70">
        <v>3</v>
      </c>
    </row>
    <row r="53" spans="1:2" x14ac:dyDescent="0.2">
      <c r="A53" s="66" t="s">
        <v>1274</v>
      </c>
      <c r="B53" s="70">
        <v>2</v>
      </c>
    </row>
    <row r="54" spans="1:2" ht="25.5" x14ac:dyDescent="0.2">
      <c r="A54" s="66" t="s">
        <v>1276</v>
      </c>
      <c r="B54" s="70">
        <v>5</v>
      </c>
    </row>
    <row r="55" spans="1:2" x14ac:dyDescent="0.2">
      <c r="A55" s="66" t="s">
        <v>1222</v>
      </c>
      <c r="B55" s="70">
        <v>11</v>
      </c>
    </row>
    <row r="56" spans="1:2" ht="25.5" x14ac:dyDescent="0.2">
      <c r="A56" s="66" t="s">
        <v>1230</v>
      </c>
      <c r="B56" s="70">
        <v>10</v>
      </c>
    </row>
    <row r="57" spans="1:2" ht="25.5" x14ac:dyDescent="0.2">
      <c r="A57" s="66" t="s">
        <v>1248</v>
      </c>
      <c r="B57" s="70">
        <v>4</v>
      </c>
    </row>
    <row r="58" spans="1:2" ht="25.5" x14ac:dyDescent="0.2">
      <c r="A58" s="66" t="s">
        <v>1279</v>
      </c>
      <c r="B58" s="70">
        <v>5</v>
      </c>
    </row>
    <row r="59" spans="1:2" x14ac:dyDescent="0.2">
      <c r="A59" s="66" t="s">
        <v>1277</v>
      </c>
      <c r="B59" s="70">
        <v>6</v>
      </c>
    </row>
    <row r="60" spans="1:2" x14ac:dyDescent="0.2">
      <c r="A60" s="66" t="s">
        <v>1278</v>
      </c>
      <c r="B60" s="70">
        <v>3</v>
      </c>
    </row>
    <row r="61" spans="1:2" x14ac:dyDescent="0.2">
      <c r="A61" s="66" t="s">
        <v>1249</v>
      </c>
      <c r="B61" s="70">
        <v>11</v>
      </c>
    </row>
    <row r="62" spans="1:2" ht="38.25" x14ac:dyDescent="0.2">
      <c r="A62" s="66" t="s">
        <v>1231</v>
      </c>
      <c r="B62" s="70">
        <v>12</v>
      </c>
    </row>
    <row r="63" spans="1:2" ht="25.5" x14ac:dyDescent="0.2">
      <c r="A63" s="66" t="s">
        <v>1250</v>
      </c>
      <c r="B63" s="70">
        <v>4</v>
      </c>
    </row>
    <row r="64" spans="1:2" ht="38.25" x14ac:dyDescent="0.2">
      <c r="A64" s="66" t="s">
        <v>1232</v>
      </c>
      <c r="B64" s="70">
        <v>12</v>
      </c>
    </row>
    <row r="65" spans="1:2" ht="25.5" x14ac:dyDescent="0.2">
      <c r="A65" s="66" t="s">
        <v>1251</v>
      </c>
      <c r="B65" s="70">
        <v>12</v>
      </c>
    </row>
    <row r="66" spans="1:2" x14ac:dyDescent="0.2">
      <c r="A66" s="66" t="s">
        <v>1252</v>
      </c>
      <c r="B66" s="70">
        <v>12</v>
      </c>
    </row>
    <row r="67" spans="1:2" ht="25.5" x14ac:dyDescent="0.2">
      <c r="A67" s="66" t="s">
        <v>1233</v>
      </c>
      <c r="B67" s="70">
        <v>12</v>
      </c>
    </row>
    <row r="68" spans="1:2" x14ac:dyDescent="0.2">
      <c r="A68" s="66" t="s">
        <v>1253</v>
      </c>
      <c r="B68" s="70">
        <v>12</v>
      </c>
    </row>
    <row r="69" spans="1:2" ht="25.5" x14ac:dyDescent="0.2">
      <c r="A69" s="66" t="s">
        <v>1234</v>
      </c>
      <c r="B69" s="70">
        <v>5</v>
      </c>
    </row>
    <row r="70" spans="1:2" ht="25.5" x14ac:dyDescent="0.2">
      <c r="A70" s="66" t="s">
        <v>1235</v>
      </c>
      <c r="B70" s="70">
        <v>3</v>
      </c>
    </row>
    <row r="71" spans="1:2" x14ac:dyDescent="0.2">
      <c r="A71" s="68" t="s">
        <v>1254</v>
      </c>
      <c r="B71" s="70">
        <v>5</v>
      </c>
    </row>
    <row r="72" spans="1:2" x14ac:dyDescent="0.2">
      <c r="A72" s="70" t="s">
        <v>1255</v>
      </c>
      <c r="B72" s="70">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D15" sqref="D1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1295</v>
      </c>
      <c r="C2" s="41" t="s">
        <v>1280</v>
      </c>
      <c r="D2" s="41" t="s">
        <v>1296</v>
      </c>
      <c r="E2" s="41" t="s">
        <v>1297</v>
      </c>
      <c r="F2" s="41" t="s">
        <v>1298</v>
      </c>
      <c r="G2" s="41" t="s">
        <v>1282</v>
      </c>
      <c r="H2" s="41" t="s">
        <v>1299</v>
      </c>
      <c r="I2" s="41" t="s">
        <v>1300</v>
      </c>
      <c r="J2" s="41" t="s">
        <v>1301</v>
      </c>
      <c r="K2" s="41" t="s">
        <v>1302</v>
      </c>
      <c r="L2" s="41" t="s">
        <v>1303</v>
      </c>
      <c r="M2" s="41" t="s">
        <v>1304</v>
      </c>
      <c r="N2" s="41" t="s">
        <v>1305</v>
      </c>
      <c r="O2" s="41" t="s">
        <v>1306</v>
      </c>
      <c r="P2" s="41" t="s">
        <v>1307</v>
      </c>
      <c r="Q2" s="41" t="s">
        <v>1308</v>
      </c>
      <c r="R2" s="3" t="s">
        <v>116</v>
      </c>
    </row>
    <row r="3" spans="1:18" x14ac:dyDescent="0.25">
      <c r="A3" s="6" t="str">
        <f>Ueberblick[[#This Row],[Kürzel]]</f>
        <v>Ape12</v>
      </c>
      <c r="B3" s="8">
        <v>1</v>
      </c>
      <c r="C3" s="8">
        <v>1</v>
      </c>
      <c r="D3" s="8"/>
      <c r="E3" s="8"/>
      <c r="F3" s="8"/>
      <c r="G3" s="8"/>
      <c r="H3" s="8"/>
      <c r="I3" s="8"/>
      <c r="J3" s="8"/>
      <c r="K3" s="8"/>
      <c r="L3" s="8"/>
      <c r="M3" s="8"/>
      <c r="N3" s="8"/>
      <c r="O3" s="8"/>
      <c r="P3" s="8"/>
      <c r="Q3" s="8"/>
      <c r="R3" s="8" t="s">
        <v>190</v>
      </c>
    </row>
    <row r="4" spans="1:18" ht="25.5" x14ac:dyDescent="0.25">
      <c r="A4" s="6" t="str">
        <f>Ueberblick[[#This Row],[Kürzel]]</f>
        <v>Ary17</v>
      </c>
      <c r="B4" s="8"/>
      <c r="C4" s="8"/>
      <c r="D4" s="8">
        <v>1</v>
      </c>
      <c r="E4" s="8">
        <v>1</v>
      </c>
      <c r="F4" s="8">
        <v>1</v>
      </c>
      <c r="G4" s="8">
        <v>1</v>
      </c>
      <c r="H4" s="8"/>
      <c r="I4" s="8"/>
      <c r="J4" s="8"/>
      <c r="K4" s="8"/>
      <c r="L4" s="8"/>
      <c r="M4" s="8"/>
      <c r="N4" s="8"/>
      <c r="O4" s="8"/>
      <c r="P4" s="8"/>
      <c r="Q4" s="8"/>
      <c r="R4" s="8" t="s">
        <v>814</v>
      </c>
    </row>
    <row r="5" spans="1:18" s="11" customFormat="1" ht="25.5" x14ac:dyDescent="0.25">
      <c r="A5" s="6" t="str">
        <f>Ueberblick[[#This Row],[Kürzel]]</f>
        <v>Aus18</v>
      </c>
      <c r="B5" s="8"/>
      <c r="C5" s="8"/>
      <c r="D5" s="8"/>
      <c r="E5" s="8"/>
      <c r="F5" s="8"/>
      <c r="G5" s="8"/>
      <c r="H5" s="8"/>
      <c r="I5" s="8"/>
      <c r="J5" s="8"/>
      <c r="K5" s="8"/>
      <c r="L5" s="8">
        <v>1</v>
      </c>
      <c r="M5" s="8">
        <v>1</v>
      </c>
      <c r="N5" s="8"/>
      <c r="O5" s="8"/>
      <c r="P5" s="8"/>
      <c r="Q5" s="8"/>
      <c r="R5" s="8" t="s">
        <v>1714</v>
      </c>
    </row>
    <row r="6" spans="1:18" s="11" customFormat="1" x14ac:dyDescent="0.25">
      <c r="A6" s="6" t="str">
        <f>Ueberblick[[#This Row],[Kürzel]]</f>
        <v>Blu13</v>
      </c>
      <c r="B6" s="8"/>
      <c r="C6" s="8"/>
      <c r="D6" s="8">
        <v>1</v>
      </c>
      <c r="E6" s="8">
        <v>1</v>
      </c>
      <c r="F6" s="8"/>
      <c r="G6" s="8"/>
      <c r="H6" s="8"/>
      <c r="I6" s="8"/>
      <c r="J6" s="8"/>
      <c r="K6" s="8"/>
      <c r="L6" s="8"/>
      <c r="M6" s="8"/>
      <c r="N6" s="8"/>
      <c r="O6" s="8"/>
      <c r="P6" s="8"/>
      <c r="Q6" s="8"/>
      <c r="R6" s="8" t="s">
        <v>374</v>
      </c>
    </row>
    <row r="7" spans="1:18" s="11" customFormat="1" x14ac:dyDescent="0.25">
      <c r="A7" s="6" t="str">
        <f>Ueberblick[[#This Row],[Kürzel]]</f>
        <v>Foc11</v>
      </c>
      <c r="B7" s="8"/>
      <c r="C7" s="8"/>
      <c r="D7" s="8">
        <v>1</v>
      </c>
      <c r="E7" s="8">
        <v>1</v>
      </c>
      <c r="F7" s="8">
        <v>1</v>
      </c>
      <c r="G7" s="8"/>
      <c r="H7" s="8">
        <v>1</v>
      </c>
      <c r="I7" s="8"/>
      <c r="J7" s="8"/>
      <c r="K7" s="8"/>
      <c r="L7" s="8"/>
      <c r="M7" s="8"/>
      <c r="N7" s="8"/>
      <c r="O7" s="8"/>
      <c r="P7" s="8"/>
      <c r="Q7" s="8"/>
      <c r="R7" s="8" t="s">
        <v>305</v>
      </c>
    </row>
    <row r="8" spans="1:18" s="11" customFormat="1" x14ac:dyDescent="0.25">
      <c r="A8" s="6" t="str">
        <f>Ueberblick[[#This Row],[Kürzel]]</f>
        <v>Gil15</v>
      </c>
      <c r="B8" s="8"/>
      <c r="C8" s="8">
        <v>1</v>
      </c>
      <c r="D8" s="8">
        <v>1</v>
      </c>
      <c r="E8" s="8"/>
      <c r="F8" s="8">
        <v>1</v>
      </c>
      <c r="G8" s="8">
        <v>1</v>
      </c>
      <c r="H8" s="8"/>
      <c r="I8" s="8">
        <v>1</v>
      </c>
      <c r="J8" s="8"/>
      <c r="K8" s="8">
        <v>1</v>
      </c>
      <c r="L8" s="8"/>
      <c r="M8" s="8"/>
      <c r="N8" s="8"/>
      <c r="O8" s="8"/>
      <c r="P8" s="8"/>
      <c r="Q8" s="8"/>
      <c r="R8" s="8" t="s">
        <v>262</v>
      </c>
    </row>
    <row r="9" spans="1:18" x14ac:dyDescent="0.25">
      <c r="A9" s="6" t="str">
        <f>Ueberblick[[#This Row],[Kürzel]]</f>
        <v>Gob12</v>
      </c>
      <c r="B9" s="71"/>
      <c r="C9" s="71">
        <v>1</v>
      </c>
      <c r="D9" s="71"/>
      <c r="E9" s="71"/>
      <c r="F9" s="71">
        <v>1</v>
      </c>
      <c r="G9" s="71"/>
      <c r="H9" s="71"/>
      <c r="I9" s="71"/>
      <c r="J9" s="71"/>
      <c r="K9" s="71"/>
      <c r="L9" s="71"/>
      <c r="M9" s="71"/>
      <c r="N9" s="71"/>
      <c r="O9" s="71"/>
      <c r="P9" s="71"/>
      <c r="Q9" s="71"/>
      <c r="R9" s="16" t="s">
        <v>360</v>
      </c>
    </row>
    <row r="10" spans="1:18" x14ac:dyDescent="0.25">
      <c r="A10" s="6" t="str">
        <f>Ueberblick[[#This Row],[Kürzel]]</f>
        <v>Gro13</v>
      </c>
      <c r="B10" s="71"/>
      <c r="C10" s="71"/>
      <c r="D10" s="71"/>
      <c r="E10" s="71"/>
      <c r="F10" s="71"/>
      <c r="G10" s="71"/>
      <c r="H10" s="71"/>
      <c r="I10" s="71"/>
      <c r="J10" s="71">
        <v>1</v>
      </c>
      <c r="K10" s="71"/>
      <c r="L10" s="71"/>
      <c r="M10" s="71"/>
      <c r="N10" s="71"/>
      <c r="O10" s="71"/>
      <c r="P10" s="71"/>
      <c r="Q10" s="71"/>
      <c r="R10" s="16" t="s">
        <v>418</v>
      </c>
    </row>
    <row r="11" spans="1:18" s="11" customFormat="1" x14ac:dyDescent="0.25">
      <c r="A11" s="6" t="str">
        <f>Ueberblick[[#This Row],[Kürzel]]</f>
        <v>Gru17</v>
      </c>
      <c r="B11" s="8"/>
      <c r="C11" s="8"/>
      <c r="D11" s="8">
        <v>1</v>
      </c>
      <c r="E11" s="8"/>
      <c r="F11" s="8">
        <v>1</v>
      </c>
      <c r="G11" s="8"/>
      <c r="H11" s="8"/>
      <c r="I11" s="8"/>
      <c r="J11" s="8"/>
      <c r="K11" s="8">
        <v>1</v>
      </c>
      <c r="L11" s="8">
        <v>1</v>
      </c>
      <c r="M11" s="8"/>
      <c r="N11" s="8"/>
      <c r="O11" s="8"/>
      <c r="P11" s="8"/>
      <c r="Q11" s="8"/>
      <c r="R11" s="8" t="s">
        <v>283</v>
      </c>
    </row>
    <row r="12" spans="1:18" s="11" customFormat="1" x14ac:dyDescent="0.25">
      <c r="A12" s="6" t="str">
        <f>Ueberblick[[#This Row],[Kürzel]]</f>
        <v>Haa17</v>
      </c>
      <c r="B12" s="8"/>
      <c r="C12" s="8">
        <v>1</v>
      </c>
      <c r="D12" s="8"/>
      <c r="E12" s="8"/>
      <c r="F12" s="8"/>
      <c r="G12" s="8"/>
      <c r="H12" s="8"/>
      <c r="I12" s="8">
        <v>1</v>
      </c>
      <c r="J12" s="8"/>
      <c r="K12" s="8"/>
      <c r="L12" s="8"/>
      <c r="M12" s="8">
        <v>1</v>
      </c>
      <c r="N12" s="8"/>
      <c r="O12" s="8"/>
      <c r="P12" s="8"/>
      <c r="Q12" s="8"/>
      <c r="R12" s="8" t="s">
        <v>395</v>
      </c>
    </row>
    <row r="13" spans="1:18" x14ac:dyDescent="0.25">
      <c r="A13" s="6" t="str">
        <f>Ueberblick[[#This Row],[Kürzel]]</f>
        <v>Hei21</v>
      </c>
      <c r="B13" s="8"/>
      <c r="C13" s="8"/>
      <c r="D13" s="8">
        <v>1</v>
      </c>
      <c r="E13" s="8"/>
      <c r="F13" s="8">
        <v>1</v>
      </c>
      <c r="G13" s="8"/>
      <c r="H13" s="8"/>
      <c r="I13" s="8"/>
      <c r="J13" s="8"/>
      <c r="K13" s="8">
        <v>1</v>
      </c>
      <c r="L13" s="8">
        <v>1</v>
      </c>
      <c r="M13" s="8"/>
      <c r="N13" s="8"/>
      <c r="O13" s="8"/>
      <c r="P13" s="8"/>
      <c r="Q13" s="8"/>
      <c r="R13" s="8" t="s">
        <v>1729</v>
      </c>
    </row>
    <row r="14" spans="1:18" s="11" customFormat="1" x14ac:dyDescent="0.25">
      <c r="A14" s="6" t="str">
        <f>Ueberblick[[#This Row],[Kürzel]]</f>
        <v>Hen15</v>
      </c>
      <c r="B14" s="8">
        <v>1</v>
      </c>
      <c r="C14" s="8"/>
      <c r="D14" s="8"/>
      <c r="E14" s="8"/>
      <c r="F14" s="8"/>
      <c r="G14" s="8"/>
      <c r="H14" s="8"/>
      <c r="I14" s="8"/>
      <c r="J14" s="8"/>
      <c r="K14" s="8"/>
      <c r="L14" s="8"/>
      <c r="M14" s="8"/>
      <c r="N14" s="8"/>
      <c r="O14" s="8"/>
      <c r="P14" s="8"/>
      <c r="Q14" s="8"/>
      <c r="R14" s="8" t="s">
        <v>384</v>
      </c>
    </row>
    <row r="15" spans="1:18" x14ac:dyDescent="0.25">
      <c r="A15" s="6" t="str">
        <f>Ueberblick[[#This Row],[Kürzel]]</f>
        <v>Jet21</v>
      </c>
      <c r="B15" s="8"/>
      <c r="C15" s="8"/>
      <c r="D15" s="8"/>
      <c r="E15" s="8"/>
      <c r="F15" s="8"/>
      <c r="G15" s="8"/>
      <c r="H15" s="8"/>
      <c r="I15" s="8"/>
      <c r="J15" s="8"/>
      <c r="K15" s="8"/>
      <c r="L15" s="8">
        <v>1</v>
      </c>
      <c r="M15" s="8"/>
      <c r="N15" s="8"/>
      <c r="O15" s="8"/>
      <c r="P15" s="8"/>
      <c r="Q15" s="8"/>
      <c r="R15" s="8" t="s">
        <v>1741</v>
      </c>
    </row>
    <row r="16" spans="1:18" s="11" customFormat="1" x14ac:dyDescent="0.25">
      <c r="A16" s="6" t="str">
        <f>Ueberblick[[#This Row],[Kürzel]]</f>
        <v>Klo09</v>
      </c>
      <c r="B16" s="8"/>
      <c r="C16" s="8"/>
      <c r="D16" s="8">
        <v>1</v>
      </c>
      <c r="E16" s="8">
        <v>1</v>
      </c>
      <c r="F16" s="8"/>
      <c r="G16" s="8"/>
      <c r="H16" s="8"/>
      <c r="I16" s="8"/>
      <c r="J16" s="8"/>
      <c r="K16" s="8"/>
      <c r="L16" s="8">
        <v>1</v>
      </c>
      <c r="M16" s="8"/>
      <c r="N16" s="8"/>
      <c r="O16" s="8"/>
      <c r="P16" s="8"/>
      <c r="Q16" s="8"/>
      <c r="R16" s="8" t="s">
        <v>117</v>
      </c>
    </row>
    <row r="17" spans="1:18" x14ac:dyDescent="0.25">
      <c r="A17" s="6" t="str">
        <f>Ueberblick[[#This Row],[Kürzel]]</f>
        <v>Klo13</v>
      </c>
      <c r="B17" s="8"/>
      <c r="C17" s="8"/>
      <c r="D17" s="8">
        <v>1</v>
      </c>
      <c r="E17" s="8"/>
      <c r="F17" s="8"/>
      <c r="G17" s="8"/>
      <c r="H17" s="8"/>
      <c r="I17" s="8"/>
      <c r="J17" s="8"/>
      <c r="K17" s="8">
        <v>1</v>
      </c>
      <c r="L17" s="8"/>
      <c r="M17" s="8"/>
      <c r="N17" s="8">
        <v>1</v>
      </c>
      <c r="O17" s="8"/>
      <c r="P17" s="8"/>
      <c r="Q17" s="8"/>
      <c r="R17" s="8" t="s">
        <v>211</v>
      </c>
    </row>
    <row r="18" spans="1:18" s="11" customFormat="1" x14ac:dyDescent="0.25">
      <c r="A18" s="6" t="str">
        <f>Ueberblick[[#This Row],[Kürzel]]</f>
        <v>Krz13</v>
      </c>
      <c r="B18" s="8"/>
      <c r="C18" s="8"/>
      <c r="D18" s="8"/>
      <c r="E18" s="8"/>
      <c r="F18" s="8"/>
      <c r="G18" s="8"/>
      <c r="H18" s="8"/>
      <c r="I18" s="8">
        <v>1</v>
      </c>
      <c r="J18" s="8"/>
      <c r="K18" s="8"/>
      <c r="L18" s="8"/>
      <c r="M18" s="8"/>
      <c r="N18" s="8"/>
      <c r="O18" s="8"/>
      <c r="P18" s="8"/>
      <c r="Q18" s="8"/>
      <c r="R18" s="8">
        <v>32</v>
      </c>
    </row>
    <row r="19" spans="1:18" ht="25.5" x14ac:dyDescent="0.25">
      <c r="A19" s="6" t="str">
        <f>Ueberblick[[#This Row],[Kürzel]]</f>
        <v>Lad18</v>
      </c>
      <c r="B19" s="8">
        <v>1</v>
      </c>
      <c r="C19" s="8">
        <v>1</v>
      </c>
      <c r="D19" s="8">
        <v>1</v>
      </c>
      <c r="E19" s="8"/>
      <c r="F19" s="8">
        <v>1</v>
      </c>
      <c r="G19" s="8">
        <v>1</v>
      </c>
      <c r="H19" s="8">
        <v>1</v>
      </c>
      <c r="I19" s="8"/>
      <c r="J19" s="8"/>
      <c r="K19" s="8">
        <v>1</v>
      </c>
      <c r="L19" s="8">
        <v>1</v>
      </c>
      <c r="M19" s="8"/>
      <c r="N19" s="8"/>
      <c r="O19" s="8">
        <v>1</v>
      </c>
      <c r="P19" s="8">
        <v>1</v>
      </c>
      <c r="Q19" s="8">
        <v>1</v>
      </c>
      <c r="R19" s="8" t="s">
        <v>794</v>
      </c>
    </row>
    <row r="20" spans="1:18" s="11" customFormat="1" ht="25.5" x14ac:dyDescent="0.25">
      <c r="A20" s="6" t="str">
        <f>Ueberblick[[#This Row],[Kürzel]]</f>
        <v>Lan15</v>
      </c>
      <c r="B20" s="8"/>
      <c r="C20" s="8"/>
      <c r="D20" s="8"/>
      <c r="E20" s="8"/>
      <c r="F20" s="8"/>
      <c r="G20" s="8"/>
      <c r="H20" s="8"/>
      <c r="I20" s="8">
        <v>1</v>
      </c>
      <c r="J20" s="8"/>
      <c r="K20" s="8">
        <v>1</v>
      </c>
      <c r="L20" s="8"/>
      <c r="M20" s="8"/>
      <c r="N20" s="8"/>
      <c r="O20" s="8"/>
      <c r="P20" s="8"/>
      <c r="Q20" s="8"/>
      <c r="R20" s="8" t="s">
        <v>241</v>
      </c>
    </row>
    <row r="21" spans="1:18" x14ac:dyDescent="0.25">
      <c r="A21" s="6" t="str">
        <f>Ueberblick[[#This Row],[Kürzel]]</f>
        <v>Lie15</v>
      </c>
      <c r="B21" s="8"/>
      <c r="C21" s="8">
        <v>1</v>
      </c>
      <c r="D21" s="8"/>
      <c r="E21" s="8"/>
      <c r="F21" s="8"/>
      <c r="G21" s="8"/>
      <c r="H21" s="8"/>
      <c r="I21" s="8"/>
      <c r="J21" s="8"/>
      <c r="K21" s="8"/>
      <c r="L21" s="8"/>
      <c r="M21" s="8"/>
      <c r="N21" s="8"/>
      <c r="O21" s="8">
        <v>1</v>
      </c>
      <c r="P21" s="8"/>
      <c r="Q21" s="8"/>
      <c r="R21" s="8" t="s">
        <v>332</v>
      </c>
    </row>
    <row r="22" spans="1:18" s="11" customFormat="1" x14ac:dyDescent="0.25">
      <c r="A22" s="6" t="str">
        <f>Ueberblick[[#This Row],[Kürzel]]</f>
        <v>Mae18</v>
      </c>
      <c r="B22" s="8"/>
      <c r="C22" s="8"/>
      <c r="D22" s="8"/>
      <c r="E22" s="8">
        <v>1</v>
      </c>
      <c r="F22" s="8"/>
      <c r="G22" s="8"/>
      <c r="H22" s="8"/>
      <c r="I22" s="8"/>
      <c r="J22" s="8"/>
      <c r="K22" s="8"/>
      <c r="L22" s="8"/>
      <c r="M22" s="8"/>
      <c r="N22" s="8"/>
      <c r="O22" s="8"/>
      <c r="P22" s="8"/>
      <c r="Q22" s="8"/>
      <c r="R22" s="8">
        <v>1292</v>
      </c>
    </row>
    <row r="23" spans="1:18" x14ac:dyDescent="0.25">
      <c r="A23" s="6" t="str">
        <f>Ueberblick[[#This Row],[Kürzel]]</f>
        <v>Mol10</v>
      </c>
      <c r="B23" s="8"/>
      <c r="C23" s="8"/>
      <c r="D23" s="8">
        <v>1</v>
      </c>
      <c r="E23" s="8">
        <v>1</v>
      </c>
      <c r="F23" s="8"/>
      <c r="G23" s="8"/>
      <c r="H23" s="8"/>
      <c r="I23" s="8"/>
      <c r="J23" s="8"/>
      <c r="K23" s="8"/>
      <c r="L23" s="8"/>
      <c r="M23" s="8"/>
      <c r="N23" s="8"/>
      <c r="O23" s="8"/>
      <c r="P23" s="8"/>
      <c r="Q23" s="8"/>
      <c r="R23" s="8" t="s">
        <v>146</v>
      </c>
    </row>
    <row r="24" spans="1:18" s="11" customFormat="1" x14ac:dyDescent="0.25">
      <c r="A24" s="6" t="str">
        <f>Ueberblick[[#This Row],[Kürzel]]</f>
        <v>Mue19</v>
      </c>
      <c r="B24" s="8"/>
      <c r="C24" s="8"/>
      <c r="D24" s="8">
        <v>1</v>
      </c>
      <c r="E24" s="8"/>
      <c r="F24" s="8"/>
      <c r="G24" s="8"/>
      <c r="H24" s="8"/>
      <c r="I24" s="8"/>
      <c r="J24" s="8"/>
      <c r="K24" s="8"/>
      <c r="L24" s="8"/>
      <c r="M24" s="8"/>
      <c r="N24" s="8"/>
      <c r="O24" s="8"/>
      <c r="P24" s="8">
        <v>1</v>
      </c>
      <c r="Q24" s="8"/>
      <c r="R24" s="115" t="s">
        <v>1758</v>
      </c>
    </row>
    <row r="25" spans="1:18" x14ac:dyDescent="0.25">
      <c r="A25" s="6" t="str">
        <f>Ueberblick[[#This Row],[Kürzel]]</f>
        <v>Pau11</v>
      </c>
      <c r="B25" s="8"/>
      <c r="C25" s="8"/>
      <c r="D25" s="8">
        <v>1</v>
      </c>
      <c r="E25" s="8">
        <v>1</v>
      </c>
      <c r="F25" s="8"/>
      <c r="G25" s="8"/>
      <c r="H25" s="8"/>
      <c r="I25" s="8"/>
      <c r="J25" s="8"/>
      <c r="K25" s="8"/>
      <c r="L25" s="8"/>
      <c r="M25" s="8"/>
      <c r="N25" s="8"/>
      <c r="O25" s="8"/>
      <c r="P25" s="8"/>
      <c r="Q25" s="8"/>
      <c r="R25" s="8" t="s">
        <v>171</v>
      </c>
    </row>
    <row r="26" spans="1:18" s="11" customFormat="1" ht="38.25" x14ac:dyDescent="0.25">
      <c r="A26" s="6" t="str">
        <f>Ueberblick[[#This Row],[Kürzel]]</f>
        <v>Pel16</v>
      </c>
      <c r="B26" s="8"/>
      <c r="C26" s="8">
        <v>1</v>
      </c>
      <c r="D26" s="8">
        <v>1</v>
      </c>
      <c r="E26" s="8"/>
      <c r="F26" s="8">
        <v>1</v>
      </c>
      <c r="G26" s="8"/>
      <c r="H26" s="8"/>
      <c r="I26" s="8"/>
      <c r="J26" s="8"/>
      <c r="K26" s="8">
        <v>1</v>
      </c>
      <c r="L26" s="8">
        <v>1</v>
      </c>
      <c r="M26" s="8"/>
      <c r="N26" s="8"/>
      <c r="O26" s="8"/>
      <c r="P26" s="8"/>
      <c r="Q26" s="8"/>
      <c r="R26" s="8" t="s">
        <v>278</v>
      </c>
    </row>
    <row r="27" spans="1:18" s="11" customFormat="1" x14ac:dyDescent="0.25">
      <c r="A27" s="6" t="str">
        <f>Ueberblick[[#This Row],[Kürzel]]</f>
        <v>r2b14</v>
      </c>
      <c r="B27" s="8"/>
      <c r="C27" s="8"/>
      <c r="D27" s="8"/>
      <c r="E27" s="8">
        <v>1</v>
      </c>
      <c r="F27" s="8"/>
      <c r="G27" s="8"/>
      <c r="H27" s="8"/>
      <c r="I27" s="8"/>
      <c r="J27" s="8"/>
      <c r="K27" s="8">
        <v>1</v>
      </c>
      <c r="L27" s="8"/>
      <c r="M27" s="8"/>
      <c r="N27" s="8"/>
      <c r="O27" s="8"/>
      <c r="P27" s="8"/>
      <c r="Q27" s="8"/>
      <c r="R27" s="8" t="s">
        <v>206</v>
      </c>
    </row>
    <row r="28" spans="1:18" x14ac:dyDescent="0.25">
      <c r="A28" s="6" t="str">
        <f>Ueberblick[[#This Row],[Kürzel]]</f>
        <v>Roo10</v>
      </c>
      <c r="B28" s="8"/>
      <c r="C28" s="8"/>
      <c r="D28" s="8"/>
      <c r="E28" s="8"/>
      <c r="F28" s="8"/>
      <c r="G28" s="8"/>
      <c r="H28" s="8"/>
      <c r="I28" s="8"/>
      <c r="J28" s="8"/>
      <c r="K28" s="8"/>
      <c r="L28" s="8"/>
      <c r="M28" s="8"/>
      <c r="N28" s="8"/>
      <c r="O28" s="8"/>
      <c r="P28" s="8"/>
      <c r="Q28" s="8"/>
      <c r="R28" s="8" t="s">
        <v>130</v>
      </c>
    </row>
    <row r="29" spans="1:18" x14ac:dyDescent="0.25">
      <c r="A29" s="6" t="str">
        <f>Ueberblick[[#This Row],[Kürzel]]</f>
        <v>Sau19</v>
      </c>
      <c r="B29" s="8"/>
      <c r="C29" s="8"/>
      <c r="D29" s="8"/>
      <c r="E29" s="8"/>
      <c r="F29" s="8"/>
      <c r="G29" s="8"/>
      <c r="H29" s="8"/>
      <c r="I29" s="8"/>
      <c r="J29" s="8"/>
      <c r="K29" s="8"/>
      <c r="L29" s="8"/>
      <c r="M29" s="8"/>
      <c r="N29" s="8"/>
      <c r="O29" s="8"/>
      <c r="P29" s="8"/>
      <c r="Q29" s="8"/>
      <c r="R29" s="8" t="s">
        <v>130</v>
      </c>
    </row>
    <row r="30" spans="1:18" x14ac:dyDescent="0.25">
      <c r="A30" s="6" t="str">
        <f>Ueberblick[[#This Row],[Kürzel]]</f>
        <v>Sch14</v>
      </c>
      <c r="B30" s="8"/>
      <c r="C30" s="8"/>
      <c r="D30" s="8"/>
      <c r="E30" s="8"/>
      <c r="F30" s="8">
        <v>1</v>
      </c>
      <c r="G30" s="8">
        <v>1</v>
      </c>
      <c r="H30" s="8"/>
      <c r="I30" s="8"/>
      <c r="J30" s="8"/>
      <c r="K30" s="8"/>
      <c r="L30" s="8">
        <v>1</v>
      </c>
      <c r="M30" s="8"/>
      <c r="N30" s="8"/>
      <c r="O30" s="8"/>
      <c r="P30" s="8"/>
      <c r="Q30" s="8"/>
      <c r="R30" s="8" t="s">
        <v>224</v>
      </c>
    </row>
    <row r="31" spans="1:18" ht="38.25" x14ac:dyDescent="0.25">
      <c r="A31" s="6" t="str">
        <f>Ueberblick[[#This Row],[Kürzel]]</f>
        <v>Sta06</v>
      </c>
      <c r="B31" s="8"/>
      <c r="C31" s="8"/>
      <c r="D31" s="8"/>
      <c r="E31" s="8">
        <v>1</v>
      </c>
      <c r="F31" s="8"/>
      <c r="G31" s="8"/>
      <c r="H31" s="8"/>
      <c r="I31" s="8"/>
      <c r="J31" s="8"/>
      <c r="K31" s="8"/>
      <c r="L31" s="8"/>
      <c r="M31" s="8">
        <v>1</v>
      </c>
      <c r="N31" s="8"/>
      <c r="O31" s="8"/>
      <c r="P31" s="8"/>
      <c r="Q31" s="8"/>
      <c r="R31" s="8" t="s">
        <v>805</v>
      </c>
    </row>
    <row r="32" spans="1:18" x14ac:dyDescent="0.25">
      <c r="A32" s="6" t="str">
        <f>Ueberblick[[#This Row],[Kürzel]]</f>
        <v>Ste17</v>
      </c>
      <c r="B32" s="8"/>
      <c r="C32" s="8"/>
      <c r="D32" s="8">
        <v>1</v>
      </c>
      <c r="E32" s="8"/>
      <c r="F32" s="8">
        <v>1</v>
      </c>
      <c r="G32" s="8"/>
      <c r="H32" s="8"/>
      <c r="I32" s="8"/>
      <c r="J32" s="8"/>
      <c r="K32" s="8"/>
      <c r="L32" s="8"/>
      <c r="M32" s="8"/>
      <c r="N32" s="8"/>
      <c r="O32" s="8"/>
      <c r="P32" s="8"/>
      <c r="Q32" s="8"/>
      <c r="R32" s="8">
        <v>55</v>
      </c>
    </row>
    <row r="33" spans="1:18" x14ac:dyDescent="0.25">
      <c r="A33" s="6" t="str">
        <f>Ueberblick[[#This Row],[Kürzel]]</f>
        <v>Sty15</v>
      </c>
      <c r="B33" s="8"/>
      <c r="C33" s="8">
        <v>1</v>
      </c>
      <c r="D33" s="8">
        <v>1</v>
      </c>
      <c r="E33" s="8"/>
      <c r="F33" s="8">
        <v>1</v>
      </c>
      <c r="G33" s="8">
        <v>1</v>
      </c>
      <c r="H33" s="8"/>
      <c r="I33" s="8"/>
      <c r="J33" s="8"/>
      <c r="K33" s="8"/>
      <c r="L33" s="8"/>
      <c r="M33" s="8"/>
      <c r="N33" s="8"/>
      <c r="O33" s="8"/>
      <c r="P33" s="8"/>
      <c r="Q33" s="8"/>
      <c r="R33" s="8" t="s">
        <v>249</v>
      </c>
    </row>
    <row r="34" spans="1:18" x14ac:dyDescent="0.25">
      <c r="A34" s="6" t="str">
        <f>Ueberblick[[#This Row],[Kürzel]]</f>
        <v>Woh20</v>
      </c>
      <c r="B34" s="8"/>
      <c r="C34" s="8"/>
      <c r="D34" s="8"/>
      <c r="E34" s="8"/>
      <c r="F34" s="8"/>
      <c r="G34" s="8"/>
      <c r="H34" s="8"/>
      <c r="I34" s="8"/>
      <c r="J34" s="8"/>
      <c r="K34" s="8"/>
      <c r="L34" s="8"/>
      <c r="M34" s="8"/>
      <c r="N34" s="8"/>
      <c r="O34" s="8"/>
      <c r="P34" s="8"/>
      <c r="Q34" s="8"/>
      <c r="R34" s="8" t="s">
        <v>130</v>
      </c>
    </row>
    <row r="35" spans="1:18" x14ac:dyDescent="0.25">
      <c r="A35" s="17" t="s">
        <v>853</v>
      </c>
      <c r="B35" s="17">
        <f>SUBTOTAL(109,Ueberblick428[StV / Leistungen])</f>
        <v>3</v>
      </c>
      <c r="C35" s="17">
        <f>SUBTOTAL(109,Ueberblick428[Durchdringungsraten])</f>
        <v>8</v>
      </c>
      <c r="D35" s="17">
        <f>SUBTOTAL(109,Ueberblick428[Profile / Zeitverfügbarkeit])</f>
        <v>15</v>
      </c>
      <c r="E35" s="17">
        <f>SUBTOTAL(109,Ueberblick428[flex. Leistung])</f>
        <v>9</v>
      </c>
      <c r="F35" s="17">
        <f>SUBTOTAL(109,Ueberblick428[Zeitdauern])</f>
        <v>11</v>
      </c>
      <c r="G35" s="17">
        <f>SUBTOTAL(109,Ueberblick428[Abrufhäufigkeit])</f>
        <v>5</v>
      </c>
      <c r="H35" s="17">
        <f>SUBTOTAL(109,Ueberblick428[spez. Leistung / Verbräuche])</f>
        <v>2</v>
      </c>
      <c r="I35" s="17">
        <f>SUBTOTAL(109,Ueberblick428[(soziale) Akzeptanz])</f>
        <v>4</v>
      </c>
      <c r="J35" s="17">
        <f>SUBTOTAL(109,Ueberblick428[Prozesseignung])</f>
        <v>1</v>
      </c>
      <c r="K35" s="17">
        <f>SUBTOTAL(109,Ueberblick428[Kosten(entwicklung)])</f>
        <v>8</v>
      </c>
      <c r="L35" s="17">
        <f>SUBTOTAL(109,Ueberblick428[Potenzialentwicklung])</f>
        <v>8</v>
      </c>
      <c r="M35" s="17">
        <f>SUBTOTAL(109,Ueberblick428[Simulationsdaten])</f>
        <v>3</v>
      </c>
      <c r="N35" s="17">
        <f>SUBTOTAL(109,Ueberblick428[Erheblichkeitsschwelle])</f>
        <v>1</v>
      </c>
      <c r="O35" s="17">
        <f>SUBTOTAL(109,Ueberblick428[Annahmen Elektormobilität])</f>
        <v>2</v>
      </c>
      <c r="P35" s="17">
        <f>SUBTOTAL(109,Ueberblick428[Symmetrieannahme])</f>
        <v>2</v>
      </c>
      <c r="Q35" s="17">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5" workbookViewId="0">
      <selection activeCell="R15" sqref="R15"/>
    </sheetView>
  </sheetViews>
  <sheetFormatPr baseColWidth="10" defaultColWidth="10.875" defaultRowHeight="15.75" x14ac:dyDescent="0.25"/>
  <cols>
    <col min="1" max="1" width="13.625" style="7" customWidth="1"/>
    <col min="2" max="17" width="6.375" style="7" customWidth="1"/>
    <col min="18" max="18" width="23.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1295</v>
      </c>
      <c r="C2" s="41" t="s">
        <v>1280</v>
      </c>
      <c r="D2" s="41" t="s">
        <v>1296</v>
      </c>
      <c r="E2" s="41" t="s">
        <v>1297</v>
      </c>
      <c r="F2" s="41" t="s">
        <v>1298</v>
      </c>
      <c r="G2" s="41" t="s">
        <v>1282</v>
      </c>
      <c r="H2" s="41" t="s">
        <v>1299</v>
      </c>
      <c r="I2" s="41" t="s">
        <v>1300</v>
      </c>
      <c r="J2" s="41" t="s">
        <v>1301</v>
      </c>
      <c r="K2" s="41" t="s">
        <v>1302</v>
      </c>
      <c r="L2" s="41" t="s">
        <v>1303</v>
      </c>
      <c r="M2" s="41" t="s">
        <v>1304</v>
      </c>
      <c r="N2" s="41" t="s">
        <v>1305</v>
      </c>
      <c r="O2" s="41" t="s">
        <v>1306</v>
      </c>
      <c r="P2" s="41" t="s">
        <v>1307</v>
      </c>
      <c r="Q2" s="41" t="s">
        <v>1308</v>
      </c>
      <c r="R2" s="3" t="s">
        <v>116</v>
      </c>
    </row>
    <row r="3" spans="1:18" x14ac:dyDescent="0.25">
      <c r="A3" s="6" t="str">
        <f>Ueberblick428[[#This Row],[Kurzbeleg]]</f>
        <v>Ape12</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Ary17</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Aus18</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Blu13</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Foc11</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Gil15</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Gob12</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Gro13</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Gru17</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Haa17</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Hei21</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Hen15</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Jet21</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Klo09</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Klo13</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Krz13</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Lad18</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Lan15</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Lie15</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Mae18</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Mol10</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Mue19</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Pau11</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ht="25.5" x14ac:dyDescent="0.25">
      <c r="A26" s="6" t="str">
        <f>Ueberblick428[[#This Row],[Kurzbeleg]]</f>
        <v>Pel16</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r2b14</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Roo10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Sau19</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Sch14</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ht="25.5" x14ac:dyDescent="0.25">
      <c r="A31" s="6" t="str">
        <f>Ueberblick428[[#This Row],[Kurzbeleg]]</f>
        <v>Sta06</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Ste17</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Sty15</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Woh20</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7">
        <f>Ueberblick428[[#Totals],[StV / Leistungen]]</f>
        <v>3</v>
      </c>
      <c r="C35" s="17">
        <f>Ueberblick428[[#Totals],[Durchdringungsraten]]</f>
        <v>8</v>
      </c>
      <c r="D35" s="17">
        <f>Ueberblick428[[#Totals],[Profile / Zeitverfügbarkeit]]</f>
        <v>15</v>
      </c>
      <c r="E35" s="17">
        <f>Ueberblick428[[#Totals],[flex. Leistung]]</f>
        <v>9</v>
      </c>
      <c r="F35" s="17">
        <f>Ueberblick428[[#Totals],[Zeitdauern]]</f>
        <v>11</v>
      </c>
      <c r="G35" s="17">
        <f>Ueberblick428[[#Totals],[Abrufhäufigkeit]]</f>
        <v>5</v>
      </c>
      <c r="H35" s="17">
        <f>Ueberblick428[[#Totals],[spez. Leistung / Verbräuche]]</f>
        <v>2</v>
      </c>
      <c r="I35" s="17">
        <f>Ueberblick428[[#Totals],[(soziale) Akzeptanz]]</f>
        <v>4</v>
      </c>
      <c r="J35" s="17">
        <f>Ueberblick428[[#Totals],[Prozesseignung]]</f>
        <v>1</v>
      </c>
      <c r="K35" s="17">
        <f>Ueberblick428[[#Totals],[Kosten(entwicklung)]]</f>
        <v>8</v>
      </c>
      <c r="L35" s="17">
        <f>Ueberblick428[[#Totals],[Potenzialentwicklung]]</f>
        <v>8</v>
      </c>
      <c r="M35" s="17">
        <f>Ueberblick428[[#Totals],[Simulationsdaten]]</f>
        <v>3</v>
      </c>
      <c r="N35" s="17">
        <f>Ueberblick428[[#Totals],[Erheblichkeitsschwelle]]</f>
        <v>1</v>
      </c>
      <c r="O35" s="17">
        <f>Ueberblick428[[#Totals],[Annahmen Elektormobilität]]</f>
        <v>2</v>
      </c>
      <c r="P35" s="17">
        <f>Ueberblick428[[#Totals],[Symmetrieannahme]]</f>
        <v>2</v>
      </c>
      <c r="Q35" s="17">
        <f>Ueberblick428[[#Totals],[Bereitstellungsalternative]]</f>
        <v>1</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69" t="s">
        <v>1315</v>
      </c>
      <c r="B1" s="69" t="s">
        <v>871</v>
      </c>
    </row>
    <row r="2" spans="1:2" x14ac:dyDescent="0.2">
      <c r="A2" s="8" t="s">
        <v>1360</v>
      </c>
      <c r="B2" s="72">
        <v>1</v>
      </c>
    </row>
    <row r="3" spans="1:2" x14ac:dyDescent="0.2">
      <c r="A3" s="8" t="s">
        <v>1362</v>
      </c>
      <c r="B3" s="72">
        <v>2</v>
      </c>
    </row>
    <row r="4" spans="1:2" x14ac:dyDescent="0.2">
      <c r="A4" s="9" t="s">
        <v>1352</v>
      </c>
      <c r="B4" s="72">
        <v>3</v>
      </c>
    </row>
    <row r="5" spans="1:2" x14ac:dyDescent="0.2">
      <c r="A5" s="9" t="s">
        <v>1353</v>
      </c>
      <c r="B5" s="72">
        <v>4</v>
      </c>
    </row>
    <row r="6" spans="1:2" x14ac:dyDescent="0.2">
      <c r="A6" s="9" t="s">
        <v>1382</v>
      </c>
      <c r="B6" s="72">
        <v>16</v>
      </c>
    </row>
    <row r="7" spans="1:2" x14ac:dyDescent="0.2">
      <c r="A7" s="9" t="s">
        <v>1354</v>
      </c>
      <c r="B7" s="72">
        <v>5</v>
      </c>
    </row>
    <row r="8" spans="1:2" x14ac:dyDescent="0.2">
      <c r="A8" s="9" t="s">
        <v>1355</v>
      </c>
      <c r="B8" s="72">
        <v>6</v>
      </c>
    </row>
    <row r="9" spans="1:2" x14ac:dyDescent="0.2">
      <c r="A9" s="9" t="s">
        <v>1356</v>
      </c>
      <c r="B9" s="72">
        <v>7</v>
      </c>
    </row>
    <row r="10" spans="1:2" x14ac:dyDescent="0.2">
      <c r="A10" s="9" t="s">
        <v>1357</v>
      </c>
      <c r="B10" s="72">
        <v>8</v>
      </c>
    </row>
    <row r="11" spans="1:2" x14ac:dyDescent="0.2">
      <c r="A11" s="9" t="s">
        <v>1309</v>
      </c>
      <c r="B11" s="72">
        <v>9</v>
      </c>
    </row>
    <row r="12" spans="1:2" x14ac:dyDescent="0.2">
      <c r="A12" s="9" t="s">
        <v>1336</v>
      </c>
      <c r="B12" s="72">
        <v>10</v>
      </c>
    </row>
    <row r="13" spans="1:2" x14ac:dyDescent="0.2">
      <c r="A13" s="9" t="s">
        <v>1358</v>
      </c>
      <c r="B13" s="72">
        <v>11</v>
      </c>
    </row>
    <row r="14" spans="1:2" x14ac:dyDescent="0.2">
      <c r="A14" s="18" t="s">
        <v>1369</v>
      </c>
      <c r="B14" s="72">
        <v>12</v>
      </c>
    </row>
    <row r="15" spans="1:2" x14ac:dyDescent="0.2">
      <c r="A15" s="18" t="s">
        <v>1359</v>
      </c>
      <c r="B15" s="72">
        <v>13</v>
      </c>
    </row>
    <row r="16" spans="1:2" ht="25.5" x14ac:dyDescent="0.2">
      <c r="A16" s="16" t="s">
        <v>1366</v>
      </c>
      <c r="B16" s="73">
        <v>14</v>
      </c>
    </row>
    <row r="17" spans="1:2" x14ac:dyDescent="0.2">
      <c r="A17" s="16" t="s">
        <v>1368</v>
      </c>
      <c r="B17" s="7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69" t="s">
        <v>1315</v>
      </c>
      <c r="B1" s="69" t="s">
        <v>871</v>
      </c>
    </row>
    <row r="2" spans="1:2" x14ac:dyDescent="0.2">
      <c r="A2" s="8" t="s">
        <v>1341</v>
      </c>
      <c r="B2" s="72">
        <v>1</v>
      </c>
    </row>
    <row r="3" spans="1:2" ht="38.25" x14ac:dyDescent="0.2">
      <c r="A3" s="8" t="s">
        <v>1342</v>
      </c>
      <c r="B3" s="72">
        <v>2</v>
      </c>
    </row>
    <row r="4" spans="1:2" ht="25.5" x14ac:dyDescent="0.2">
      <c r="A4" s="9" t="s">
        <v>1316</v>
      </c>
      <c r="B4" s="72">
        <v>3</v>
      </c>
    </row>
    <row r="5" spans="1:2" x14ac:dyDescent="0.2">
      <c r="A5" s="9" t="s">
        <v>1343</v>
      </c>
      <c r="B5" s="72">
        <v>1</v>
      </c>
    </row>
    <row r="6" spans="1:2" ht="25.5" x14ac:dyDescent="0.2">
      <c r="A6" s="9" t="s">
        <v>1317</v>
      </c>
      <c r="B6" s="72">
        <v>4</v>
      </c>
    </row>
    <row r="7" spans="1:2" ht="38.25" x14ac:dyDescent="0.2">
      <c r="A7" s="9" t="s">
        <v>1318</v>
      </c>
      <c r="B7" s="72">
        <v>5</v>
      </c>
    </row>
    <row r="8" spans="1:2" ht="25.5" x14ac:dyDescent="0.2">
      <c r="A8" s="9" t="s">
        <v>1319</v>
      </c>
      <c r="B8" s="72">
        <v>3</v>
      </c>
    </row>
    <row r="9" spans="1:2" ht="25.5" x14ac:dyDescent="0.2">
      <c r="A9" s="9" t="s">
        <v>1320</v>
      </c>
      <c r="B9" s="72">
        <v>1</v>
      </c>
    </row>
    <row r="10" spans="1:2" x14ac:dyDescent="0.2">
      <c r="A10" s="9" t="s">
        <v>1334</v>
      </c>
      <c r="B10" s="72">
        <v>6</v>
      </c>
    </row>
    <row r="11" spans="1:2" x14ac:dyDescent="0.2">
      <c r="A11" s="9" t="s">
        <v>1335</v>
      </c>
      <c r="B11" s="72">
        <v>7</v>
      </c>
    </row>
    <row r="12" spans="1:2" ht="38.25" x14ac:dyDescent="0.2">
      <c r="A12" s="9" t="s">
        <v>1321</v>
      </c>
      <c r="B12" s="72">
        <v>6</v>
      </c>
    </row>
    <row r="13" spans="1:2" x14ac:dyDescent="0.2">
      <c r="A13" s="18" t="s">
        <v>1322</v>
      </c>
      <c r="B13" s="72">
        <v>3</v>
      </c>
    </row>
    <row r="14" spans="1:2" ht="25.5" x14ac:dyDescent="0.2">
      <c r="A14" s="18" t="s">
        <v>1323</v>
      </c>
      <c r="B14" s="72">
        <v>8</v>
      </c>
    </row>
    <row r="15" spans="1:2" ht="25.5" x14ac:dyDescent="0.2">
      <c r="A15" s="18" t="s">
        <v>419</v>
      </c>
      <c r="B15" s="72">
        <v>3</v>
      </c>
    </row>
    <row r="16" spans="1:2" ht="38.25" x14ac:dyDescent="0.2">
      <c r="A16" s="9" t="s">
        <v>1324</v>
      </c>
      <c r="B16" s="72">
        <v>6</v>
      </c>
    </row>
    <row r="17" spans="1:2" ht="25.5" x14ac:dyDescent="0.2">
      <c r="A17" s="9" t="s">
        <v>1325</v>
      </c>
      <c r="B17" s="72">
        <v>3</v>
      </c>
    </row>
    <row r="18" spans="1:2" ht="38.25" x14ac:dyDescent="0.2">
      <c r="A18" s="9" t="s">
        <v>1326</v>
      </c>
      <c r="B18" s="72">
        <v>3</v>
      </c>
    </row>
    <row r="19" spans="1:2" x14ac:dyDescent="0.2">
      <c r="A19" s="9" t="s">
        <v>1309</v>
      </c>
      <c r="B19" s="72">
        <v>9</v>
      </c>
    </row>
    <row r="20" spans="1:2" x14ac:dyDescent="0.2">
      <c r="A20" s="9" t="s">
        <v>1336</v>
      </c>
      <c r="B20" s="72">
        <v>10</v>
      </c>
    </row>
    <row r="21" spans="1:2" x14ac:dyDescent="0.2">
      <c r="A21" s="9" t="s">
        <v>1337</v>
      </c>
      <c r="B21" s="72">
        <v>11</v>
      </c>
    </row>
    <row r="22" spans="1:2" x14ac:dyDescent="0.2">
      <c r="A22" s="8" t="s">
        <v>1344</v>
      </c>
      <c r="B22" s="72">
        <v>1</v>
      </c>
    </row>
    <row r="23" spans="1:2" ht="25.5" x14ac:dyDescent="0.2">
      <c r="A23" s="8" t="s">
        <v>1311</v>
      </c>
      <c r="B23" s="72">
        <v>6</v>
      </c>
    </row>
    <row r="24" spans="1:2" x14ac:dyDescent="0.2">
      <c r="A24" s="8" t="s">
        <v>1345</v>
      </c>
      <c r="B24" s="72">
        <v>3</v>
      </c>
    </row>
    <row r="25" spans="1:2" x14ac:dyDescent="0.2">
      <c r="A25" s="8" t="s">
        <v>1346</v>
      </c>
      <c r="B25" s="72">
        <v>2</v>
      </c>
    </row>
    <row r="26" spans="1:2" ht="38.25" x14ac:dyDescent="0.2">
      <c r="A26" s="9" t="s">
        <v>1327</v>
      </c>
      <c r="B26" s="72">
        <v>3</v>
      </c>
    </row>
    <row r="27" spans="1:2" x14ac:dyDescent="0.2">
      <c r="A27" s="9" t="s">
        <v>1347</v>
      </c>
      <c r="B27" s="72">
        <v>6</v>
      </c>
    </row>
    <row r="28" spans="1:2" x14ac:dyDescent="0.2">
      <c r="A28" s="9" t="s">
        <v>1338</v>
      </c>
      <c r="B28" s="72">
        <v>12</v>
      </c>
    </row>
    <row r="29" spans="1:2" x14ac:dyDescent="0.2">
      <c r="A29" s="9" t="s">
        <v>1348</v>
      </c>
      <c r="B29" s="72">
        <v>13</v>
      </c>
    </row>
    <row r="30" spans="1:2" ht="25.5" x14ac:dyDescent="0.2">
      <c r="A30" s="9" t="s">
        <v>1328</v>
      </c>
      <c r="B30" s="72">
        <v>1</v>
      </c>
    </row>
    <row r="31" spans="1:2" x14ac:dyDescent="0.2">
      <c r="A31" s="8" t="s">
        <v>1349</v>
      </c>
      <c r="B31" s="72">
        <v>2</v>
      </c>
    </row>
    <row r="32" spans="1:2" ht="25.5" x14ac:dyDescent="0.2">
      <c r="A32" s="8" t="s">
        <v>1310</v>
      </c>
      <c r="B32" s="72">
        <v>3</v>
      </c>
    </row>
    <row r="33" spans="1:2" x14ac:dyDescent="0.2">
      <c r="A33" s="8" t="s">
        <v>1344</v>
      </c>
      <c r="B33" s="72">
        <v>1</v>
      </c>
    </row>
    <row r="34" spans="1:2" ht="25.5" x14ac:dyDescent="0.2">
      <c r="A34" s="8" t="s">
        <v>1311</v>
      </c>
      <c r="B34" s="72">
        <v>6</v>
      </c>
    </row>
    <row r="35" spans="1:2" ht="25.5" x14ac:dyDescent="0.2">
      <c r="A35" s="9" t="s">
        <v>1329</v>
      </c>
      <c r="B35" s="72">
        <v>6</v>
      </c>
    </row>
    <row r="36" spans="1:2" ht="38.25" x14ac:dyDescent="0.2">
      <c r="A36" s="9" t="s">
        <v>1330</v>
      </c>
      <c r="B36" s="72">
        <v>3</v>
      </c>
    </row>
    <row r="37" spans="1:2" ht="25.5" x14ac:dyDescent="0.2">
      <c r="A37" s="8" t="s">
        <v>1331</v>
      </c>
      <c r="B37" s="72">
        <v>3</v>
      </c>
    </row>
    <row r="38" spans="1:2" x14ac:dyDescent="0.2">
      <c r="A38" s="8" t="s">
        <v>1313</v>
      </c>
      <c r="B38" s="72">
        <v>3</v>
      </c>
    </row>
    <row r="39" spans="1:2" x14ac:dyDescent="0.2">
      <c r="A39" s="8" t="s">
        <v>1312</v>
      </c>
      <c r="B39" s="72">
        <v>8</v>
      </c>
    </row>
    <row r="40" spans="1:2" ht="38.25" x14ac:dyDescent="0.2">
      <c r="A40" s="9" t="s">
        <v>1314</v>
      </c>
      <c r="B40" s="72">
        <v>3</v>
      </c>
    </row>
    <row r="41" spans="1:2" x14ac:dyDescent="0.2">
      <c r="A41" s="9" t="s">
        <v>1339</v>
      </c>
      <c r="B41" s="72">
        <v>6</v>
      </c>
    </row>
    <row r="42" spans="1:2" ht="25.5" x14ac:dyDescent="0.2">
      <c r="A42" s="9" t="s">
        <v>1332</v>
      </c>
      <c r="B42" s="72">
        <v>3</v>
      </c>
    </row>
    <row r="43" spans="1:2" x14ac:dyDescent="0.2">
      <c r="A43" s="9" t="s">
        <v>1340</v>
      </c>
      <c r="B43" s="72">
        <v>6</v>
      </c>
    </row>
    <row r="44" spans="1:2" ht="51" x14ac:dyDescent="0.2">
      <c r="A44" s="9" t="s">
        <v>1351</v>
      </c>
      <c r="B44" s="72">
        <v>3</v>
      </c>
    </row>
    <row r="45" spans="1:2" x14ac:dyDescent="0.2">
      <c r="A45" s="9" t="s">
        <v>1350</v>
      </c>
      <c r="B45" s="72">
        <v>2</v>
      </c>
    </row>
    <row r="46" spans="1:2" ht="38.25" x14ac:dyDescent="0.2">
      <c r="A46" s="16" t="s">
        <v>1333</v>
      </c>
      <c r="B46" s="73">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A3" sqref="A3"/>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1574</v>
      </c>
      <c r="C2" s="41" t="s">
        <v>1367</v>
      </c>
      <c r="D2" s="41" t="s">
        <v>1575</v>
      </c>
      <c r="E2" s="41" t="s">
        <v>1430</v>
      </c>
      <c r="F2" s="41" t="s">
        <v>1352</v>
      </c>
      <c r="G2" s="41" t="s">
        <v>1353</v>
      </c>
      <c r="H2" s="41" t="s">
        <v>1576</v>
      </c>
      <c r="I2" s="41" t="s">
        <v>1354</v>
      </c>
      <c r="J2" s="41" t="s">
        <v>1355</v>
      </c>
      <c r="K2" s="41" t="s">
        <v>1356</v>
      </c>
      <c r="L2" s="41" t="s">
        <v>1357</v>
      </c>
      <c r="M2" s="41" t="s">
        <v>1309</v>
      </c>
      <c r="N2" s="41" t="s">
        <v>1336</v>
      </c>
      <c r="O2" s="41" t="s">
        <v>1577</v>
      </c>
      <c r="P2" s="41" t="s">
        <v>1578</v>
      </c>
      <c r="Q2" s="41" t="s">
        <v>1359</v>
      </c>
      <c r="R2" s="3" t="s">
        <v>104</v>
      </c>
    </row>
    <row r="3" spans="1:18" x14ac:dyDescent="0.25">
      <c r="A3" s="6" t="str">
        <f>Ueberblick[[#This Row],[Kürzel]]</f>
        <v>Ape12</v>
      </c>
      <c r="B3" s="8">
        <v>1</v>
      </c>
      <c r="C3" s="8">
        <v>1</v>
      </c>
      <c r="D3" s="8">
        <v>1</v>
      </c>
      <c r="E3" s="8">
        <v>1</v>
      </c>
      <c r="F3" s="8">
        <v>1</v>
      </c>
      <c r="G3" s="8"/>
      <c r="H3" s="8"/>
      <c r="I3" s="8"/>
      <c r="J3" s="8">
        <v>1</v>
      </c>
      <c r="K3" s="8"/>
      <c r="L3" s="8"/>
      <c r="M3" s="8"/>
      <c r="N3" s="8"/>
      <c r="O3" s="8">
        <v>1</v>
      </c>
      <c r="P3" s="8"/>
      <c r="Q3" s="8"/>
      <c r="R3" s="8" t="str">
        <f>Ueberblick[[#This Row],[Quellen Daten]]</f>
        <v>78-96; 131-139</v>
      </c>
    </row>
    <row r="4" spans="1:18" x14ac:dyDescent="0.25">
      <c r="A4" s="6" t="str">
        <f>Ueberblick[[#This Row],[Kürzel]]</f>
        <v>Ary17</v>
      </c>
      <c r="B4" s="8">
        <v>1</v>
      </c>
      <c r="C4" s="8"/>
      <c r="D4" s="8">
        <v>1</v>
      </c>
      <c r="E4" s="8">
        <v>1</v>
      </c>
      <c r="F4" s="8">
        <v>1</v>
      </c>
      <c r="G4" s="8">
        <v>1</v>
      </c>
      <c r="H4" s="8"/>
      <c r="I4" s="8">
        <v>1</v>
      </c>
      <c r="J4" s="8"/>
      <c r="K4" s="8"/>
      <c r="L4" s="8"/>
      <c r="M4" s="8">
        <v>1</v>
      </c>
      <c r="N4" s="8"/>
      <c r="O4" s="8">
        <v>1</v>
      </c>
      <c r="P4" s="8"/>
      <c r="Q4" s="8"/>
      <c r="R4" s="8" t="str">
        <f>Ueberblick[[#This Row],[Quellen Daten]]</f>
        <v>762-766</v>
      </c>
    </row>
    <row r="5" spans="1:18" s="11" customFormat="1" x14ac:dyDescent="0.25">
      <c r="A5" s="6" t="str">
        <f>Ueberblick[[#This Row],[Kürzel]]</f>
        <v>Aus18</v>
      </c>
      <c r="B5" s="8">
        <v>1</v>
      </c>
      <c r="C5" s="8">
        <v>1</v>
      </c>
      <c r="D5" s="8"/>
      <c r="E5" s="8">
        <v>1</v>
      </c>
      <c r="F5" s="8">
        <v>1</v>
      </c>
      <c r="G5" s="8"/>
      <c r="H5" s="8"/>
      <c r="I5" s="8"/>
      <c r="J5" s="8">
        <v>1</v>
      </c>
      <c r="K5" s="8">
        <v>1</v>
      </c>
      <c r="L5" s="8">
        <v>1</v>
      </c>
      <c r="M5" s="8"/>
      <c r="N5" s="8"/>
      <c r="O5" s="8">
        <v>1</v>
      </c>
      <c r="P5" s="8"/>
      <c r="Q5" s="8"/>
      <c r="R5" s="8" t="str">
        <f>Ueberblick[[#This Row],[Quellen Daten]]</f>
        <v>1-45; 47ff.</v>
      </c>
    </row>
    <row r="6" spans="1:18" s="11" customFormat="1" x14ac:dyDescent="0.25">
      <c r="A6" s="6" t="str">
        <f>Ueberblick[[#This Row],[Kürzel]]</f>
        <v>Blu13</v>
      </c>
      <c r="B6" s="8"/>
      <c r="C6" s="8"/>
      <c r="D6" s="8"/>
      <c r="E6" s="8"/>
      <c r="F6" s="8">
        <v>1</v>
      </c>
      <c r="G6" s="8"/>
      <c r="H6" s="8"/>
      <c r="I6" s="8"/>
      <c r="J6" s="8">
        <v>1</v>
      </c>
      <c r="K6" s="8"/>
      <c r="L6" s="8"/>
      <c r="M6" s="8"/>
      <c r="N6" s="8"/>
      <c r="O6" s="8"/>
      <c r="P6" s="8">
        <v>1</v>
      </c>
      <c r="Q6" s="8"/>
      <c r="R6" s="8" t="str">
        <f>Ueberblick[[#This Row],[Quellen Daten]]</f>
        <v>3; 5-7; 16-18</v>
      </c>
    </row>
    <row r="7" spans="1:18" s="11" customFormat="1" x14ac:dyDescent="0.25">
      <c r="A7" s="6" t="str">
        <f>Ueberblick[[#This Row],[Kürzel]]</f>
        <v>Foc11</v>
      </c>
      <c r="B7" s="8">
        <v>1</v>
      </c>
      <c r="C7" s="8">
        <v>1</v>
      </c>
      <c r="D7" s="8"/>
      <c r="E7" s="8"/>
      <c r="F7" s="8">
        <v>1</v>
      </c>
      <c r="G7" s="8"/>
      <c r="H7" s="8"/>
      <c r="I7" s="8"/>
      <c r="J7" s="8">
        <v>1</v>
      </c>
      <c r="K7" s="8"/>
      <c r="L7" s="8"/>
      <c r="M7" s="8"/>
      <c r="N7" s="8"/>
      <c r="O7" s="8">
        <v>1</v>
      </c>
      <c r="P7" s="8"/>
      <c r="Q7" s="8"/>
      <c r="R7" s="8" t="str">
        <f>Ueberblick[[#This Row],[Quellen Daten]]</f>
        <v>8-49; 130-132</v>
      </c>
    </row>
    <row r="8" spans="1:18" s="11" customFormat="1" x14ac:dyDescent="0.25">
      <c r="A8" s="6" t="str">
        <f>Ueberblick[[#This Row],[Kürzel]]</f>
        <v>Gil15</v>
      </c>
      <c r="B8" s="8">
        <v>1</v>
      </c>
      <c r="C8" s="8">
        <v>1</v>
      </c>
      <c r="D8" s="8">
        <v>1</v>
      </c>
      <c r="E8" s="8">
        <v>1</v>
      </c>
      <c r="F8" s="8">
        <v>1</v>
      </c>
      <c r="G8" s="8"/>
      <c r="H8" s="8"/>
      <c r="I8" s="8"/>
      <c r="J8" s="8">
        <v>1</v>
      </c>
      <c r="K8" s="8"/>
      <c r="L8" s="8"/>
      <c r="M8" s="8">
        <v>1</v>
      </c>
      <c r="N8" s="8"/>
      <c r="O8" s="8">
        <v>1</v>
      </c>
      <c r="P8" s="8">
        <v>1</v>
      </c>
      <c r="Q8" s="8"/>
      <c r="R8" s="8" t="str">
        <f>Ueberblick[[#This Row],[Quellen Daten]]</f>
        <v>13-23; 176-187</v>
      </c>
    </row>
    <row r="9" spans="1:18" x14ac:dyDescent="0.25">
      <c r="A9" s="6" t="str">
        <f>Ueberblick[[#This Row],[Kürzel]]</f>
        <v>Gob12</v>
      </c>
      <c r="B9" s="71">
        <v>1</v>
      </c>
      <c r="C9" s="71"/>
      <c r="D9" s="71">
        <v>1</v>
      </c>
      <c r="E9" s="71"/>
      <c r="F9" s="71">
        <v>1</v>
      </c>
      <c r="G9" s="71"/>
      <c r="H9" s="71"/>
      <c r="I9" s="71"/>
      <c r="J9" s="71"/>
      <c r="K9" s="71">
        <v>1</v>
      </c>
      <c r="L9" s="71">
        <v>1</v>
      </c>
      <c r="M9" s="71">
        <v>1</v>
      </c>
      <c r="N9" s="71"/>
      <c r="O9" s="71"/>
      <c r="P9" s="71">
        <v>1</v>
      </c>
      <c r="Q9" s="71"/>
      <c r="R9" s="8" t="str">
        <f>Ueberblick[[#This Row],[Quellen Daten]]</f>
        <v>89-90; 114-117</v>
      </c>
    </row>
    <row r="10" spans="1:18" x14ac:dyDescent="0.25">
      <c r="A10" s="6" t="str">
        <f>Ueberblick[[#This Row],[Kürzel]]</f>
        <v>Gro13</v>
      </c>
      <c r="B10" s="71">
        <v>1</v>
      </c>
      <c r="C10" s="71"/>
      <c r="D10" s="71"/>
      <c r="E10" s="71"/>
      <c r="F10" s="71">
        <v>1</v>
      </c>
      <c r="G10" s="71"/>
      <c r="H10" s="71"/>
      <c r="I10" s="71"/>
      <c r="J10" s="71"/>
      <c r="K10" s="71"/>
      <c r="L10" s="71"/>
      <c r="M10" s="71"/>
      <c r="N10" s="71"/>
      <c r="O10" s="71"/>
      <c r="P10" s="71"/>
      <c r="Q10" s="71"/>
      <c r="R10" s="8" t="str">
        <f>Ueberblick[[#This Row],[Quellen Daten]]</f>
        <v>32; 36</v>
      </c>
    </row>
    <row r="11" spans="1:18" s="11" customFormat="1" x14ac:dyDescent="0.25">
      <c r="A11" s="6" t="str">
        <f>Ueberblick[[#This Row],[Kürzel]]</f>
        <v>Gru17</v>
      </c>
      <c r="B11" s="8">
        <v>1</v>
      </c>
      <c r="C11" s="8">
        <v>1</v>
      </c>
      <c r="D11" s="8"/>
      <c r="E11" s="8"/>
      <c r="F11" s="8">
        <v>1</v>
      </c>
      <c r="G11" s="8"/>
      <c r="H11" s="8">
        <v>1</v>
      </c>
      <c r="I11" s="8"/>
      <c r="J11" s="8">
        <v>1</v>
      </c>
      <c r="K11" s="8">
        <v>1</v>
      </c>
      <c r="L11" s="8">
        <v>1</v>
      </c>
      <c r="M11" s="8"/>
      <c r="N11" s="8"/>
      <c r="O11" s="8"/>
      <c r="P11" s="8"/>
      <c r="Q11" s="8"/>
      <c r="R11" s="8" t="str">
        <f>Ueberblick[[#This Row],[Quellen Daten]]</f>
        <v>13-119; 139-146</v>
      </c>
    </row>
    <row r="12" spans="1:18" s="11" customFormat="1" x14ac:dyDescent="0.25">
      <c r="A12" s="6" t="str">
        <f>Ueberblick[[#This Row],[Kürzel]]</f>
        <v>Haa17</v>
      </c>
      <c r="B12" s="8"/>
      <c r="C12" s="8"/>
      <c r="D12" s="8"/>
      <c r="E12" s="8"/>
      <c r="F12" s="8">
        <v>1</v>
      </c>
      <c r="G12" s="8"/>
      <c r="H12" s="8"/>
      <c r="I12" s="8"/>
      <c r="J12" s="8"/>
      <c r="K12" s="8"/>
      <c r="L12" s="8"/>
      <c r="M12" s="8">
        <v>1</v>
      </c>
      <c r="N12" s="8">
        <v>1</v>
      </c>
      <c r="O12" s="8">
        <v>1</v>
      </c>
      <c r="P12" s="8">
        <v>1</v>
      </c>
      <c r="Q12" s="8"/>
      <c r="R12" s="8" t="str">
        <f>Ueberblick[[#This Row],[Quellen Daten]]</f>
        <v>58-84</v>
      </c>
    </row>
    <row r="13" spans="1:18" x14ac:dyDescent="0.25">
      <c r="A13" s="6" t="str">
        <f>Ueberblick[[#This Row],[Kürzel]]</f>
        <v>Hei21</v>
      </c>
      <c r="B13" s="8">
        <v>1</v>
      </c>
      <c r="C13" s="8">
        <v>1</v>
      </c>
      <c r="D13" s="8"/>
      <c r="E13" s="8">
        <v>1</v>
      </c>
      <c r="F13" s="8">
        <v>1</v>
      </c>
      <c r="G13" s="8"/>
      <c r="H13" s="8"/>
      <c r="I13" s="8"/>
      <c r="J13" s="8">
        <v>1</v>
      </c>
      <c r="K13" s="8"/>
      <c r="L13" s="8"/>
      <c r="M13" s="8"/>
      <c r="N13" s="8"/>
      <c r="O13" s="8"/>
      <c r="P13" s="8"/>
      <c r="Q13" s="8"/>
      <c r="R13" s="8" t="str">
        <f>Ueberblick[[#This Row],[Quellen Daten]]</f>
        <v>100003-100008</v>
      </c>
    </row>
    <row r="14" spans="1:18" s="11" customFormat="1" x14ac:dyDescent="0.25">
      <c r="A14" s="6" t="str">
        <f>Ueberblick[[#This Row],[Kürzel]]</f>
        <v>Hen15</v>
      </c>
      <c r="B14" s="8"/>
      <c r="C14" s="8"/>
      <c r="D14" s="8"/>
      <c r="E14" s="8"/>
      <c r="F14" s="8">
        <v>1</v>
      </c>
      <c r="G14" s="8"/>
      <c r="H14" s="8"/>
      <c r="I14" s="8"/>
      <c r="J14" s="8"/>
      <c r="K14" s="8"/>
      <c r="L14" s="8">
        <v>1</v>
      </c>
      <c r="M14" s="8"/>
      <c r="N14" s="8"/>
      <c r="O14" s="8"/>
      <c r="P14" s="8"/>
      <c r="Q14" s="8"/>
      <c r="R14" s="8" t="str">
        <f>Ueberblick[[#This Row],[Quellen Daten]]</f>
        <v>S. 12-32</v>
      </c>
    </row>
    <row r="15" spans="1:18" x14ac:dyDescent="0.25">
      <c r="A15" s="6" t="str">
        <f>Ueberblick[[#This Row],[Kürzel]]</f>
        <v>Jet21</v>
      </c>
      <c r="B15" s="8">
        <v>1</v>
      </c>
      <c r="C15" s="8">
        <v>1</v>
      </c>
      <c r="D15" s="8"/>
      <c r="E15" s="8"/>
      <c r="F15" s="8">
        <v>1</v>
      </c>
      <c r="G15" s="8"/>
      <c r="H15" s="8"/>
      <c r="I15" s="8"/>
      <c r="J15" s="8"/>
      <c r="K15" s="8">
        <v>1</v>
      </c>
      <c r="L15" s="8">
        <v>1</v>
      </c>
      <c r="M15" s="8"/>
      <c r="N15" s="8"/>
      <c r="O15" s="8"/>
      <c r="P15" s="8"/>
      <c r="Q15" s="8"/>
      <c r="R15" s="8" t="str">
        <f>Ueberblick[[#This Row],[Quellen Daten]]</f>
        <v>11-24</v>
      </c>
    </row>
    <row r="16" spans="1:18" s="11" customFormat="1" x14ac:dyDescent="0.25">
      <c r="A16" s="6" t="str">
        <f>Ueberblick[[#This Row],[Kürzel]]</f>
        <v>Klo09</v>
      </c>
      <c r="B16" s="8">
        <v>1</v>
      </c>
      <c r="C16" s="8">
        <v>1</v>
      </c>
      <c r="D16" s="8">
        <v>1</v>
      </c>
      <c r="E16" s="8">
        <v>1</v>
      </c>
      <c r="F16" s="8">
        <v>1</v>
      </c>
      <c r="G16" s="8"/>
      <c r="H16" s="8"/>
      <c r="I16" s="8"/>
      <c r="J16" s="8">
        <v>1</v>
      </c>
      <c r="K16" s="8"/>
      <c r="L16" s="8"/>
      <c r="M16" s="8">
        <v>1</v>
      </c>
      <c r="N16" s="8"/>
      <c r="O16" s="8">
        <v>1</v>
      </c>
      <c r="P16" s="8">
        <v>1</v>
      </c>
      <c r="Q16" s="8"/>
      <c r="R16" s="8" t="str">
        <f>Ueberblick[[#This Row],[Quellen Daten]]</f>
        <v>51-87</v>
      </c>
    </row>
    <row r="17" spans="1:18" x14ac:dyDescent="0.25">
      <c r="A17" s="6" t="str">
        <f>Ueberblick[[#This Row],[Kürzel]]</f>
        <v>Klo13</v>
      </c>
      <c r="B17" s="8">
        <v>1</v>
      </c>
      <c r="C17" s="8">
        <v>1</v>
      </c>
      <c r="D17" s="8">
        <v>1</v>
      </c>
      <c r="E17" s="8"/>
      <c r="F17" s="8">
        <v>1</v>
      </c>
      <c r="G17" s="8"/>
      <c r="H17" s="8">
        <v>1</v>
      </c>
      <c r="I17" s="8"/>
      <c r="J17" s="8"/>
      <c r="K17" s="8">
        <v>1</v>
      </c>
      <c r="L17" s="8">
        <v>1</v>
      </c>
      <c r="M17" s="8">
        <v>1</v>
      </c>
      <c r="N17" s="8"/>
      <c r="O17" s="8">
        <v>1</v>
      </c>
      <c r="P17" s="8"/>
      <c r="Q17" s="8"/>
      <c r="R17" s="8">
        <f>Ueberblick[[#This Row],[Quellen Daten]]</f>
        <v>22</v>
      </c>
    </row>
    <row r="18" spans="1:18" s="11" customFormat="1" x14ac:dyDescent="0.25">
      <c r="A18" s="6" t="str">
        <f>Ueberblick[[#This Row],[Kürzel]]</f>
        <v>Krz13</v>
      </c>
      <c r="B18" s="8"/>
      <c r="C18" s="8"/>
      <c r="D18" s="8">
        <v>1</v>
      </c>
      <c r="E18" s="8"/>
      <c r="F18" s="8">
        <v>1</v>
      </c>
      <c r="G18" s="8"/>
      <c r="H18" s="8"/>
      <c r="I18" s="8"/>
      <c r="J18" s="8"/>
      <c r="K18" s="8"/>
      <c r="L18" s="8"/>
      <c r="M18" s="8"/>
      <c r="N18" s="8"/>
      <c r="O18" s="8"/>
      <c r="P18" s="8"/>
      <c r="Q18" s="8"/>
      <c r="R18" s="8" t="str">
        <f>Ueberblick[[#This Row],[Quellen Daten]]</f>
        <v>28-36</v>
      </c>
    </row>
    <row r="19" spans="1:18" x14ac:dyDescent="0.25">
      <c r="A19" s="6" t="str">
        <f>Ueberblick[[#This Row],[Kürzel]]</f>
        <v>Lad18</v>
      </c>
      <c r="B19" s="8">
        <v>1</v>
      </c>
      <c r="C19" s="8">
        <v>1</v>
      </c>
      <c r="D19" s="8"/>
      <c r="E19" s="8"/>
      <c r="F19" s="8">
        <v>1</v>
      </c>
      <c r="G19" s="8"/>
      <c r="H19" s="8">
        <v>1</v>
      </c>
      <c r="I19" s="8"/>
      <c r="J19" s="8">
        <v>1</v>
      </c>
      <c r="K19" s="8"/>
      <c r="L19" s="8"/>
      <c r="M19" s="8"/>
      <c r="N19" s="8">
        <v>1</v>
      </c>
      <c r="O19" s="8">
        <v>1</v>
      </c>
      <c r="P19" s="8">
        <v>1</v>
      </c>
      <c r="Q19" s="8">
        <v>1</v>
      </c>
      <c r="R19" s="8" t="str">
        <f>Ueberblick[[#This Row],[Quellen Daten]]</f>
        <v>16-23; 37-30; 42-80</v>
      </c>
    </row>
    <row r="20" spans="1:18" s="11" customFormat="1" x14ac:dyDescent="0.25">
      <c r="A20" s="6" t="str">
        <f>Ueberblick[[#This Row],[Kürzel]]</f>
        <v>Lan15</v>
      </c>
      <c r="B20" s="8">
        <v>1</v>
      </c>
      <c r="C20" s="8"/>
      <c r="D20" s="8"/>
      <c r="E20" s="8"/>
      <c r="F20" s="8">
        <v>1</v>
      </c>
      <c r="G20" s="8"/>
      <c r="H20" s="8"/>
      <c r="I20" s="8"/>
      <c r="J20" s="8">
        <v>1</v>
      </c>
      <c r="K20" s="8"/>
      <c r="L20" s="8"/>
      <c r="M20" s="8"/>
      <c r="N20" s="8"/>
      <c r="O20" s="8">
        <v>1</v>
      </c>
      <c r="P20" s="8">
        <v>1</v>
      </c>
      <c r="Q20" s="8"/>
      <c r="R20" s="8">
        <f>Ueberblick[[#This Row],[Quellen Daten]]</f>
        <v>87</v>
      </c>
    </row>
    <row r="21" spans="1:18" x14ac:dyDescent="0.25">
      <c r="A21" s="6" t="str">
        <f>Ueberblick[[#This Row],[Kürzel]]</f>
        <v>Lie15</v>
      </c>
      <c r="B21" s="8">
        <v>1</v>
      </c>
      <c r="C21" s="8"/>
      <c r="D21" s="8">
        <v>1</v>
      </c>
      <c r="E21" s="8"/>
      <c r="F21" s="8">
        <v>1</v>
      </c>
      <c r="G21" s="8"/>
      <c r="H21" s="8"/>
      <c r="I21" s="8">
        <v>1</v>
      </c>
      <c r="J21" s="8">
        <v>1</v>
      </c>
      <c r="K21" s="8"/>
      <c r="L21" s="8"/>
      <c r="M21" s="8"/>
      <c r="N21" s="8"/>
      <c r="O21" s="8"/>
      <c r="P21" s="8"/>
      <c r="Q21" s="8">
        <v>1</v>
      </c>
      <c r="R21" s="8" t="str">
        <f>Ueberblick[[#This Row],[Quellen Daten]]</f>
        <v>15-27</v>
      </c>
    </row>
    <row r="22" spans="1:18" s="11" customFormat="1" x14ac:dyDescent="0.25">
      <c r="A22" s="6" t="str">
        <f>Ueberblick[[#This Row],[Kürzel]]</f>
        <v>Mae18</v>
      </c>
      <c r="B22" s="8"/>
      <c r="C22" s="8"/>
      <c r="D22" s="8"/>
      <c r="E22" s="8"/>
      <c r="F22" s="8">
        <v>1</v>
      </c>
      <c r="G22" s="8"/>
      <c r="H22" s="8"/>
      <c r="I22" s="8"/>
      <c r="J22" s="8"/>
      <c r="K22" s="8"/>
      <c r="L22" s="8"/>
      <c r="M22" s="8"/>
      <c r="N22" s="8"/>
      <c r="O22" s="8"/>
      <c r="P22" s="8">
        <v>1</v>
      </c>
      <c r="Q22" s="8"/>
      <c r="R22" s="8" t="str">
        <f>Ueberblick[[#This Row],[Quellen Daten]]</f>
        <v>1291-1292</v>
      </c>
    </row>
    <row r="23" spans="1:18" x14ac:dyDescent="0.25">
      <c r="A23" s="6" t="str">
        <f>Ueberblick[[#This Row],[Kürzel]]</f>
        <v>Mol10</v>
      </c>
      <c r="B23" s="8"/>
      <c r="C23" s="8">
        <v>1</v>
      </c>
      <c r="D23" s="8">
        <v>1</v>
      </c>
      <c r="E23" s="8">
        <v>1</v>
      </c>
      <c r="F23" s="8">
        <v>1</v>
      </c>
      <c r="G23" s="8"/>
      <c r="H23" s="8"/>
      <c r="I23" s="8"/>
      <c r="J23" s="8">
        <v>1</v>
      </c>
      <c r="K23" s="8"/>
      <c r="L23" s="8"/>
      <c r="M23" s="8"/>
      <c r="N23" s="8"/>
      <c r="O23" s="8"/>
      <c r="P23" s="8">
        <v>1</v>
      </c>
      <c r="Q23" s="8"/>
      <c r="R23" s="8" t="str">
        <f>Ueberblick[[#This Row],[Quellen Daten]]</f>
        <v>412-425; 512-543</v>
      </c>
    </row>
    <row r="24" spans="1:18" s="11" customFormat="1" x14ac:dyDescent="0.25">
      <c r="A24" s="6" t="str">
        <f>Ueberblick[[#This Row],[Kürzel]]</f>
        <v>Mue19</v>
      </c>
      <c r="B24" s="8">
        <v>1</v>
      </c>
      <c r="C24" s="8"/>
      <c r="D24" s="8"/>
      <c r="E24" s="8">
        <v>1</v>
      </c>
      <c r="F24" s="8">
        <v>1</v>
      </c>
      <c r="G24" s="8">
        <v>1</v>
      </c>
      <c r="H24" s="8"/>
      <c r="I24" s="8"/>
      <c r="J24" s="8">
        <v>1</v>
      </c>
      <c r="K24" s="8"/>
      <c r="L24" s="8">
        <v>1</v>
      </c>
      <c r="M24" s="8"/>
      <c r="N24" s="8"/>
      <c r="O24" s="8"/>
      <c r="P24" s="8">
        <v>1</v>
      </c>
      <c r="Q24" s="8"/>
      <c r="R24" s="8" t="str">
        <f>Ueberblick[[#This Row],[Quellen Daten]]</f>
        <v>2-8</v>
      </c>
    </row>
    <row r="25" spans="1:18" x14ac:dyDescent="0.25">
      <c r="A25" s="6" t="str">
        <f>Ueberblick[[#This Row],[Kürzel]]</f>
        <v>Pau11</v>
      </c>
      <c r="B25" s="8"/>
      <c r="C25" s="8"/>
      <c r="D25" s="8"/>
      <c r="E25" s="8">
        <v>1</v>
      </c>
      <c r="F25" s="8">
        <v>1</v>
      </c>
      <c r="G25" s="8"/>
      <c r="H25" s="8"/>
      <c r="I25" s="8"/>
      <c r="J25" s="8"/>
      <c r="K25" s="8"/>
      <c r="L25" s="8"/>
      <c r="M25" s="8"/>
      <c r="N25" s="8"/>
      <c r="O25" s="8">
        <v>1</v>
      </c>
      <c r="P25" s="8"/>
      <c r="Q25" s="8">
        <v>1</v>
      </c>
      <c r="R25" s="8">
        <f>Ueberblick[[#This Row],[Quellen Daten]]</f>
        <v>434</v>
      </c>
    </row>
    <row r="26" spans="1:18" s="11" customFormat="1" x14ac:dyDescent="0.25">
      <c r="A26" s="6" t="str">
        <f>Ueberblick[[#This Row],[Kürzel]]</f>
        <v>Pel16</v>
      </c>
      <c r="B26" s="8">
        <v>1</v>
      </c>
      <c r="C26" s="8">
        <v>1</v>
      </c>
      <c r="D26" s="8">
        <v>1</v>
      </c>
      <c r="E26" s="8"/>
      <c r="F26" s="8">
        <v>1</v>
      </c>
      <c r="G26" s="8"/>
      <c r="H26" s="8">
        <v>1</v>
      </c>
      <c r="I26" s="8"/>
      <c r="J26" s="8">
        <v>1</v>
      </c>
      <c r="K26" s="8">
        <v>1</v>
      </c>
      <c r="L26" s="8">
        <v>1</v>
      </c>
      <c r="M26" s="8"/>
      <c r="N26" s="8"/>
      <c r="O26" s="8"/>
      <c r="P26" s="8"/>
      <c r="Q26" s="8"/>
      <c r="R26" s="8">
        <f>Ueberblick[[#This Row],[Quellen Daten]]</f>
        <v>186</v>
      </c>
    </row>
    <row r="27" spans="1:18" s="11" customFormat="1" x14ac:dyDescent="0.25">
      <c r="A27" s="6" t="str">
        <f>Ueberblick[[#This Row],[Kürzel]]</f>
        <v>r2b14</v>
      </c>
      <c r="B27" s="8">
        <v>1</v>
      </c>
      <c r="C27" s="8"/>
      <c r="D27" s="8"/>
      <c r="E27" s="8"/>
      <c r="F27" s="8">
        <v>1</v>
      </c>
      <c r="G27" s="8"/>
      <c r="H27" s="8"/>
      <c r="I27" s="8"/>
      <c r="J27" s="8"/>
      <c r="K27" s="8"/>
      <c r="L27" s="8">
        <v>1</v>
      </c>
      <c r="M27" s="8"/>
      <c r="N27" s="8"/>
      <c r="O27" s="8"/>
      <c r="P27" s="8"/>
      <c r="Q27" s="8"/>
      <c r="R27" s="8">
        <f>Ueberblick[[#This Row],[Quellen Daten]]</f>
        <v>77</v>
      </c>
    </row>
    <row r="28" spans="1:18" x14ac:dyDescent="0.25">
      <c r="A28" s="6" t="str">
        <f>Ueberblick[[#This Row],[Kürzel]]</f>
        <v>Roo10</v>
      </c>
      <c r="B28" s="8"/>
      <c r="C28" s="8"/>
      <c r="D28" s="8">
        <v>1</v>
      </c>
      <c r="E28" s="8"/>
      <c r="F28" s="8">
        <v>1</v>
      </c>
      <c r="G28" s="8"/>
      <c r="H28" s="8">
        <v>1</v>
      </c>
      <c r="I28" s="8"/>
      <c r="J28" s="8"/>
      <c r="K28" s="8"/>
      <c r="L28" s="8">
        <v>1</v>
      </c>
      <c r="M28" s="8">
        <v>1</v>
      </c>
      <c r="N28" s="8"/>
      <c r="O28" s="8"/>
      <c r="P28" s="8">
        <v>1</v>
      </c>
      <c r="Q28" s="8"/>
      <c r="R28" s="8">
        <f>Ueberblick[[#This Row],[Quellen Daten]]</f>
        <v>14</v>
      </c>
    </row>
    <row r="29" spans="1:18" x14ac:dyDescent="0.25">
      <c r="A29" s="6" t="str">
        <f>Ueberblick[[#This Row],[Kürzel]]</f>
        <v>Sau19</v>
      </c>
      <c r="B29" s="8">
        <v>1</v>
      </c>
      <c r="C29" s="8">
        <v>1</v>
      </c>
      <c r="D29" s="8"/>
      <c r="E29" s="8">
        <v>1</v>
      </c>
      <c r="F29" s="8">
        <v>1</v>
      </c>
      <c r="G29" s="8"/>
      <c r="H29" s="8"/>
      <c r="I29" s="8"/>
      <c r="J29" s="8">
        <v>1</v>
      </c>
      <c r="K29" s="8">
        <v>1</v>
      </c>
      <c r="L29" s="8">
        <v>1</v>
      </c>
      <c r="M29" s="8"/>
      <c r="N29" s="8"/>
      <c r="O29" s="8">
        <v>1</v>
      </c>
      <c r="P29" s="8"/>
      <c r="Q29" s="8"/>
      <c r="R29" s="8" t="str">
        <f>Ueberblick[[#This Row],[Quellen Daten]]</f>
        <v>421-446; 447ff.</v>
      </c>
    </row>
    <row r="30" spans="1:18" x14ac:dyDescent="0.25">
      <c r="A30" s="6" t="str">
        <f>Ueberblick[[#This Row],[Kürzel]]</f>
        <v>Sch14</v>
      </c>
      <c r="B30" s="8">
        <v>1</v>
      </c>
      <c r="C30" s="8">
        <v>1</v>
      </c>
      <c r="D30" s="8">
        <v>1</v>
      </c>
      <c r="E30" s="8"/>
      <c r="F30" s="8">
        <v>1</v>
      </c>
      <c r="G30" s="8"/>
      <c r="H30" s="8"/>
      <c r="I30" s="8"/>
      <c r="J30" s="8">
        <v>1</v>
      </c>
      <c r="K30" s="8"/>
      <c r="L30" s="8"/>
      <c r="M30" s="8">
        <v>1</v>
      </c>
      <c r="N30" s="8"/>
      <c r="O30" s="8">
        <v>1</v>
      </c>
      <c r="P30" s="8">
        <v>1</v>
      </c>
      <c r="Q30" s="8"/>
      <c r="R30" s="8" t="str">
        <f>Ueberblick[[#This Row],[Quellen Daten]]</f>
        <v>48, 50-54</v>
      </c>
    </row>
    <row r="31" spans="1:18" x14ac:dyDescent="0.25">
      <c r="A31" s="6" t="str">
        <f>Ueberblick[[#This Row],[Kürzel]]</f>
        <v>Sta06</v>
      </c>
      <c r="B31" s="8">
        <v>1</v>
      </c>
      <c r="C31" s="8"/>
      <c r="D31" s="8">
        <v>1</v>
      </c>
      <c r="E31" s="8">
        <v>1</v>
      </c>
      <c r="F31" s="8"/>
      <c r="G31" s="8"/>
      <c r="H31" s="8"/>
      <c r="I31" s="8"/>
      <c r="J31" s="8">
        <v>1</v>
      </c>
      <c r="K31" s="8">
        <v>1</v>
      </c>
      <c r="L31" s="8"/>
      <c r="M31" s="8"/>
      <c r="N31" s="8"/>
      <c r="O31" s="8">
        <v>1</v>
      </c>
      <c r="P31" s="8"/>
      <c r="Q31" s="8"/>
      <c r="R31" s="8">
        <f>Ueberblick[[#This Row],[Quellen Daten]]</f>
        <v>49</v>
      </c>
    </row>
    <row r="32" spans="1:18" x14ac:dyDescent="0.25">
      <c r="A32" s="6" t="str">
        <f>Ueberblick[[#This Row],[Kürzel]]</f>
        <v>Ste17</v>
      </c>
      <c r="B32" s="8">
        <v>1</v>
      </c>
      <c r="C32" s="8">
        <v>1</v>
      </c>
      <c r="D32" s="8">
        <v>1</v>
      </c>
      <c r="E32" s="8">
        <v>1</v>
      </c>
      <c r="F32" s="8">
        <v>1</v>
      </c>
      <c r="G32" s="8"/>
      <c r="H32" s="8">
        <v>1</v>
      </c>
      <c r="I32" s="8"/>
      <c r="J32" s="8">
        <v>1</v>
      </c>
      <c r="K32" s="8"/>
      <c r="L32" s="8"/>
      <c r="M32" s="8">
        <v>1</v>
      </c>
      <c r="N32" s="8">
        <v>1</v>
      </c>
      <c r="O32" s="8">
        <v>1</v>
      </c>
      <c r="P32" s="8">
        <v>1</v>
      </c>
      <c r="Q32" s="8"/>
      <c r="R32" s="8" t="str">
        <f>Ueberblick[[#This Row],[Quellen Daten]]</f>
        <v>154-158; 164-230</v>
      </c>
    </row>
    <row r="33" spans="1:18" x14ac:dyDescent="0.25">
      <c r="A33" s="6" t="str">
        <f>Ueberblick[[#This Row],[Kürzel]]</f>
        <v>Sty15</v>
      </c>
      <c r="B33" s="8">
        <v>1</v>
      </c>
      <c r="C33" s="8">
        <v>1</v>
      </c>
      <c r="D33" s="8"/>
      <c r="E33" s="8"/>
      <c r="F33" s="8">
        <v>1</v>
      </c>
      <c r="G33" s="8"/>
      <c r="H33" s="8"/>
      <c r="I33" s="8"/>
      <c r="J33" s="8"/>
      <c r="K33" s="8"/>
      <c r="L33" s="8"/>
      <c r="M33" s="8"/>
      <c r="N33" s="8"/>
      <c r="O33" s="8"/>
      <c r="P33" s="8"/>
      <c r="Q33" s="8"/>
      <c r="R33" s="8" t="str">
        <f>Ueberblick[[#This Row],[Quellen Daten]]</f>
        <v>13-23; 31-37</v>
      </c>
    </row>
    <row r="34" spans="1:18" x14ac:dyDescent="0.25">
      <c r="A34" s="6" t="str">
        <f>Ueberblick[[#This Row],[Kürzel]]</f>
        <v>Woh20</v>
      </c>
      <c r="B34" s="8">
        <v>1</v>
      </c>
      <c r="C34" s="8"/>
      <c r="D34" s="8"/>
      <c r="E34" s="8"/>
      <c r="F34" s="8">
        <v>1</v>
      </c>
      <c r="G34" s="8"/>
      <c r="H34" s="8"/>
      <c r="I34" s="8">
        <v>1</v>
      </c>
      <c r="J34" s="8"/>
      <c r="K34" s="8"/>
      <c r="L34" s="8">
        <v>1</v>
      </c>
      <c r="M34" s="8"/>
      <c r="N34" s="8"/>
      <c r="O34" s="8"/>
      <c r="P34" s="8"/>
      <c r="Q34" s="8"/>
      <c r="R34" s="8" t="str">
        <f>Ueberblick[[#This Row],[Quellen Daten]]</f>
        <v>114091-114098</v>
      </c>
    </row>
    <row r="35" spans="1:18" x14ac:dyDescent="0.25">
      <c r="A35" s="17" t="s">
        <v>853</v>
      </c>
      <c r="B35" s="17">
        <f>SUBTOTAL(109,Ueberblick42848[öffentliche Statistiken])</f>
        <v>24</v>
      </c>
      <c r="C35" s="17">
        <f>SUBTOTAL(109,Ueberblick42848[Energiverbrauchsstatistik])</f>
        <v>16</v>
      </c>
      <c r="D35" s="17">
        <f>SUBTOTAL(109,Ueberblick42848[Smart Metering- und 
Lastamanagementfeldstudien])</f>
        <v>14</v>
      </c>
      <c r="E35" s="17">
        <f>SUBTOTAL(109,Ueberblick42848[methodisch fokussierte Paper])</f>
        <v>12</v>
      </c>
      <c r="F35" s="17">
        <f>SUBTOTAL(109,Ueberblick42848[Lastmanagementpotenzialstudien])</f>
        <v>31</v>
      </c>
      <c r="G35" s="17">
        <f>SUBTOTAL(109,Ueberblick42848[Lastprofilgeneratoren])</f>
        <v>2</v>
      </c>
      <c r="H35" s="17">
        <f>SUBTOTAL(109,Ueberblick42848[VNB-Daten (z. B. 
Einspeisemanagement)])</f>
        <v>6</v>
      </c>
      <c r="I35" s="17">
        <f>SUBTOTAL(109,Ueberblick42848[sozialwissenschaftliche Studien])</f>
        <v>3</v>
      </c>
      <c r="J35" s="17">
        <f>SUBTOTAL(109,Ueberblick42848[Branchen- und Verbandsstatistiken])</f>
        <v>18</v>
      </c>
      <c r="K35" s="17">
        <f>SUBTOTAL(109,Ueberblick42848[reale Lastgangdaten])</f>
        <v>8</v>
      </c>
      <c r="L35" s="17">
        <f>SUBTOTAL(109,Ueberblick42848[eigene Datenbasis / Datenbank])</f>
        <v>12</v>
      </c>
      <c r="M35" s="17">
        <f>SUBTOTAL(109,Ueberblick42848[Energiesystemanalysen])</f>
        <v>9</v>
      </c>
      <c r="N35" s="17">
        <f>SUBTOTAL(109,Ueberblick42848[Herstellerangaben])</f>
        <v>3</v>
      </c>
      <c r="O35" s="17">
        <f>SUBTOTAL(109,Ueberblick42848[technische Publikationen 
zu Prozessen])</f>
        <v>15</v>
      </c>
      <c r="P35" s="17">
        <f>SUBTOTAL(109,Ueberblick42848[Datenportale: Verbrauchs-, 
Wetter-, Preisdaten])</f>
        <v>13</v>
      </c>
      <c r="Q35" s="17">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34" sqref="A3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1360</v>
      </c>
      <c r="C2" s="41" t="s">
        <v>1367</v>
      </c>
      <c r="D2" s="41" t="s">
        <v>1361</v>
      </c>
      <c r="E2" s="41" t="s">
        <v>1430</v>
      </c>
      <c r="F2" s="41" t="s">
        <v>1352</v>
      </c>
      <c r="G2" s="41" t="s">
        <v>1353</v>
      </c>
      <c r="H2" s="41" t="s">
        <v>1382</v>
      </c>
      <c r="I2" s="41" t="s">
        <v>1354</v>
      </c>
      <c r="J2" s="41" t="s">
        <v>1355</v>
      </c>
      <c r="K2" s="41" t="s">
        <v>1356</v>
      </c>
      <c r="L2" s="41" t="s">
        <v>1357</v>
      </c>
      <c r="M2" s="41" t="s">
        <v>1309</v>
      </c>
      <c r="N2" s="41" t="s">
        <v>1336</v>
      </c>
      <c r="O2" s="41" t="s">
        <v>1358</v>
      </c>
      <c r="P2" s="41" t="s">
        <v>1431</v>
      </c>
      <c r="Q2" s="41" t="s">
        <v>1359</v>
      </c>
      <c r="R2" s="3" t="s">
        <v>104</v>
      </c>
    </row>
    <row r="3" spans="1:18" x14ac:dyDescent="0.25">
      <c r="A3" s="6" t="str">
        <f>Ueberblick42848[[#This Row],[Kurzbeleg]]</f>
        <v>Ape12</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Ary17</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Aus18</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Blu13</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Foc11</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Gil15</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Gob12</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Gro13</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Gru17</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Haa17</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Hei21</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Hen15</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Jet21</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Klo09</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Klo13</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Krz13</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Lad18</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Lan15</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Lie15</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Mae18</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Mol10</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Mue19</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Pau11</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Pel16</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r2b14</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6" t="str">
        <f>Ueberblick42848[[#This Row],[Kurzbeleg]]</f>
        <v>Roo10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6" t="str">
        <f>Ueberblick42848[[#This Row],[Kurzbeleg]]</f>
        <v>Sau19</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6" t="str">
        <f>Ueberblick42848[[#This Row],[Kurzbeleg]]</f>
        <v>Sch14</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6" t="str">
        <f>Ueberblick42848[[#This Row],[Kurzbeleg]]</f>
        <v>Sta06</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6" t="str">
        <f>Ueberblick42848[[#This Row],[Kurzbeleg]]</f>
        <v>Ste17</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6" t="str">
        <f>Ueberblick42848[[#This Row],[Kurzbeleg]]</f>
        <v>Sty15</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6" t="str">
        <f>Ueberblick42848[[#This Row],[Kurzbeleg]]</f>
        <v>Woh20</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7">
        <f>Ueberblick42848[[#Totals],[öffentliche Statistiken]]</f>
        <v>24</v>
      </c>
      <c r="C35" s="17">
        <f>Ueberblick42848[[#Totals],[Energiverbrauchsstatistik]]</f>
        <v>16</v>
      </c>
      <c r="D35" s="17">
        <f>Ueberblick42848[[#Totals],[Smart Metering- und 
Lastamanagementfeldstudien]]</f>
        <v>14</v>
      </c>
      <c r="E35" s="17">
        <f>Ueberblick42848[[#Totals],[methodisch fokussierte Paper]]</f>
        <v>12</v>
      </c>
      <c r="F35" s="17">
        <f>Ueberblick42848[[#Totals],[Lastmanagementpotenzialstudien]]</f>
        <v>31</v>
      </c>
      <c r="G35" s="17">
        <f>Ueberblick42848[[#Totals],[Lastprofilgeneratoren]]</f>
        <v>2</v>
      </c>
      <c r="H35" s="17">
        <f>Ueberblick42848[[#Totals],[VNB-Daten (z. B. 
Einspeisemanagement)]]</f>
        <v>6</v>
      </c>
      <c r="I35" s="17">
        <f>Ueberblick42848[[#Totals],[sozialwissenschaftliche Studien]]</f>
        <v>3</v>
      </c>
      <c r="J35" s="17">
        <f>Ueberblick42848[[#Totals],[Branchen- und Verbandsstatistiken]]</f>
        <v>18</v>
      </c>
      <c r="K35" s="17">
        <f>Ueberblick42848[[#Totals],[reale Lastgangdaten]]</f>
        <v>8</v>
      </c>
      <c r="L35" s="17">
        <f>Ueberblick42848[[#Totals],[eigene Datenbasis / Datenbank]]</f>
        <v>12</v>
      </c>
      <c r="M35" s="17">
        <f>Ueberblick42848[[#Totals],[Energiesystemanalysen]]</f>
        <v>9</v>
      </c>
      <c r="N35" s="17">
        <f>Ueberblick42848[[#Totals],[Herstellerangaben]]</f>
        <v>3</v>
      </c>
      <c r="O35" s="17">
        <f>Ueberblick42848[[#Totals],[technische Publikationen 
zu Prozessen]]</f>
        <v>15</v>
      </c>
      <c r="P35" s="17">
        <f>Ueberblick42848[[#Totals],[Datenportale: Verbrauchs-, 
Wetter-, Preisdaten]]</f>
        <v>13</v>
      </c>
      <c r="Q35" s="17">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3" sqref="B3"/>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9" t="s">
        <v>158</v>
      </c>
      <c r="F1" s="3" t="s">
        <v>158</v>
      </c>
    </row>
    <row r="2" spans="1:6" ht="131.25" customHeight="1" x14ac:dyDescent="0.25">
      <c r="A2" s="74" t="s">
        <v>1</v>
      </c>
      <c r="B2" s="49" t="s">
        <v>109</v>
      </c>
      <c r="C2" s="49" t="s">
        <v>110</v>
      </c>
      <c r="D2" s="49" t="s">
        <v>213</v>
      </c>
      <c r="E2" s="50" t="s">
        <v>157</v>
      </c>
      <c r="F2" s="41" t="s">
        <v>270</v>
      </c>
    </row>
    <row r="3" spans="1:6" ht="25.5" x14ac:dyDescent="0.25">
      <c r="A3" s="33" t="str">
        <f>Ueberblick[[#This Row],[Kürzel]]</f>
        <v>Ape12</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Ary17</v>
      </c>
      <c r="B4" s="40">
        <f>IF(Tabelle51[[#Headers],[Modellierung (Simulation)]]=Ueberblick[[#This Row],[analytischer Ansatz zur Verwertung technischer Potenziale]],1,0)</f>
        <v>1</v>
      </c>
      <c r="C4" s="57">
        <f>IF(Tabelle51[[#Headers],[Modellierung (Optimierung)]]=Ueberblick[[#This Row],[analytischer Ansatz zur Verwertung technischer Potenziale]],1,0)</f>
        <v>0</v>
      </c>
      <c r="D4" s="57">
        <f>IF(Tabelle51[[#Headers],[Wirtschaftlichkeitsabschätzung]]=Ueberblick[[#This Row],[analytischer Ansatz zur Verwertung technischer Potenziale]],1,0)</f>
        <v>0</v>
      </c>
      <c r="E4" s="77">
        <f>IF(Tabelle51[[#Headers],[keine Verwertung]]=Ueberblick[[#This Row],[analytischer Ansatz zur Verwertung technischer Potenziale]],1,0)</f>
        <v>0</v>
      </c>
      <c r="F4" s="57">
        <f>IF(Tabelle51[[#Headers],[kombinierter Ansatz]]=Ueberblick[[#This Row],[analytischer Ansatz zur Verwertung technischer Potenziale]],1,0)</f>
        <v>0</v>
      </c>
    </row>
    <row r="5" spans="1:6" x14ac:dyDescent="0.25">
      <c r="A5" s="33" t="str">
        <f>Ueberblick[[#This Row],[Kürzel]]</f>
        <v>Aus18</v>
      </c>
      <c r="B5" s="40">
        <f>IF(Tabelle51[[#Headers],[Modellierung (Simulation)]]=Ueberblick[[#This Row],[analytischer Ansatz zur Verwertung technischer Potenziale]],1,0)</f>
        <v>0</v>
      </c>
      <c r="C5" s="57">
        <f>IF(Tabelle51[[#Headers],[Modellierung (Optimierung)]]=Ueberblick[[#This Row],[analytischer Ansatz zur Verwertung technischer Potenziale]],1,0)</f>
        <v>0</v>
      </c>
      <c r="D5" s="57">
        <f>IF(Tabelle51[[#Headers],[Wirtschaftlichkeitsabschätzung]]=Ueberblick[[#This Row],[analytischer Ansatz zur Verwertung technischer Potenziale]],1,0)</f>
        <v>0</v>
      </c>
      <c r="E5" s="77">
        <f>IF(Tabelle51[[#Headers],[keine Verwertung]]=Ueberblick[[#This Row],[analytischer Ansatz zur Verwertung technischer Potenziale]],1,0)</f>
        <v>1</v>
      </c>
      <c r="F5" s="57">
        <f>IF(Tabelle51[[#Headers],[kombinierter Ansatz]]=Ueberblick[[#This Row],[analytischer Ansatz zur Verwertung technischer Potenziale]],1,0)</f>
        <v>0</v>
      </c>
    </row>
    <row r="6" spans="1:6" x14ac:dyDescent="0.25">
      <c r="A6" s="33" t="str">
        <f>Ueberblick[[#This Row],[Kürzel]]</f>
        <v>Blu13</v>
      </c>
      <c r="B6" s="40">
        <f>IF(Tabelle51[[#Headers],[Modellierung (Simulation)]]=Ueberblick[[#This Row],[analytischer Ansatz zur Verwertung technischer Potenziale]],1,0)</f>
        <v>0</v>
      </c>
      <c r="C6" s="57">
        <f>IF(Tabelle51[[#Headers],[Modellierung (Optimierung)]]=Ueberblick[[#This Row],[analytischer Ansatz zur Verwertung technischer Potenziale]],1,0)</f>
        <v>0</v>
      </c>
      <c r="D6" s="57">
        <f>IF(Tabelle51[[#Headers],[Wirtschaftlichkeitsabschätzung]]=Ueberblick[[#This Row],[analytischer Ansatz zur Verwertung technischer Potenziale]],1,0)</f>
        <v>1</v>
      </c>
      <c r="E6" s="77">
        <f>IF(Tabelle51[[#Headers],[keine Verwertung]]=Ueberblick[[#This Row],[analytischer Ansatz zur Verwertung technischer Potenziale]],1,0)</f>
        <v>0</v>
      </c>
      <c r="F6" s="57">
        <f>IF(Tabelle51[[#Headers],[kombinierter Ansatz]]=Ueberblick[[#This Row],[analytischer Ansatz zur Verwertung technischer Potenziale]],1,0)</f>
        <v>0</v>
      </c>
    </row>
    <row r="7" spans="1:6" x14ac:dyDescent="0.25">
      <c r="A7" s="33" t="str">
        <f>Ueberblick[[#This Row],[Kürzel]]</f>
        <v>Foc11</v>
      </c>
      <c r="B7" s="40">
        <f>IF(Tabelle51[[#Headers],[Modellierung (Simulation)]]=Ueberblick[[#This Row],[analytischer Ansatz zur Verwertung technischer Potenziale]],1,0)</f>
        <v>0</v>
      </c>
      <c r="C7" s="57">
        <f>IF(Tabelle51[[#Headers],[Modellierung (Optimierung)]]=Ueberblick[[#This Row],[analytischer Ansatz zur Verwertung technischer Potenziale]],1,0)</f>
        <v>0</v>
      </c>
      <c r="D7" s="57">
        <f>IF(Tabelle51[[#Headers],[Wirtschaftlichkeitsabschätzung]]=Ueberblick[[#This Row],[analytischer Ansatz zur Verwertung technischer Potenziale]],1,0)</f>
        <v>0</v>
      </c>
      <c r="E7" s="77">
        <f>IF(Tabelle51[[#Headers],[keine Verwertung]]=Ueberblick[[#This Row],[analytischer Ansatz zur Verwertung technischer Potenziale]],1,0)</f>
        <v>1</v>
      </c>
      <c r="F7" s="57">
        <f>IF(Tabelle51[[#Headers],[kombinierter Ansatz]]=Ueberblick[[#This Row],[analytischer Ansatz zur Verwertung technischer Potenziale]],1,0)</f>
        <v>0</v>
      </c>
    </row>
    <row r="8" spans="1:6" x14ac:dyDescent="0.25">
      <c r="A8" s="33" t="str">
        <f>Ueberblick[[#This Row],[Kürzel]]</f>
        <v>Gil15</v>
      </c>
      <c r="B8" s="40">
        <f>IF(Tabelle51[[#Headers],[Modellierung (Simulation)]]=Ueberblick[[#This Row],[analytischer Ansatz zur Verwertung technischer Potenziale]],1,0)</f>
        <v>0</v>
      </c>
      <c r="C8" s="57">
        <f>IF(Tabelle51[[#Headers],[Modellierung (Optimierung)]]=Ueberblick[[#This Row],[analytischer Ansatz zur Verwertung technischer Potenziale]],1,0)</f>
        <v>1</v>
      </c>
      <c r="D8" s="57">
        <f>IF(Tabelle51[[#Headers],[Wirtschaftlichkeitsabschätzung]]=Ueberblick[[#This Row],[analytischer Ansatz zur Verwertung technischer Potenziale]],1,0)</f>
        <v>0</v>
      </c>
      <c r="E8" s="77">
        <f>IF(Tabelle51[[#Headers],[keine Verwertung]]=Ueberblick[[#This Row],[analytischer Ansatz zur Verwertung technischer Potenziale]],1,0)</f>
        <v>0</v>
      </c>
      <c r="F8" s="57">
        <f>IF(Tabelle51[[#Headers],[kombinierter Ansatz]]=Ueberblick[[#This Row],[analytischer Ansatz zur Verwertung technischer Potenziale]],1,0)</f>
        <v>0</v>
      </c>
    </row>
    <row r="9" spans="1:6" x14ac:dyDescent="0.25">
      <c r="A9" s="33" t="str">
        <f>Ueberblick[[#This Row],[Kürzel]]</f>
        <v>Gob12</v>
      </c>
      <c r="B9" s="40">
        <f>IF(Tabelle51[[#Headers],[Modellierung (Simulation)]]=Ueberblick[[#This Row],[analytischer Ansatz zur Verwertung technischer Potenziale]],1,0)</f>
        <v>1</v>
      </c>
      <c r="C9" s="57">
        <f>IF(Tabelle51[[#Headers],[Modellierung (Optimierung)]]=Ueberblick[[#This Row],[analytischer Ansatz zur Verwertung technischer Potenziale]],1,0)</f>
        <v>0</v>
      </c>
      <c r="D9" s="57">
        <f>IF(Tabelle51[[#Headers],[Wirtschaftlichkeitsabschätzung]]=Ueberblick[[#This Row],[analytischer Ansatz zur Verwertung technischer Potenziale]],1,0)</f>
        <v>0</v>
      </c>
      <c r="E9" s="77">
        <f>IF(Tabelle51[[#Headers],[keine Verwertung]]=Ueberblick[[#This Row],[analytischer Ansatz zur Verwertung technischer Potenziale]],1,0)</f>
        <v>0</v>
      </c>
      <c r="F9" s="57">
        <f>IF(Tabelle51[[#Headers],[kombinierter Ansatz]]=Ueberblick[[#This Row],[analytischer Ansatz zur Verwertung technischer Potenziale]],1,0)</f>
        <v>0</v>
      </c>
    </row>
    <row r="10" spans="1:6" x14ac:dyDescent="0.25">
      <c r="A10" s="33" t="str">
        <f>Ueberblick[[#This Row],[Kürzel]]</f>
        <v>Gro13</v>
      </c>
      <c r="B10" s="40">
        <f>IF(Tabelle51[[#Headers],[Modellierung (Simulation)]]=Ueberblick[[#This Row],[analytischer Ansatz zur Verwertung technischer Potenziale]],1,0)</f>
        <v>0</v>
      </c>
      <c r="C10" s="57">
        <f>IF(Tabelle51[[#Headers],[Modellierung (Optimierung)]]=Ueberblick[[#This Row],[analytischer Ansatz zur Verwertung technischer Potenziale]],1,0)</f>
        <v>1</v>
      </c>
      <c r="D10" s="57">
        <f>IF(Tabelle51[[#Headers],[Wirtschaftlichkeitsabschätzung]]=Ueberblick[[#This Row],[analytischer Ansatz zur Verwertung technischer Potenziale]],1,0)</f>
        <v>0</v>
      </c>
      <c r="E10" s="77">
        <f>IF(Tabelle51[[#Headers],[keine Verwertung]]=Ueberblick[[#This Row],[analytischer Ansatz zur Verwertung technischer Potenziale]],1,0)</f>
        <v>0</v>
      </c>
      <c r="F10" s="57">
        <f>IF(Tabelle51[[#Headers],[kombinierter Ansatz]]=Ueberblick[[#This Row],[analytischer Ansatz zur Verwertung technischer Potenziale]],1,0)</f>
        <v>0</v>
      </c>
    </row>
    <row r="11" spans="1:6" x14ac:dyDescent="0.25">
      <c r="A11" s="33" t="str">
        <f>Ueberblick[[#This Row],[Kürzel]]</f>
        <v>Gru17</v>
      </c>
      <c r="B11" s="40">
        <f>IF(Tabelle51[[#Headers],[Modellierung (Simulation)]]=Ueberblick[[#This Row],[analytischer Ansatz zur Verwertung technischer Potenziale]],1,0)</f>
        <v>1</v>
      </c>
      <c r="C11" s="57">
        <f>IF(Tabelle51[[#Headers],[Modellierung (Optimierung)]]=Ueberblick[[#This Row],[analytischer Ansatz zur Verwertung technischer Potenziale]],1,0)</f>
        <v>0</v>
      </c>
      <c r="D11" s="57">
        <f>IF(Tabelle51[[#Headers],[Wirtschaftlichkeitsabschätzung]]=Ueberblick[[#This Row],[analytischer Ansatz zur Verwertung technischer Potenziale]],1,0)</f>
        <v>0</v>
      </c>
      <c r="E11" s="77">
        <f>IF(Tabelle51[[#Headers],[keine Verwertung]]=Ueberblick[[#This Row],[analytischer Ansatz zur Verwertung technischer Potenziale]],1,0)</f>
        <v>0</v>
      </c>
      <c r="F11" s="57">
        <f>IF(Tabelle51[[#Headers],[kombinierter Ansatz]]=Ueberblick[[#This Row],[analytischer Ansatz zur Verwertung technischer Potenziale]],1,0)</f>
        <v>0</v>
      </c>
    </row>
    <row r="12" spans="1:6" x14ac:dyDescent="0.25">
      <c r="A12" s="33" t="str">
        <f>Ueberblick[[#This Row],[Kürzel]]</f>
        <v>Haa17</v>
      </c>
      <c r="B12" s="40">
        <f>IF(Tabelle51[[#Headers],[Modellierung (Simulation)]]=Ueberblick[[#This Row],[analytischer Ansatz zur Verwertung technischer Potenziale]],1,0)</f>
        <v>0</v>
      </c>
      <c r="C12" s="57">
        <f>IF(Tabelle51[[#Headers],[Modellierung (Optimierung)]]=Ueberblick[[#This Row],[analytischer Ansatz zur Verwertung technischer Potenziale]],1,0)</f>
        <v>1</v>
      </c>
      <c r="D12" s="57">
        <f>IF(Tabelle51[[#Headers],[Wirtschaftlichkeitsabschätzung]]=Ueberblick[[#This Row],[analytischer Ansatz zur Verwertung technischer Potenziale]],1,0)</f>
        <v>0</v>
      </c>
      <c r="E12" s="77">
        <f>IF(Tabelle51[[#Headers],[keine Verwertung]]=Ueberblick[[#This Row],[analytischer Ansatz zur Verwertung technischer Potenziale]],1,0)</f>
        <v>0</v>
      </c>
      <c r="F12" s="57">
        <f>IF(Tabelle51[[#Headers],[kombinierter Ansatz]]=Ueberblick[[#This Row],[analytischer Ansatz zur Verwertung technischer Potenziale]],1,0)</f>
        <v>0</v>
      </c>
    </row>
    <row r="13" spans="1:6" x14ac:dyDescent="0.25">
      <c r="A13" s="33" t="str">
        <f>Ueberblick[[#This Row],[Kürzel]]</f>
        <v>Hei21</v>
      </c>
      <c r="B13" s="40">
        <f>IF(Tabelle51[[#Headers],[Modellierung (Simulation)]]=Ueberblick[[#This Row],[analytischer Ansatz zur Verwertung technischer Potenziale]],1,0)</f>
        <v>0</v>
      </c>
      <c r="C13" s="57">
        <f>IF(Tabelle51[[#Headers],[Modellierung (Optimierung)]]=Ueberblick[[#This Row],[analytischer Ansatz zur Verwertung technischer Potenziale]],1,0)</f>
        <v>1</v>
      </c>
      <c r="D13" s="57">
        <f>IF(Tabelle51[[#Headers],[Wirtschaftlichkeitsabschätzung]]=Ueberblick[[#This Row],[analytischer Ansatz zur Verwertung technischer Potenziale]],1,0)</f>
        <v>0</v>
      </c>
      <c r="E13" s="77">
        <f>IF(Tabelle51[[#Headers],[keine Verwertung]]=Ueberblick[[#This Row],[analytischer Ansatz zur Verwertung technischer Potenziale]],1,0)</f>
        <v>0</v>
      </c>
      <c r="F13" s="57">
        <f>IF(Tabelle51[[#Headers],[kombinierter Ansatz]]=Ueberblick[[#This Row],[analytischer Ansatz zur Verwertung technischer Potenziale]],1,0)</f>
        <v>0</v>
      </c>
    </row>
    <row r="14" spans="1:6" x14ac:dyDescent="0.25">
      <c r="A14" s="33" t="str">
        <f>Ueberblick[[#This Row],[Kürzel]]</f>
        <v>Hen15</v>
      </c>
      <c r="B14" s="40">
        <f>IF(Tabelle51[[#Headers],[Modellierung (Simulation)]]=Ueberblick[[#This Row],[analytischer Ansatz zur Verwertung technischer Potenziale]],1,0)</f>
        <v>0</v>
      </c>
      <c r="C14" s="57">
        <f>IF(Tabelle51[[#Headers],[Modellierung (Optimierung)]]=Ueberblick[[#This Row],[analytischer Ansatz zur Verwertung technischer Potenziale]],1,0)</f>
        <v>1</v>
      </c>
      <c r="D14" s="57">
        <f>IF(Tabelle51[[#Headers],[Wirtschaftlichkeitsabschätzung]]=Ueberblick[[#This Row],[analytischer Ansatz zur Verwertung technischer Potenziale]],1,0)</f>
        <v>0</v>
      </c>
      <c r="E14" s="77">
        <f>IF(Tabelle51[[#Headers],[keine Verwertung]]=Ueberblick[[#This Row],[analytischer Ansatz zur Verwertung technischer Potenziale]],1,0)</f>
        <v>0</v>
      </c>
      <c r="F14" s="57">
        <f>IF(Tabelle51[[#Headers],[kombinierter Ansatz]]=Ueberblick[[#This Row],[analytischer Ansatz zur Verwertung technischer Potenziale]],1,0)</f>
        <v>0</v>
      </c>
    </row>
    <row r="15" spans="1:6" x14ac:dyDescent="0.25">
      <c r="A15" s="33" t="str">
        <f>Ueberblick[[#This Row],[Kürzel]]</f>
        <v>Jet21</v>
      </c>
      <c r="B15" s="40">
        <f>IF(Tabelle51[[#Headers],[Modellierung (Simulation)]]=Ueberblick[[#This Row],[analytischer Ansatz zur Verwertung technischer Potenziale]],1,0)</f>
        <v>1</v>
      </c>
      <c r="C15" s="57">
        <f>IF(Tabelle51[[#Headers],[Modellierung (Optimierung)]]=Ueberblick[[#This Row],[analytischer Ansatz zur Verwertung technischer Potenziale]],1,0)</f>
        <v>0</v>
      </c>
      <c r="D15" s="57">
        <f>IF(Tabelle51[[#Headers],[Wirtschaftlichkeitsabschätzung]]=Ueberblick[[#This Row],[analytischer Ansatz zur Verwertung technischer Potenziale]],1,0)</f>
        <v>0</v>
      </c>
      <c r="E15" s="77">
        <f>IF(Tabelle51[[#Headers],[keine Verwertung]]=Ueberblick[[#This Row],[analytischer Ansatz zur Verwertung technischer Potenziale]],1,0)</f>
        <v>0</v>
      </c>
      <c r="F15" s="57">
        <f>IF(Tabelle51[[#Headers],[kombinierter Ansatz]]=Ueberblick[[#This Row],[analytischer Ansatz zur Verwertung technischer Potenziale]],1,0)</f>
        <v>0</v>
      </c>
    </row>
    <row r="16" spans="1:6" x14ac:dyDescent="0.25">
      <c r="A16" s="33" t="str">
        <f>Ueberblick[[#This Row],[Kürzel]]</f>
        <v>Klo09</v>
      </c>
      <c r="B16" s="40">
        <f>IF(Tabelle51[[#Headers],[Modellierung (Simulation)]]=Ueberblick[[#This Row],[analytischer Ansatz zur Verwertung technischer Potenziale]],1,0)</f>
        <v>1</v>
      </c>
      <c r="C16" s="57">
        <f>IF(Tabelle51[[#Headers],[Modellierung (Optimierung)]]=Ueberblick[[#This Row],[analytischer Ansatz zur Verwertung technischer Potenziale]],1,0)</f>
        <v>0</v>
      </c>
      <c r="D16" s="57">
        <f>IF(Tabelle51[[#Headers],[Wirtschaftlichkeitsabschätzung]]=Ueberblick[[#This Row],[analytischer Ansatz zur Verwertung technischer Potenziale]],1,0)</f>
        <v>0</v>
      </c>
      <c r="E16" s="77">
        <f>IF(Tabelle51[[#Headers],[keine Verwertung]]=Ueberblick[[#This Row],[analytischer Ansatz zur Verwertung technischer Potenziale]],1,0)</f>
        <v>0</v>
      </c>
      <c r="F16" s="57">
        <f>IF(Tabelle51[[#Headers],[kombinierter Ansatz]]=Ueberblick[[#This Row],[analytischer Ansatz zur Verwertung technischer Potenziale]],1,0)</f>
        <v>0</v>
      </c>
    </row>
    <row r="17" spans="1:6" x14ac:dyDescent="0.25">
      <c r="A17" s="33" t="str">
        <f>Ueberblick[[#This Row],[Kürzel]]</f>
        <v>Klo13</v>
      </c>
      <c r="B17" s="40">
        <f>IF(Tabelle51[[#Headers],[Modellierung (Simulation)]]=Ueberblick[[#This Row],[analytischer Ansatz zur Verwertung technischer Potenziale]],1,0)</f>
        <v>0</v>
      </c>
      <c r="C17" s="57">
        <f>IF(Tabelle51[[#Headers],[Modellierung (Optimierung)]]=Ueberblick[[#This Row],[analytischer Ansatz zur Verwertung technischer Potenziale]],1,0)</f>
        <v>0</v>
      </c>
      <c r="D17" s="57">
        <f>IF(Tabelle51[[#Headers],[Wirtschaftlichkeitsabschätzung]]=Ueberblick[[#This Row],[analytischer Ansatz zur Verwertung technischer Potenziale]],1,0)</f>
        <v>1</v>
      </c>
      <c r="E17" s="77">
        <f>IF(Tabelle51[[#Headers],[keine Verwertung]]=Ueberblick[[#This Row],[analytischer Ansatz zur Verwertung technischer Potenziale]],1,0)</f>
        <v>0</v>
      </c>
      <c r="F17" s="57">
        <f>IF(Tabelle51[[#Headers],[kombinierter Ansatz]]=Ueberblick[[#This Row],[analytischer Ansatz zur Verwertung technischer Potenziale]],1,0)</f>
        <v>0</v>
      </c>
    </row>
    <row r="18" spans="1:6" x14ac:dyDescent="0.25">
      <c r="A18" s="33" t="str">
        <f>Ueberblick[[#This Row],[Kürzel]]</f>
        <v>Krz13</v>
      </c>
      <c r="B18" s="40">
        <f>IF(Tabelle51[[#Headers],[Modellierung (Simulation)]]=Ueberblick[[#This Row],[analytischer Ansatz zur Verwertung technischer Potenziale]],1,0)</f>
        <v>0</v>
      </c>
      <c r="C18" s="57">
        <f>IF(Tabelle51[[#Headers],[Modellierung (Optimierung)]]=Ueberblick[[#This Row],[analytischer Ansatz zur Verwertung technischer Potenziale]],1,0)</f>
        <v>0</v>
      </c>
      <c r="D18" s="57">
        <f>IF(Tabelle51[[#Headers],[Wirtschaftlichkeitsabschätzung]]=Ueberblick[[#This Row],[analytischer Ansatz zur Verwertung technischer Potenziale]],1,0)</f>
        <v>0</v>
      </c>
      <c r="E18" s="77">
        <f>IF(Tabelle51[[#Headers],[keine Verwertung]]=Ueberblick[[#This Row],[analytischer Ansatz zur Verwertung technischer Potenziale]],1,0)</f>
        <v>1</v>
      </c>
      <c r="F18" s="57">
        <f>IF(Tabelle51[[#Headers],[kombinierter Ansatz]]=Ueberblick[[#This Row],[analytischer Ansatz zur Verwertung technischer Potenziale]],1,0)</f>
        <v>0</v>
      </c>
    </row>
    <row r="19" spans="1:6" x14ac:dyDescent="0.25">
      <c r="A19" s="33" t="str">
        <f>Ueberblick[[#This Row],[Kürzel]]</f>
        <v>Lad18</v>
      </c>
      <c r="B19" s="40">
        <f>IF(Tabelle51[[#Headers],[Modellierung (Simulation)]]=Ueberblick[[#This Row],[analytischer Ansatz zur Verwertung technischer Potenziale]],1,0)</f>
        <v>0</v>
      </c>
      <c r="C19" s="57">
        <f>IF(Tabelle51[[#Headers],[Modellierung (Optimierung)]]=Ueberblick[[#This Row],[analytischer Ansatz zur Verwertung technischer Potenziale]],1,0)</f>
        <v>1</v>
      </c>
      <c r="D19" s="57">
        <f>IF(Tabelle51[[#Headers],[Wirtschaftlichkeitsabschätzung]]=Ueberblick[[#This Row],[analytischer Ansatz zur Verwertung technischer Potenziale]],1,0)</f>
        <v>0</v>
      </c>
      <c r="E19" s="77">
        <f>IF(Tabelle51[[#Headers],[keine Verwertung]]=Ueberblick[[#This Row],[analytischer Ansatz zur Verwertung technischer Potenziale]],1,0)</f>
        <v>0</v>
      </c>
      <c r="F19" s="57">
        <f>IF(Tabelle51[[#Headers],[kombinierter Ansatz]]=Ueberblick[[#This Row],[analytischer Ansatz zur Verwertung technischer Potenziale]],1,0)</f>
        <v>0</v>
      </c>
    </row>
    <row r="20" spans="1:6" x14ac:dyDescent="0.25">
      <c r="A20" s="33" t="str">
        <f>Ueberblick[[#This Row],[Kürzel]]</f>
        <v>Lan15</v>
      </c>
      <c r="B20" s="40">
        <f>IF(Tabelle51[[#Headers],[Modellierung (Simulation)]]=Ueberblick[[#This Row],[analytischer Ansatz zur Verwertung technischer Potenziale]],1,0)</f>
        <v>0</v>
      </c>
      <c r="C20" s="57">
        <f>IF(Tabelle51[[#Headers],[Modellierung (Optimierung)]]=Ueberblick[[#This Row],[analytischer Ansatz zur Verwertung technischer Potenziale]],1,0)</f>
        <v>0</v>
      </c>
      <c r="D20" s="57">
        <f>IF(Tabelle51[[#Headers],[Wirtschaftlichkeitsabschätzung]]=Ueberblick[[#This Row],[analytischer Ansatz zur Verwertung technischer Potenziale]],1,0)</f>
        <v>0</v>
      </c>
      <c r="E20" s="77">
        <f>IF(Tabelle51[[#Headers],[keine Verwertung]]=Ueberblick[[#This Row],[analytischer Ansatz zur Verwertung technischer Potenziale]],1,0)</f>
        <v>1</v>
      </c>
      <c r="F20" s="57">
        <f>IF(Tabelle51[[#Headers],[kombinierter Ansatz]]=Ueberblick[[#This Row],[analytischer Ansatz zur Verwertung technischer Potenziale]],1,0)</f>
        <v>0</v>
      </c>
    </row>
    <row r="21" spans="1:6" x14ac:dyDescent="0.25">
      <c r="A21" s="33" t="str">
        <f>Ueberblick[[#This Row],[Kürzel]]</f>
        <v>Lie15</v>
      </c>
      <c r="B21" s="40">
        <f>IF(Tabelle51[[#Headers],[Modellierung (Simulation)]]=Ueberblick[[#This Row],[analytischer Ansatz zur Verwertung technischer Potenziale]],1,0)</f>
        <v>0</v>
      </c>
      <c r="C21" s="57">
        <f>IF(Tabelle51[[#Headers],[Modellierung (Optimierung)]]=Ueberblick[[#This Row],[analytischer Ansatz zur Verwertung technischer Potenziale]],1,0)</f>
        <v>0</v>
      </c>
      <c r="D21" s="57">
        <f>IF(Tabelle51[[#Headers],[Wirtschaftlichkeitsabschätzung]]=Ueberblick[[#This Row],[analytischer Ansatz zur Verwertung technischer Potenziale]],1,0)</f>
        <v>0</v>
      </c>
      <c r="E21" s="77">
        <f>IF(Tabelle51[[#Headers],[keine Verwertung]]=Ueberblick[[#This Row],[analytischer Ansatz zur Verwertung technischer Potenziale]],1,0)</f>
        <v>1</v>
      </c>
      <c r="F21" s="57">
        <f>IF(Tabelle51[[#Headers],[kombinierter Ansatz]]=Ueberblick[[#This Row],[analytischer Ansatz zur Verwertung technischer Potenziale]],1,0)</f>
        <v>0</v>
      </c>
    </row>
    <row r="22" spans="1:6" x14ac:dyDescent="0.25">
      <c r="A22" s="33" t="str">
        <f>Ueberblick[[#This Row],[Kürzel]]</f>
        <v>Mae18</v>
      </c>
      <c r="B22" s="40">
        <f>IF(Tabelle51[[#Headers],[Modellierung (Simulation)]]=Ueberblick[[#This Row],[analytischer Ansatz zur Verwertung technischer Potenziale]],1,0)</f>
        <v>0</v>
      </c>
      <c r="C22" s="57">
        <f>IF(Tabelle51[[#Headers],[Modellierung (Optimierung)]]=Ueberblick[[#This Row],[analytischer Ansatz zur Verwertung technischer Potenziale]],1,0)</f>
        <v>1</v>
      </c>
      <c r="D22" s="57">
        <f>IF(Tabelle51[[#Headers],[Wirtschaftlichkeitsabschätzung]]=Ueberblick[[#This Row],[analytischer Ansatz zur Verwertung technischer Potenziale]],1,0)</f>
        <v>0</v>
      </c>
      <c r="E22" s="77">
        <f>IF(Tabelle51[[#Headers],[keine Verwertung]]=Ueberblick[[#This Row],[analytischer Ansatz zur Verwertung technischer Potenziale]],1,0)</f>
        <v>0</v>
      </c>
      <c r="F22" s="57">
        <f>IF(Tabelle51[[#Headers],[kombinierter Ansatz]]=Ueberblick[[#This Row],[analytischer Ansatz zur Verwertung technischer Potenziale]],1,0)</f>
        <v>0</v>
      </c>
    </row>
    <row r="23" spans="1:6" x14ac:dyDescent="0.25">
      <c r="A23" s="33" t="str">
        <f>Ueberblick[[#This Row],[Kürzel]]</f>
        <v>Mol10</v>
      </c>
      <c r="B23" s="40">
        <f>IF(Tabelle51[[#Headers],[Modellierung (Simulation)]]=Ueberblick[[#This Row],[analytischer Ansatz zur Verwertung technischer Potenziale]],1,0)</f>
        <v>0</v>
      </c>
      <c r="C23" s="57">
        <f>IF(Tabelle51[[#Headers],[Modellierung (Optimierung)]]=Ueberblick[[#This Row],[analytischer Ansatz zur Verwertung technischer Potenziale]],1,0)</f>
        <v>1</v>
      </c>
      <c r="D23" s="57">
        <f>IF(Tabelle51[[#Headers],[Wirtschaftlichkeitsabschätzung]]=Ueberblick[[#This Row],[analytischer Ansatz zur Verwertung technischer Potenziale]],1,0)</f>
        <v>0</v>
      </c>
      <c r="E23" s="77">
        <f>IF(Tabelle51[[#Headers],[keine Verwertung]]=Ueberblick[[#This Row],[analytischer Ansatz zur Verwertung technischer Potenziale]],1,0)</f>
        <v>0</v>
      </c>
      <c r="F23" s="57">
        <f>IF(Tabelle51[[#Headers],[kombinierter Ansatz]]=Ueberblick[[#This Row],[analytischer Ansatz zur Verwertung technischer Potenziale]],1,0)</f>
        <v>0</v>
      </c>
    </row>
    <row r="24" spans="1:6" x14ac:dyDescent="0.25">
      <c r="A24" s="33" t="str">
        <f>Ueberblick[[#This Row],[Kürzel]]</f>
        <v>Mue19</v>
      </c>
      <c r="B24" s="40">
        <f>IF(Tabelle51[[#Headers],[Modellierung (Simulation)]]=Ueberblick[[#This Row],[analytischer Ansatz zur Verwertung technischer Potenziale]],1,0)</f>
        <v>0</v>
      </c>
      <c r="C24" s="57">
        <f>IF(Tabelle51[[#Headers],[Modellierung (Optimierung)]]=Ueberblick[[#This Row],[analytischer Ansatz zur Verwertung technischer Potenziale]],1,0)</f>
        <v>0</v>
      </c>
      <c r="D24" s="57">
        <f>IF(Tabelle51[[#Headers],[Wirtschaftlichkeitsabschätzung]]=Ueberblick[[#This Row],[analytischer Ansatz zur Verwertung technischer Potenziale]],1,0)</f>
        <v>0</v>
      </c>
      <c r="E24" s="77">
        <f>IF(Tabelle51[[#Headers],[keine Verwertung]]=Ueberblick[[#This Row],[analytischer Ansatz zur Verwertung technischer Potenziale]],1,0)</f>
        <v>1</v>
      </c>
      <c r="F24" s="57">
        <f>IF(Tabelle51[[#Headers],[kombinierter Ansatz]]=Ueberblick[[#This Row],[analytischer Ansatz zur Verwertung technischer Potenziale]],1,0)</f>
        <v>0</v>
      </c>
    </row>
    <row r="25" spans="1:6" x14ac:dyDescent="0.25">
      <c r="A25" s="33" t="str">
        <f>Ueberblick[[#This Row],[Kürzel]]</f>
        <v>Pau11</v>
      </c>
      <c r="B25" s="40">
        <f>IF(Tabelle51[[#Headers],[Modellierung (Simulation)]]=Ueberblick[[#This Row],[analytischer Ansatz zur Verwertung technischer Potenziale]],1,0)</f>
        <v>0</v>
      </c>
      <c r="C25" s="57">
        <f>IF(Tabelle51[[#Headers],[Modellierung (Optimierung)]]=Ueberblick[[#This Row],[analytischer Ansatz zur Verwertung technischer Potenziale]],1,0)</f>
        <v>1</v>
      </c>
      <c r="D25" s="57">
        <f>IF(Tabelle51[[#Headers],[Wirtschaftlichkeitsabschätzung]]=Ueberblick[[#This Row],[analytischer Ansatz zur Verwertung technischer Potenziale]],1,0)</f>
        <v>0</v>
      </c>
      <c r="E25" s="77">
        <f>IF(Tabelle51[[#Headers],[keine Verwertung]]=Ueberblick[[#This Row],[analytischer Ansatz zur Verwertung technischer Potenziale]],1,0)</f>
        <v>0</v>
      </c>
      <c r="F25" s="57">
        <f>IF(Tabelle51[[#Headers],[kombinierter Ansatz]]=Ueberblick[[#This Row],[analytischer Ansatz zur Verwertung technischer Potenziale]],1,0)</f>
        <v>0</v>
      </c>
    </row>
    <row r="26" spans="1:6" x14ac:dyDescent="0.25">
      <c r="A26" s="33" t="str">
        <f>Ueberblick[[#This Row],[Kürzel]]</f>
        <v>Pel16</v>
      </c>
      <c r="B26" s="40">
        <f>IF(Tabelle51[[#Headers],[Modellierung (Simulation)]]=Ueberblick[[#This Row],[analytischer Ansatz zur Verwertung technischer Potenziale]],1,0)</f>
        <v>0</v>
      </c>
      <c r="C26" s="57">
        <f>IF(Tabelle51[[#Headers],[Modellierung (Optimierung)]]=Ueberblick[[#This Row],[analytischer Ansatz zur Verwertung technischer Potenziale]],1,0)</f>
        <v>0</v>
      </c>
      <c r="D26" s="57">
        <f>IF(Tabelle51[[#Headers],[Wirtschaftlichkeitsabschätzung]]=Ueberblick[[#This Row],[analytischer Ansatz zur Verwertung technischer Potenziale]],1,0)</f>
        <v>1</v>
      </c>
      <c r="E26" s="77">
        <f>IF(Tabelle51[[#Headers],[keine Verwertung]]=Ueberblick[[#This Row],[analytischer Ansatz zur Verwertung technischer Potenziale]],1,0)</f>
        <v>0</v>
      </c>
      <c r="F26" s="57">
        <f>IF(Tabelle51[[#Headers],[kombinierter Ansatz]]=Ueberblick[[#This Row],[analytischer Ansatz zur Verwertung technischer Potenziale]],1,0)</f>
        <v>0</v>
      </c>
    </row>
    <row r="27" spans="1:6" x14ac:dyDescent="0.25">
      <c r="A27" s="33" t="str">
        <f>Ueberblick[[#This Row],[Kürzel]]</f>
        <v>r2b14</v>
      </c>
      <c r="B27" s="40">
        <f>IF(Tabelle51[[#Headers],[Modellierung (Simulation)]]=Ueberblick[[#This Row],[analytischer Ansatz zur Verwertung technischer Potenziale]],1,0)</f>
        <v>0</v>
      </c>
      <c r="C27" s="57">
        <f>IF(Tabelle51[[#Headers],[Modellierung (Optimierung)]]=Ueberblick[[#This Row],[analytischer Ansatz zur Verwertung technischer Potenziale]],1,0)</f>
        <v>1</v>
      </c>
      <c r="D27" s="57">
        <f>IF(Tabelle51[[#Headers],[Wirtschaftlichkeitsabschätzung]]=Ueberblick[[#This Row],[analytischer Ansatz zur Verwertung technischer Potenziale]],1,0)</f>
        <v>0</v>
      </c>
      <c r="E27" s="77">
        <f>IF(Tabelle51[[#Headers],[keine Verwertung]]=Ueberblick[[#This Row],[analytischer Ansatz zur Verwertung technischer Potenziale]],1,0)</f>
        <v>0</v>
      </c>
      <c r="F27" s="57">
        <f>IF(Tabelle51[[#Headers],[kombinierter Ansatz]]=Ueberblick[[#This Row],[analytischer Ansatz zur Verwertung technischer Potenziale]],1,0)</f>
        <v>0</v>
      </c>
    </row>
    <row r="28" spans="1:6" x14ac:dyDescent="0.25">
      <c r="A28" s="33" t="str">
        <f>Ueberblick[[#This Row],[Kürzel]]</f>
        <v>Roo10</v>
      </c>
      <c r="B28" s="42">
        <f>IF(Tabelle51[[#Headers],[Modellierung (Simulation)]]=Ueberblick[[#This Row],[analytischer Ansatz zur Verwertung technischer Potenziale]],1,0)</f>
        <v>0</v>
      </c>
      <c r="C28" s="122">
        <f>IF(Tabelle51[[#Headers],[Modellierung (Optimierung)]]=Ueberblick[[#This Row],[analytischer Ansatz zur Verwertung technischer Potenziale]],1,0)</f>
        <v>0</v>
      </c>
      <c r="D28" s="122">
        <f>IF(Tabelle51[[#Headers],[Wirtschaftlichkeitsabschätzung]]=Ueberblick[[#This Row],[analytischer Ansatz zur Verwertung technischer Potenziale]],1,0)</f>
        <v>0</v>
      </c>
      <c r="E28" s="123">
        <f>IF(Tabelle51[[#Headers],[keine Verwertung]]=Ueberblick[[#This Row],[analytischer Ansatz zur Verwertung technischer Potenziale]],1,0)</f>
        <v>1</v>
      </c>
      <c r="F28" s="123">
        <f>IF(Tabelle51[[#Headers],[kombinierter Ansatz]]=Ueberblick[[#This Row],[analytischer Ansatz zur Verwertung technischer Potenziale]],1,0)</f>
        <v>0</v>
      </c>
    </row>
    <row r="29" spans="1:6" x14ac:dyDescent="0.25">
      <c r="A29" s="33" t="str">
        <f>Ueberblick[[#This Row],[Kürzel]]</f>
        <v>Sau19</v>
      </c>
      <c r="B29" s="42">
        <f>IF(Tabelle51[[#Headers],[Modellierung (Simulation)]]=Ueberblick[[#This Row],[analytischer Ansatz zur Verwertung technischer Potenziale]],1,0)</f>
        <v>0</v>
      </c>
      <c r="C29" s="122">
        <f>IF(Tabelle51[[#Headers],[Modellierung (Optimierung)]]=Ueberblick[[#This Row],[analytischer Ansatz zur Verwertung technischer Potenziale]],1,0)</f>
        <v>0</v>
      </c>
      <c r="D29" s="122">
        <f>IF(Tabelle51[[#Headers],[Wirtschaftlichkeitsabschätzung]]=Ueberblick[[#This Row],[analytischer Ansatz zur Verwertung technischer Potenziale]],1,0)</f>
        <v>0</v>
      </c>
      <c r="E29" s="123">
        <f>IF(Tabelle51[[#Headers],[keine Verwertung]]=Ueberblick[[#This Row],[analytischer Ansatz zur Verwertung technischer Potenziale]],1,0)</f>
        <v>1</v>
      </c>
      <c r="F29" s="123">
        <f>IF(Tabelle51[[#Headers],[kombinierter Ansatz]]=Ueberblick[[#This Row],[analytischer Ansatz zur Verwertung technischer Potenziale]],1,0)</f>
        <v>0</v>
      </c>
    </row>
    <row r="30" spans="1:6" x14ac:dyDescent="0.25">
      <c r="A30" s="33" t="str">
        <f>Ueberblick[[#This Row],[Kürzel]]</f>
        <v>Sch14</v>
      </c>
      <c r="B30" s="42">
        <f>IF(Tabelle51[[#Headers],[Modellierung (Simulation)]]=Ueberblick[[#This Row],[analytischer Ansatz zur Verwertung technischer Potenziale]],1,0)</f>
        <v>0</v>
      </c>
      <c r="C30" s="122">
        <f>IF(Tabelle51[[#Headers],[Modellierung (Optimierung)]]=Ueberblick[[#This Row],[analytischer Ansatz zur Verwertung technischer Potenziale]],1,0)</f>
        <v>1</v>
      </c>
      <c r="D30" s="122">
        <f>IF(Tabelle51[[#Headers],[Wirtschaftlichkeitsabschätzung]]=Ueberblick[[#This Row],[analytischer Ansatz zur Verwertung technischer Potenziale]],1,0)</f>
        <v>0</v>
      </c>
      <c r="E30" s="123">
        <f>IF(Tabelle51[[#Headers],[keine Verwertung]]=Ueberblick[[#This Row],[analytischer Ansatz zur Verwertung technischer Potenziale]],1,0)</f>
        <v>0</v>
      </c>
      <c r="F30" s="123">
        <f>IF(Tabelle51[[#Headers],[kombinierter Ansatz]]=Ueberblick[[#This Row],[analytischer Ansatz zur Verwertung technischer Potenziale]],1,0)</f>
        <v>0</v>
      </c>
    </row>
    <row r="31" spans="1:6" x14ac:dyDescent="0.25">
      <c r="A31" s="33" t="str">
        <f>Ueberblick[[#This Row],[Kürzel]]</f>
        <v>Sta06</v>
      </c>
      <c r="B31" s="42">
        <f>IF(Tabelle51[[#Headers],[Modellierung (Simulation)]]=Ueberblick[[#This Row],[analytischer Ansatz zur Verwertung technischer Potenziale]],1,0)</f>
        <v>0</v>
      </c>
      <c r="C31" s="122">
        <f>IF(Tabelle51[[#Headers],[Modellierung (Optimierung)]]=Ueberblick[[#This Row],[analytischer Ansatz zur Verwertung technischer Potenziale]],1,0)</f>
        <v>0</v>
      </c>
      <c r="D31" s="122">
        <f>IF(Tabelle51[[#Headers],[Wirtschaftlichkeitsabschätzung]]=Ueberblick[[#This Row],[analytischer Ansatz zur Verwertung technischer Potenziale]],1,0)</f>
        <v>0</v>
      </c>
      <c r="E31" s="123">
        <f>IF(Tabelle51[[#Headers],[keine Verwertung]]=Ueberblick[[#This Row],[analytischer Ansatz zur Verwertung technischer Potenziale]],1,0)</f>
        <v>1</v>
      </c>
      <c r="F31" s="123">
        <f>IF(Tabelle51[[#Headers],[kombinierter Ansatz]]=Ueberblick[[#This Row],[analytischer Ansatz zur Verwertung technischer Potenziale]],1,0)</f>
        <v>0</v>
      </c>
    </row>
    <row r="32" spans="1:6" x14ac:dyDescent="0.25">
      <c r="A32" s="33" t="str">
        <f>Ueberblick[[#This Row],[Kürzel]]</f>
        <v>Ste17</v>
      </c>
      <c r="B32" s="42">
        <f>IF(Tabelle51[[#Headers],[Modellierung (Simulation)]]=Ueberblick[[#This Row],[analytischer Ansatz zur Verwertung technischer Potenziale]],1,0)</f>
        <v>0</v>
      </c>
      <c r="C32" s="122">
        <f>IF(Tabelle51[[#Headers],[Modellierung (Optimierung)]]=Ueberblick[[#This Row],[analytischer Ansatz zur Verwertung technischer Potenziale]],1,0)</f>
        <v>1</v>
      </c>
      <c r="D32" s="122">
        <f>IF(Tabelle51[[#Headers],[Wirtschaftlichkeitsabschätzung]]=Ueberblick[[#This Row],[analytischer Ansatz zur Verwertung technischer Potenziale]],1,0)</f>
        <v>0</v>
      </c>
      <c r="E32" s="123">
        <f>IF(Tabelle51[[#Headers],[keine Verwertung]]=Ueberblick[[#This Row],[analytischer Ansatz zur Verwertung technischer Potenziale]],1,0)</f>
        <v>0</v>
      </c>
      <c r="F32" s="123">
        <f>IF(Tabelle51[[#Headers],[kombinierter Ansatz]]=Ueberblick[[#This Row],[analytischer Ansatz zur Verwertung technischer Potenziale]],1,0)</f>
        <v>0</v>
      </c>
    </row>
    <row r="33" spans="1:6" x14ac:dyDescent="0.25">
      <c r="A33" s="33" t="str">
        <f>Ueberblick[[#This Row],[Kürzel]]</f>
        <v>Sty15</v>
      </c>
      <c r="B33" s="42">
        <f>IF(Tabelle51[[#Headers],[Modellierung (Simulation)]]=Ueberblick[[#This Row],[analytischer Ansatz zur Verwertung technischer Potenziale]],1,0)</f>
        <v>0</v>
      </c>
      <c r="C33" s="122">
        <f>IF(Tabelle51[[#Headers],[Modellierung (Optimierung)]]=Ueberblick[[#This Row],[analytischer Ansatz zur Verwertung technischer Potenziale]],1,0)</f>
        <v>1</v>
      </c>
      <c r="D33" s="122">
        <f>IF(Tabelle51[[#Headers],[Wirtschaftlichkeitsabschätzung]]=Ueberblick[[#This Row],[analytischer Ansatz zur Verwertung technischer Potenziale]],1,0)</f>
        <v>0</v>
      </c>
      <c r="E33" s="123">
        <f>IF(Tabelle51[[#Headers],[keine Verwertung]]=Ueberblick[[#This Row],[analytischer Ansatz zur Verwertung technischer Potenziale]],1,0)</f>
        <v>0</v>
      </c>
      <c r="F33" s="123">
        <f>IF(Tabelle51[[#Headers],[kombinierter Ansatz]]=Ueberblick[[#This Row],[analytischer Ansatz zur Verwertung technischer Potenziale]],1,0)</f>
        <v>0</v>
      </c>
    </row>
    <row r="34" spans="1:6" x14ac:dyDescent="0.25">
      <c r="A34" s="33" t="str">
        <f>Ueberblick[[#This Row],[Kürzel]]</f>
        <v>Woh20</v>
      </c>
      <c r="B34" s="42">
        <f>IF(Tabelle51[[#Headers],[Modellierung (Simulation)]]=Ueberblick[[#This Row],[analytischer Ansatz zur Verwertung technischer Potenziale]],1,0)</f>
        <v>0</v>
      </c>
      <c r="C34" s="122">
        <f>IF(Tabelle51[[#Headers],[Modellierung (Optimierung)]]=Ueberblick[[#This Row],[analytischer Ansatz zur Verwertung technischer Potenziale]],1,0)</f>
        <v>0</v>
      </c>
      <c r="D34" s="122">
        <f>IF(Tabelle51[[#Headers],[Wirtschaftlichkeitsabschätzung]]=Ueberblick[[#This Row],[analytischer Ansatz zur Verwertung technischer Potenziale]],1,0)</f>
        <v>0</v>
      </c>
      <c r="E34" s="123">
        <f>IF(Tabelle51[[#Headers],[keine Verwertung]]=Ueberblick[[#This Row],[analytischer Ansatz zur Verwertung technischer Potenziale]],1,0)</f>
        <v>1</v>
      </c>
      <c r="F34" s="123">
        <f>IF(Tabelle51[[#Headers],[kombinierter Ansatz]]=Ueberblick[[#This Row],[analytischer Ansatz zur Verwertung technischer Potenziale]],1,0)</f>
        <v>0</v>
      </c>
    </row>
    <row r="35" spans="1:6" x14ac:dyDescent="0.25">
      <c r="A35" s="17" t="s">
        <v>853</v>
      </c>
      <c r="B35" s="78">
        <f>SUM(B3:B34)</f>
        <v>6</v>
      </c>
      <c r="C35" s="78">
        <f t="shared" ref="C35:F35" si="0">SUM(C3:C34)</f>
        <v>13</v>
      </c>
      <c r="D35" s="78">
        <f t="shared" si="0"/>
        <v>3</v>
      </c>
      <c r="E35" s="78">
        <f t="shared" si="0"/>
        <v>10</v>
      </c>
      <c r="F35" s="78">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5" customWidth="1"/>
    <col min="3" max="3" width="34.875" style="85" customWidth="1"/>
    <col min="4" max="10" width="11" style="85"/>
    <col min="11" max="11" width="12.25" style="85" customWidth="1"/>
    <col min="12" max="16384" width="11" style="85"/>
  </cols>
  <sheetData>
    <row r="2" spans="2:11" x14ac:dyDescent="0.2">
      <c r="B2" s="89"/>
      <c r="C2" s="90"/>
      <c r="D2" s="90"/>
      <c r="E2" s="90"/>
      <c r="F2" s="90"/>
      <c r="G2" s="90"/>
      <c r="H2" s="90"/>
      <c r="I2" s="90"/>
      <c r="J2" s="90"/>
      <c r="K2" s="91"/>
    </row>
    <row r="3" spans="2:11" ht="20.25" x14ac:dyDescent="0.3">
      <c r="B3" s="92"/>
      <c r="C3" s="111" t="s">
        <v>1389</v>
      </c>
      <c r="D3" s="94"/>
      <c r="E3" s="94"/>
      <c r="F3" s="94"/>
      <c r="G3" s="94"/>
      <c r="H3" s="94"/>
      <c r="I3" s="94"/>
      <c r="J3" s="94"/>
      <c r="K3" s="95"/>
    </row>
    <row r="4" spans="2:11" ht="15" x14ac:dyDescent="0.25">
      <c r="B4" s="92"/>
      <c r="C4" s="93"/>
      <c r="D4" s="94"/>
      <c r="E4" s="94"/>
      <c r="F4" s="94"/>
      <c r="G4" s="94"/>
      <c r="H4" s="94"/>
      <c r="I4" s="94"/>
      <c r="J4" s="94"/>
      <c r="K4" s="95"/>
    </row>
    <row r="5" spans="2:11" ht="15" x14ac:dyDescent="0.25">
      <c r="B5" s="92"/>
      <c r="C5" s="93" t="s">
        <v>1532</v>
      </c>
      <c r="D5" s="93" t="s">
        <v>1533</v>
      </c>
      <c r="E5" s="94"/>
      <c r="F5" s="94"/>
      <c r="G5" s="94"/>
      <c r="H5" s="94"/>
      <c r="I5" s="94"/>
      <c r="J5" s="94"/>
      <c r="K5" s="95"/>
    </row>
    <row r="6" spans="2:11" ht="15.75" x14ac:dyDescent="0.25">
      <c r="B6" s="92"/>
      <c r="C6" s="114" t="s">
        <v>1393</v>
      </c>
      <c r="D6" s="94" t="s">
        <v>1524</v>
      </c>
      <c r="E6" s="94"/>
      <c r="F6" s="94"/>
      <c r="G6" s="94"/>
      <c r="H6" s="94"/>
      <c r="I6" s="94"/>
      <c r="J6" s="94"/>
      <c r="K6" s="95"/>
    </row>
    <row r="7" spans="2:11" ht="15.75" x14ac:dyDescent="0.25">
      <c r="B7" s="92"/>
      <c r="C7" s="114" t="s">
        <v>1461</v>
      </c>
      <c r="D7" s="94" t="s">
        <v>1525</v>
      </c>
      <c r="E7" s="94"/>
      <c r="F7" s="94"/>
      <c r="G7" s="94"/>
      <c r="H7" s="94"/>
      <c r="I7" s="94"/>
      <c r="J7" s="94"/>
      <c r="K7" s="95"/>
    </row>
    <row r="8" spans="2:11" ht="15.75" x14ac:dyDescent="0.25">
      <c r="B8" s="92"/>
      <c r="C8" s="114" t="s">
        <v>1478</v>
      </c>
      <c r="D8" s="94" t="s">
        <v>1526</v>
      </c>
      <c r="E8" s="94"/>
      <c r="F8" s="94"/>
      <c r="G8" s="94"/>
      <c r="H8" s="94"/>
      <c r="I8" s="94"/>
      <c r="J8" s="94"/>
      <c r="K8" s="95"/>
    </row>
    <row r="9" spans="2:11" ht="15.75" x14ac:dyDescent="0.25">
      <c r="B9" s="92"/>
      <c r="C9" s="114" t="s">
        <v>1479</v>
      </c>
      <c r="D9" s="94" t="s">
        <v>1527</v>
      </c>
      <c r="E9" s="94"/>
      <c r="F9" s="94"/>
      <c r="G9" s="94"/>
      <c r="H9" s="94"/>
      <c r="I9" s="94"/>
      <c r="J9" s="94"/>
      <c r="K9" s="95"/>
    </row>
    <row r="10" spans="2:11" ht="15.75" x14ac:dyDescent="0.25">
      <c r="B10" s="92"/>
      <c r="C10" s="114" t="s">
        <v>1480</v>
      </c>
      <c r="D10" s="94" t="s">
        <v>1528</v>
      </c>
      <c r="E10" s="94"/>
      <c r="F10" s="94"/>
      <c r="G10" s="94"/>
      <c r="H10" s="94"/>
      <c r="I10" s="94"/>
      <c r="J10" s="94"/>
      <c r="K10" s="95"/>
    </row>
    <row r="11" spans="2:11" ht="15.75" x14ac:dyDescent="0.25">
      <c r="B11" s="92"/>
      <c r="C11" s="114" t="s">
        <v>1481</v>
      </c>
      <c r="D11" s="94" t="s">
        <v>1572</v>
      </c>
      <c r="E11" s="94"/>
      <c r="F11" s="94"/>
      <c r="G11" s="94"/>
      <c r="H11" s="94"/>
      <c r="I11" s="94"/>
      <c r="J11" s="94"/>
      <c r="K11" s="95"/>
    </row>
    <row r="12" spans="2:11" ht="15.75" x14ac:dyDescent="0.25">
      <c r="B12" s="92"/>
      <c r="C12" s="114" t="s">
        <v>1482</v>
      </c>
      <c r="D12" s="94" t="s">
        <v>1573</v>
      </c>
      <c r="E12" s="94"/>
      <c r="F12" s="94"/>
      <c r="G12" s="94"/>
      <c r="H12" s="94"/>
      <c r="I12" s="94"/>
      <c r="J12" s="94"/>
      <c r="K12" s="95"/>
    </row>
    <row r="13" spans="2:11" ht="15.75" x14ac:dyDescent="0.25">
      <c r="B13" s="92"/>
      <c r="C13" s="114" t="s">
        <v>1483</v>
      </c>
      <c r="D13" s="94" t="s">
        <v>1529</v>
      </c>
      <c r="E13" s="94"/>
      <c r="F13" s="94"/>
      <c r="G13" s="94"/>
      <c r="H13" s="94"/>
      <c r="I13" s="94"/>
      <c r="J13" s="94"/>
      <c r="K13" s="95"/>
    </row>
    <row r="14" spans="2:11" ht="15.75" x14ac:dyDescent="0.25">
      <c r="B14" s="92"/>
      <c r="C14" s="114" t="s">
        <v>1484</v>
      </c>
      <c r="D14" s="94" t="s">
        <v>1530</v>
      </c>
      <c r="E14" s="94"/>
      <c r="F14" s="94"/>
      <c r="G14" s="94"/>
      <c r="H14" s="94"/>
      <c r="I14" s="94"/>
      <c r="J14" s="94"/>
      <c r="K14" s="95"/>
    </row>
    <row r="15" spans="2:11" ht="15.75" x14ac:dyDescent="0.25">
      <c r="B15" s="92"/>
      <c r="C15" s="114" t="s">
        <v>1485</v>
      </c>
      <c r="D15" s="94" t="s">
        <v>1531</v>
      </c>
      <c r="E15" s="94"/>
      <c r="F15" s="94"/>
      <c r="G15" s="94"/>
      <c r="H15" s="94"/>
      <c r="I15" s="94"/>
      <c r="J15" s="94"/>
      <c r="K15" s="95"/>
    </row>
    <row r="16" spans="2:11" ht="15.75" x14ac:dyDescent="0.25">
      <c r="B16" s="92"/>
      <c r="C16" s="114" t="s">
        <v>1486</v>
      </c>
      <c r="D16" s="94" t="s">
        <v>1534</v>
      </c>
      <c r="E16" s="94"/>
      <c r="F16" s="94"/>
      <c r="G16" s="94"/>
      <c r="H16" s="94"/>
      <c r="I16" s="94"/>
      <c r="J16" s="94"/>
      <c r="K16" s="95"/>
    </row>
    <row r="17" spans="2:11" ht="15.75" x14ac:dyDescent="0.25">
      <c r="B17" s="92"/>
      <c r="C17" s="114" t="s">
        <v>1487</v>
      </c>
      <c r="D17" s="94" t="s">
        <v>1535</v>
      </c>
      <c r="E17" s="94"/>
      <c r="F17" s="94"/>
      <c r="G17" s="94"/>
      <c r="H17" s="94"/>
      <c r="I17" s="94"/>
      <c r="J17" s="94"/>
      <c r="K17" s="95"/>
    </row>
    <row r="18" spans="2:11" ht="15.75" x14ac:dyDescent="0.25">
      <c r="B18" s="92"/>
      <c r="C18" s="114" t="s">
        <v>1488</v>
      </c>
      <c r="D18" s="94" t="s">
        <v>1536</v>
      </c>
      <c r="E18" s="94"/>
      <c r="F18" s="94"/>
      <c r="G18" s="94"/>
      <c r="H18" s="94"/>
      <c r="I18" s="94"/>
      <c r="J18" s="94"/>
      <c r="K18" s="95"/>
    </row>
    <row r="19" spans="2:11" ht="15.75" x14ac:dyDescent="0.25">
      <c r="B19" s="92"/>
      <c r="C19" s="114" t="s">
        <v>1489</v>
      </c>
      <c r="D19" s="94" t="s">
        <v>1537</v>
      </c>
      <c r="E19" s="94"/>
      <c r="F19" s="94"/>
      <c r="G19" s="94"/>
      <c r="H19" s="94"/>
      <c r="I19" s="94"/>
      <c r="J19" s="94"/>
      <c r="K19" s="95"/>
    </row>
    <row r="20" spans="2:11" ht="15.75" x14ac:dyDescent="0.25">
      <c r="B20" s="92"/>
      <c r="C20" s="114" t="s">
        <v>1490</v>
      </c>
      <c r="D20" s="94" t="s">
        <v>1538</v>
      </c>
      <c r="E20" s="94"/>
      <c r="F20" s="94"/>
      <c r="G20" s="94"/>
      <c r="H20" s="94"/>
      <c r="I20" s="94"/>
      <c r="J20" s="94"/>
      <c r="K20" s="95"/>
    </row>
    <row r="21" spans="2:11" ht="15.75" x14ac:dyDescent="0.25">
      <c r="B21" s="92"/>
      <c r="C21" s="114" t="s">
        <v>1491</v>
      </c>
      <c r="D21" s="94" t="s">
        <v>1539</v>
      </c>
      <c r="E21" s="94"/>
      <c r="F21" s="94"/>
      <c r="G21" s="94"/>
      <c r="H21" s="94"/>
      <c r="I21" s="94"/>
      <c r="J21" s="94"/>
      <c r="K21" s="95"/>
    </row>
    <row r="22" spans="2:11" ht="15.75" x14ac:dyDescent="0.25">
      <c r="B22" s="92"/>
      <c r="C22" s="114" t="s">
        <v>1492</v>
      </c>
      <c r="D22" s="94" t="s">
        <v>1540</v>
      </c>
      <c r="E22" s="94"/>
      <c r="F22" s="94"/>
      <c r="G22" s="94"/>
      <c r="H22" s="94"/>
      <c r="I22" s="94"/>
      <c r="J22" s="94"/>
      <c r="K22" s="95"/>
    </row>
    <row r="23" spans="2:11" ht="15.75" x14ac:dyDescent="0.25">
      <c r="B23" s="92"/>
      <c r="C23" s="114" t="s">
        <v>1493</v>
      </c>
      <c r="D23" s="94" t="s">
        <v>1541</v>
      </c>
      <c r="E23" s="94"/>
      <c r="F23" s="94"/>
      <c r="G23" s="94"/>
      <c r="H23" s="94"/>
      <c r="I23" s="94"/>
      <c r="J23" s="94"/>
      <c r="K23" s="95"/>
    </row>
    <row r="24" spans="2:11" ht="15.75" x14ac:dyDescent="0.25">
      <c r="B24" s="92"/>
      <c r="C24" s="114" t="s">
        <v>1494</v>
      </c>
      <c r="D24" s="94" t="s">
        <v>1543</v>
      </c>
      <c r="E24" s="94"/>
      <c r="F24" s="94"/>
      <c r="G24" s="94"/>
      <c r="H24" s="94"/>
      <c r="I24" s="94"/>
      <c r="J24" s="94"/>
      <c r="K24" s="95"/>
    </row>
    <row r="25" spans="2:11" ht="15.75" x14ac:dyDescent="0.25">
      <c r="B25" s="92"/>
      <c r="C25" s="114" t="s">
        <v>1495</v>
      </c>
      <c r="D25" s="94" t="s">
        <v>1542</v>
      </c>
      <c r="E25" s="94"/>
      <c r="F25" s="94"/>
      <c r="G25" s="94"/>
      <c r="H25" s="94"/>
      <c r="I25" s="94"/>
      <c r="J25" s="94"/>
      <c r="K25" s="95"/>
    </row>
    <row r="26" spans="2:11" ht="15.75" x14ac:dyDescent="0.25">
      <c r="B26" s="92"/>
      <c r="C26" s="114" t="s">
        <v>1496</v>
      </c>
      <c r="D26" s="94" t="s">
        <v>1544</v>
      </c>
      <c r="E26" s="94"/>
      <c r="F26" s="94"/>
      <c r="G26" s="94"/>
      <c r="H26" s="94"/>
      <c r="I26" s="94"/>
      <c r="J26" s="94"/>
      <c r="K26" s="95"/>
    </row>
    <row r="27" spans="2:11" ht="15.75" x14ac:dyDescent="0.25">
      <c r="B27" s="92"/>
      <c r="C27" s="114" t="s">
        <v>1497</v>
      </c>
      <c r="D27" s="94" t="s">
        <v>1553</v>
      </c>
      <c r="E27" s="94"/>
      <c r="F27" s="94"/>
      <c r="G27" s="94"/>
      <c r="H27" s="94"/>
      <c r="I27" s="94"/>
      <c r="J27" s="94"/>
      <c r="K27" s="95"/>
    </row>
    <row r="28" spans="2:11" ht="15.75" x14ac:dyDescent="0.25">
      <c r="B28" s="92"/>
      <c r="C28" s="114" t="s">
        <v>1498</v>
      </c>
      <c r="D28" s="94" t="s">
        <v>1554</v>
      </c>
      <c r="E28" s="94"/>
      <c r="F28" s="94"/>
      <c r="G28" s="94"/>
      <c r="H28" s="94"/>
      <c r="I28" s="94"/>
      <c r="J28" s="94"/>
      <c r="K28" s="95"/>
    </row>
    <row r="29" spans="2:11" ht="15.75" x14ac:dyDescent="0.25">
      <c r="B29" s="92"/>
      <c r="C29" s="114" t="s">
        <v>1499</v>
      </c>
      <c r="D29" s="94" t="s">
        <v>1552</v>
      </c>
      <c r="E29" s="94"/>
      <c r="F29" s="94"/>
      <c r="G29" s="94"/>
      <c r="H29" s="94"/>
      <c r="I29" s="94"/>
      <c r="J29" s="94"/>
      <c r="K29" s="95"/>
    </row>
    <row r="30" spans="2:11" ht="15.75" x14ac:dyDescent="0.25">
      <c r="B30" s="92"/>
      <c r="C30" s="114" t="s">
        <v>1500</v>
      </c>
      <c r="D30" s="94" t="s">
        <v>1551</v>
      </c>
      <c r="E30" s="94"/>
      <c r="F30" s="94"/>
      <c r="G30" s="94"/>
      <c r="H30" s="94"/>
      <c r="I30" s="94"/>
      <c r="J30" s="94"/>
      <c r="K30" s="95"/>
    </row>
    <row r="31" spans="2:11" ht="15.75" x14ac:dyDescent="0.25">
      <c r="B31" s="92"/>
      <c r="C31" s="114" t="s">
        <v>1501</v>
      </c>
      <c r="D31" s="94" t="s">
        <v>1555</v>
      </c>
      <c r="E31" s="94"/>
      <c r="F31" s="94"/>
      <c r="G31" s="94"/>
      <c r="H31" s="94"/>
      <c r="I31" s="94"/>
      <c r="J31" s="94"/>
      <c r="K31" s="95"/>
    </row>
    <row r="32" spans="2:11" ht="15.75" x14ac:dyDescent="0.25">
      <c r="B32" s="92"/>
      <c r="C32" s="114" t="s">
        <v>1502</v>
      </c>
      <c r="D32" s="94" t="s">
        <v>1556</v>
      </c>
      <c r="E32" s="94"/>
      <c r="F32" s="94"/>
      <c r="G32" s="94"/>
      <c r="H32" s="94"/>
      <c r="I32" s="94"/>
      <c r="J32" s="94"/>
      <c r="K32" s="95"/>
    </row>
    <row r="33" spans="2:11" ht="15.75" x14ac:dyDescent="0.25">
      <c r="B33" s="92"/>
      <c r="C33" s="114" t="s">
        <v>1503</v>
      </c>
      <c r="D33" s="94" t="s">
        <v>1557</v>
      </c>
      <c r="E33" s="94"/>
      <c r="F33" s="94"/>
      <c r="G33" s="94"/>
      <c r="H33" s="94"/>
      <c r="I33" s="94"/>
      <c r="J33" s="94"/>
      <c r="K33" s="95"/>
    </row>
    <row r="34" spans="2:11" ht="15.75" x14ac:dyDescent="0.25">
      <c r="B34" s="92"/>
      <c r="C34" s="114" t="s">
        <v>1504</v>
      </c>
      <c r="D34" s="94" t="s">
        <v>1559</v>
      </c>
      <c r="E34" s="94"/>
      <c r="F34" s="94"/>
      <c r="G34" s="94"/>
      <c r="H34" s="94"/>
      <c r="I34" s="94"/>
      <c r="J34" s="94"/>
      <c r="K34" s="95"/>
    </row>
    <row r="35" spans="2:11" ht="15.75" x14ac:dyDescent="0.25">
      <c r="B35" s="92"/>
      <c r="C35" s="114" t="s">
        <v>1505</v>
      </c>
      <c r="D35" s="94" t="s">
        <v>1558</v>
      </c>
      <c r="E35" s="94"/>
      <c r="F35" s="94"/>
      <c r="G35" s="94"/>
      <c r="H35" s="94"/>
      <c r="I35" s="94"/>
      <c r="J35" s="94"/>
      <c r="K35" s="95"/>
    </row>
    <row r="36" spans="2:11" ht="15.75" x14ac:dyDescent="0.25">
      <c r="B36" s="92"/>
      <c r="C36" s="114" t="s">
        <v>1506</v>
      </c>
      <c r="D36" s="94" t="s">
        <v>1560</v>
      </c>
      <c r="E36" s="94"/>
      <c r="F36" s="94"/>
      <c r="G36" s="94"/>
      <c r="H36" s="94"/>
      <c r="I36" s="94"/>
      <c r="J36" s="94"/>
      <c r="K36" s="95"/>
    </row>
    <row r="37" spans="2:11" ht="15.75" x14ac:dyDescent="0.25">
      <c r="B37" s="92"/>
      <c r="C37" s="114" t="s">
        <v>1507</v>
      </c>
      <c r="D37" s="94" t="s">
        <v>1561</v>
      </c>
      <c r="E37" s="94"/>
      <c r="F37" s="94"/>
      <c r="G37" s="94"/>
      <c r="H37" s="94"/>
      <c r="I37" s="94"/>
      <c r="J37" s="94"/>
      <c r="K37" s="95"/>
    </row>
    <row r="38" spans="2:11" ht="15.75" x14ac:dyDescent="0.25">
      <c r="B38" s="92"/>
      <c r="C38" s="114" t="s">
        <v>1508</v>
      </c>
      <c r="D38" s="94" t="s">
        <v>1562</v>
      </c>
      <c r="E38" s="94"/>
      <c r="F38" s="94"/>
      <c r="G38" s="94"/>
      <c r="H38" s="94"/>
      <c r="I38" s="94"/>
      <c r="J38" s="94"/>
      <c r="K38" s="95"/>
    </row>
    <row r="39" spans="2:11" ht="15.75" x14ac:dyDescent="0.25">
      <c r="B39" s="92"/>
      <c r="C39" s="114" t="s">
        <v>1509</v>
      </c>
      <c r="D39" s="94" t="s">
        <v>1563</v>
      </c>
      <c r="E39" s="94"/>
      <c r="F39" s="94"/>
      <c r="G39" s="94"/>
      <c r="H39" s="94"/>
      <c r="I39" s="94"/>
      <c r="J39" s="94"/>
      <c r="K39" s="95"/>
    </row>
    <row r="40" spans="2:11" ht="15.75" x14ac:dyDescent="0.25">
      <c r="B40" s="92"/>
      <c r="C40" s="114" t="s">
        <v>1510</v>
      </c>
      <c r="D40" s="94" t="s">
        <v>1564</v>
      </c>
      <c r="E40" s="94"/>
      <c r="F40" s="94"/>
      <c r="G40" s="94"/>
      <c r="H40" s="94"/>
      <c r="I40" s="94"/>
      <c r="J40" s="94"/>
      <c r="K40" s="95"/>
    </row>
    <row r="41" spans="2:11" ht="15.75" x14ac:dyDescent="0.25">
      <c r="B41" s="92"/>
      <c r="C41" s="114" t="s">
        <v>1511</v>
      </c>
      <c r="D41" s="94" t="s">
        <v>1565</v>
      </c>
      <c r="E41" s="94"/>
      <c r="F41" s="94"/>
      <c r="G41" s="94"/>
      <c r="H41" s="94"/>
      <c r="I41" s="94"/>
      <c r="J41" s="94"/>
      <c r="K41" s="95"/>
    </row>
    <row r="42" spans="2:11" ht="15.75" x14ac:dyDescent="0.25">
      <c r="B42" s="92"/>
      <c r="C42" s="114" t="s">
        <v>1512</v>
      </c>
      <c r="D42" s="94" t="s">
        <v>1566</v>
      </c>
      <c r="E42" s="94"/>
      <c r="F42" s="94"/>
      <c r="G42" s="94"/>
      <c r="H42" s="94"/>
      <c r="I42" s="94"/>
      <c r="J42" s="94"/>
      <c r="K42" s="95"/>
    </row>
    <row r="43" spans="2:11" ht="15.75" x14ac:dyDescent="0.25">
      <c r="B43" s="92"/>
      <c r="C43" s="114" t="s">
        <v>1513</v>
      </c>
      <c r="D43" s="94" t="s">
        <v>1567</v>
      </c>
      <c r="E43" s="94"/>
      <c r="F43" s="94"/>
      <c r="G43" s="94"/>
      <c r="H43" s="94"/>
      <c r="I43" s="94"/>
      <c r="J43" s="94"/>
      <c r="K43" s="95"/>
    </row>
    <row r="44" spans="2:11" ht="15.75" x14ac:dyDescent="0.25">
      <c r="B44" s="92"/>
      <c r="C44" s="114" t="s">
        <v>1514</v>
      </c>
      <c r="D44" s="94" t="s">
        <v>1568</v>
      </c>
      <c r="E44" s="94"/>
      <c r="F44" s="94"/>
      <c r="G44" s="94"/>
      <c r="H44" s="94"/>
      <c r="I44" s="94"/>
      <c r="J44" s="94"/>
      <c r="K44" s="95"/>
    </row>
    <row r="45" spans="2:11" ht="15.75" x14ac:dyDescent="0.25">
      <c r="B45" s="92"/>
      <c r="C45" s="114" t="s">
        <v>1515</v>
      </c>
      <c r="D45" s="94" t="s">
        <v>1545</v>
      </c>
      <c r="E45" s="94"/>
      <c r="F45" s="94"/>
      <c r="G45" s="94"/>
      <c r="H45" s="94"/>
      <c r="I45" s="94"/>
      <c r="J45" s="94"/>
      <c r="K45" s="95"/>
    </row>
    <row r="46" spans="2:11" ht="15.75" x14ac:dyDescent="0.25">
      <c r="B46" s="92"/>
      <c r="C46" s="114" t="s">
        <v>1516</v>
      </c>
      <c r="D46" s="94" t="s">
        <v>1546</v>
      </c>
      <c r="E46" s="94"/>
      <c r="F46" s="94"/>
      <c r="G46" s="94"/>
      <c r="H46" s="94"/>
      <c r="I46" s="94"/>
      <c r="J46" s="94"/>
      <c r="K46" s="95"/>
    </row>
    <row r="47" spans="2:11" ht="15.75" x14ac:dyDescent="0.25">
      <c r="B47" s="92"/>
      <c r="C47" s="114" t="s">
        <v>1517</v>
      </c>
      <c r="D47" s="94" t="s">
        <v>1547</v>
      </c>
      <c r="E47" s="94"/>
      <c r="F47" s="94"/>
      <c r="G47" s="94"/>
      <c r="H47" s="94"/>
      <c r="I47" s="94"/>
      <c r="J47" s="94"/>
      <c r="K47" s="95"/>
    </row>
    <row r="48" spans="2:11" ht="15.75" x14ac:dyDescent="0.25">
      <c r="B48" s="92"/>
      <c r="C48" s="114" t="s">
        <v>1518</v>
      </c>
      <c r="D48" s="94" t="s">
        <v>1548</v>
      </c>
      <c r="E48" s="94"/>
      <c r="F48" s="94"/>
      <c r="G48" s="94"/>
      <c r="H48" s="94"/>
      <c r="I48" s="94"/>
      <c r="J48" s="94"/>
      <c r="K48" s="95"/>
    </row>
    <row r="49" spans="2:11" ht="15.75" x14ac:dyDescent="0.25">
      <c r="B49" s="92"/>
      <c r="C49" s="114" t="s">
        <v>1519</v>
      </c>
      <c r="D49" s="94" t="s">
        <v>1549</v>
      </c>
      <c r="E49" s="94"/>
      <c r="F49" s="94"/>
      <c r="G49" s="94"/>
      <c r="H49" s="94"/>
      <c r="I49" s="94"/>
      <c r="J49" s="94"/>
      <c r="K49" s="95"/>
    </row>
    <row r="50" spans="2:11" ht="15.75" x14ac:dyDescent="0.25">
      <c r="B50" s="92"/>
      <c r="C50" s="114" t="s">
        <v>1520</v>
      </c>
      <c r="D50" s="94" t="s">
        <v>1550</v>
      </c>
      <c r="E50" s="94"/>
      <c r="F50" s="94"/>
      <c r="G50" s="94"/>
      <c r="H50" s="94"/>
      <c r="I50" s="94"/>
      <c r="J50" s="94"/>
      <c r="K50" s="95"/>
    </row>
    <row r="51" spans="2:11" ht="15.75" x14ac:dyDescent="0.25">
      <c r="B51" s="92"/>
      <c r="C51" s="114" t="s">
        <v>1521</v>
      </c>
      <c r="D51" s="94" t="s">
        <v>1569</v>
      </c>
      <c r="E51" s="94"/>
      <c r="F51" s="94"/>
      <c r="G51" s="94"/>
      <c r="H51" s="94"/>
      <c r="I51" s="94"/>
      <c r="J51" s="94"/>
      <c r="K51" s="95"/>
    </row>
    <row r="52" spans="2:11" ht="15.75" x14ac:dyDescent="0.25">
      <c r="B52" s="92"/>
      <c r="C52" s="114" t="s">
        <v>1522</v>
      </c>
      <c r="D52" s="94" t="s">
        <v>1570</v>
      </c>
      <c r="E52" s="94"/>
      <c r="F52" s="94"/>
      <c r="G52" s="94"/>
      <c r="H52" s="94"/>
      <c r="I52" s="94"/>
      <c r="J52" s="94"/>
      <c r="K52" s="95"/>
    </row>
    <row r="53" spans="2:11" ht="15.75" x14ac:dyDescent="0.25">
      <c r="B53" s="92"/>
      <c r="C53" s="114" t="s">
        <v>1523</v>
      </c>
      <c r="D53" s="94" t="s">
        <v>1571</v>
      </c>
      <c r="E53" s="94"/>
      <c r="F53" s="94"/>
      <c r="G53" s="94"/>
      <c r="H53" s="94"/>
      <c r="I53" s="94"/>
      <c r="J53" s="94"/>
      <c r="K53" s="95"/>
    </row>
    <row r="54" spans="2:11" x14ac:dyDescent="0.2">
      <c r="B54" s="107"/>
      <c r="C54" s="108"/>
      <c r="D54" s="108"/>
      <c r="E54" s="108"/>
      <c r="F54" s="108"/>
      <c r="G54" s="108"/>
      <c r="H54" s="108"/>
      <c r="I54" s="108"/>
      <c r="J54" s="108"/>
      <c r="K54" s="109"/>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E35" sqref="E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9" t="s">
        <v>158</v>
      </c>
      <c r="F1" s="3" t="s">
        <v>158</v>
      </c>
    </row>
    <row r="2" spans="1:6" ht="131.25" customHeight="1" x14ac:dyDescent="0.25">
      <c r="A2" s="74" t="s">
        <v>1</v>
      </c>
      <c r="B2" s="49" t="s">
        <v>109</v>
      </c>
      <c r="C2" s="49" t="s">
        <v>110</v>
      </c>
      <c r="D2" s="49" t="s">
        <v>213</v>
      </c>
      <c r="E2" s="50" t="s">
        <v>157</v>
      </c>
      <c r="F2" s="41" t="s">
        <v>270</v>
      </c>
    </row>
    <row r="3" spans="1:6" ht="25.5" x14ac:dyDescent="0.25">
      <c r="A3" s="33" t="str">
        <f>Ueberblick[[#This Row],[Kürzel]]</f>
        <v>Ape12</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Ary17</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Aus18</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Blu13</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Foc11</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Gil15</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Gob12</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Gro13</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Gru17</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Haa17</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Hei21</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Hen15</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Jet21</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Klo09</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Klo13</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Krz13</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Lad18</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Lan15</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Lie15</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Mae18</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Mol10</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Mue19</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Pau11</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Pel16</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r2b14</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Roo10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Sau19</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Sch14</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Sta06</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Ste17</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Sty15</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Woh20</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78">
        <f>Tabelle51[[#This Row],[Modellierung (Simulation)]]</f>
        <v>6</v>
      </c>
      <c r="C35" s="78">
        <f>Tabelle51[[#This Row],[Modellierung (Optimierung)]]</f>
        <v>13</v>
      </c>
      <c r="D35" s="78">
        <f>Tabelle51[[#This Row],[Wirtschaftlichkeitsabschätzung]]</f>
        <v>3</v>
      </c>
      <c r="E35" s="78">
        <f>Tabelle51[[#This Row],[keine Verwertung]]</f>
        <v>10</v>
      </c>
      <c r="F35" s="7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2" sqref="A2:AG34"/>
    </sheetView>
  </sheetViews>
  <sheetFormatPr baseColWidth="10" defaultRowHeight="15.75" x14ac:dyDescent="0.25"/>
  <cols>
    <col min="2" max="33" width="8.625" customWidth="1"/>
    <col min="34" max="34" width="30.875" bestFit="1" customWidth="1"/>
  </cols>
  <sheetData>
    <row r="1" spans="1:34" ht="38.25" hidden="1" x14ac:dyDescent="0.25">
      <c r="A1" s="80" t="s">
        <v>86</v>
      </c>
      <c r="B1" s="80" t="s">
        <v>101</v>
      </c>
      <c r="C1" s="80" t="s">
        <v>101</v>
      </c>
      <c r="D1" s="80" t="s">
        <v>101</v>
      </c>
      <c r="E1" s="80" t="s">
        <v>101</v>
      </c>
      <c r="F1" s="80" t="s">
        <v>101</v>
      </c>
      <c r="G1" s="80" t="s">
        <v>101</v>
      </c>
      <c r="H1" s="80" t="s">
        <v>101</v>
      </c>
      <c r="I1" s="80" t="s">
        <v>101</v>
      </c>
      <c r="J1" s="80" t="s">
        <v>101</v>
      </c>
      <c r="K1" s="80" t="s">
        <v>101</v>
      </c>
      <c r="L1" s="80" t="s">
        <v>101</v>
      </c>
      <c r="M1" s="80" t="s">
        <v>101</v>
      </c>
      <c r="N1" s="80" t="s">
        <v>101</v>
      </c>
      <c r="O1" s="80" t="s">
        <v>101</v>
      </c>
      <c r="P1" s="80" t="s">
        <v>101</v>
      </c>
      <c r="Q1" s="80" t="s">
        <v>101</v>
      </c>
      <c r="R1" s="80" t="s">
        <v>101</v>
      </c>
      <c r="S1" s="80" t="s">
        <v>101</v>
      </c>
      <c r="T1" s="80" t="s">
        <v>101</v>
      </c>
      <c r="U1" s="80" t="s">
        <v>101</v>
      </c>
      <c r="V1" s="80" t="s">
        <v>101</v>
      </c>
      <c r="W1" s="80" t="s">
        <v>101</v>
      </c>
      <c r="X1" s="80" t="s">
        <v>101</v>
      </c>
      <c r="Y1" s="80" t="s">
        <v>101</v>
      </c>
      <c r="Z1" s="80" t="s">
        <v>101</v>
      </c>
      <c r="AA1" s="80"/>
      <c r="AB1" s="80"/>
      <c r="AC1" s="80"/>
      <c r="AD1" s="80"/>
      <c r="AE1" s="80"/>
      <c r="AF1" s="80"/>
      <c r="AG1" s="80"/>
    </row>
    <row r="2" spans="1:34" ht="131.25" customHeight="1" x14ac:dyDescent="0.25">
      <c r="A2" s="74" t="s">
        <v>1381</v>
      </c>
      <c r="B2" s="46" t="s">
        <v>1608</v>
      </c>
      <c r="C2" s="46" t="s">
        <v>1609</v>
      </c>
      <c r="D2" s="46" t="s">
        <v>1669</v>
      </c>
      <c r="E2" s="46" t="s">
        <v>1610</v>
      </c>
      <c r="F2" s="46" t="s">
        <v>1611</v>
      </c>
      <c r="G2" s="46" t="s">
        <v>1612</v>
      </c>
      <c r="H2" s="46" t="s">
        <v>1613</v>
      </c>
      <c r="I2" s="46" t="s">
        <v>1614</v>
      </c>
      <c r="J2" s="46" t="s">
        <v>1615</v>
      </c>
      <c r="K2" s="46" t="s">
        <v>1616</v>
      </c>
      <c r="L2" s="46" t="s">
        <v>1676</v>
      </c>
      <c r="M2" s="46" t="s">
        <v>1617</v>
      </c>
      <c r="N2" s="46" t="s">
        <v>1705</v>
      </c>
      <c r="O2" s="46" t="s">
        <v>1618</v>
      </c>
      <c r="P2" s="46" t="s">
        <v>1619</v>
      </c>
      <c r="Q2" s="46" t="s">
        <v>1620</v>
      </c>
      <c r="R2" s="46" t="s">
        <v>1621</v>
      </c>
      <c r="S2" s="46" t="s">
        <v>1622</v>
      </c>
      <c r="T2" s="46" t="s">
        <v>1623</v>
      </c>
      <c r="U2" s="46" t="s">
        <v>1684</v>
      </c>
      <c r="V2" s="46" t="s">
        <v>1624</v>
      </c>
      <c r="W2" s="46" t="s">
        <v>1722</v>
      </c>
      <c r="X2" s="46" t="s">
        <v>1625</v>
      </c>
      <c r="Y2" s="46" t="s">
        <v>1626</v>
      </c>
      <c r="Z2" s="46" t="s">
        <v>1627</v>
      </c>
      <c r="AA2" s="46" t="s">
        <v>1628</v>
      </c>
      <c r="AB2" s="46" t="s">
        <v>1662</v>
      </c>
      <c r="AC2" s="46" t="s">
        <v>1629</v>
      </c>
      <c r="AD2" s="46" t="s">
        <v>1630</v>
      </c>
      <c r="AE2" s="46" t="s">
        <v>1631</v>
      </c>
      <c r="AF2" s="46" t="s">
        <v>1632</v>
      </c>
      <c r="AG2" s="46" t="s">
        <v>1699</v>
      </c>
      <c r="AH2" s="46" t="s">
        <v>1633</v>
      </c>
    </row>
    <row r="3" spans="1:34" x14ac:dyDescent="0.25">
      <c r="A3" s="33" t="str">
        <f>Ueberblick[[#This Row],[Kürzel]]</f>
        <v>Ape12</v>
      </c>
      <c r="B3" s="81"/>
      <c r="C3" s="81"/>
      <c r="D3" s="81"/>
      <c r="E3" s="81"/>
      <c r="F3" s="81"/>
      <c r="G3" s="75"/>
      <c r="H3" s="75"/>
      <c r="I3" s="75"/>
      <c r="J3" s="75"/>
      <c r="K3" s="75"/>
      <c r="L3" s="75"/>
      <c r="M3" s="75"/>
      <c r="N3" s="75"/>
      <c r="O3" s="75">
        <v>1</v>
      </c>
      <c r="P3" s="75"/>
      <c r="Q3" s="75"/>
      <c r="R3" s="75"/>
      <c r="S3" s="75"/>
      <c r="T3" s="75"/>
      <c r="U3" s="75"/>
      <c r="V3" s="75">
        <v>1</v>
      </c>
      <c r="W3" s="75"/>
      <c r="X3" s="75"/>
      <c r="Y3" s="75"/>
      <c r="Z3" s="76"/>
      <c r="AA3" s="76"/>
      <c r="AB3" s="76"/>
      <c r="AC3" s="76"/>
      <c r="AD3" s="76">
        <v>1</v>
      </c>
      <c r="AE3" s="76"/>
      <c r="AF3" s="76"/>
      <c r="AG3" s="76"/>
      <c r="AH3" s="87">
        <v>137</v>
      </c>
    </row>
    <row r="4" spans="1:34" x14ac:dyDescent="0.25">
      <c r="A4" s="33" t="str">
        <f>Ueberblick[[#This Row],[Kürzel]]</f>
        <v>Ary17</v>
      </c>
      <c r="B4" s="81"/>
      <c r="C4" s="75"/>
      <c r="D4" s="75"/>
      <c r="E4" s="75"/>
      <c r="F4" s="75"/>
      <c r="G4" s="75">
        <v>1</v>
      </c>
      <c r="H4" s="75"/>
      <c r="I4" s="75"/>
      <c r="J4" s="75"/>
      <c r="K4" s="75"/>
      <c r="L4" s="75"/>
      <c r="M4" s="75"/>
      <c r="N4" s="75"/>
      <c r="O4" s="75">
        <v>1</v>
      </c>
      <c r="P4" s="75"/>
      <c r="Q4" s="75"/>
      <c r="R4" s="75"/>
      <c r="S4" s="75"/>
      <c r="T4" s="75"/>
      <c r="U4" s="75"/>
      <c r="V4" s="75"/>
      <c r="W4" s="75"/>
      <c r="X4" s="75">
        <v>1</v>
      </c>
      <c r="Y4" s="75"/>
      <c r="Z4" s="76"/>
      <c r="AA4" s="76"/>
      <c r="AB4" s="76"/>
      <c r="AC4" s="76"/>
      <c r="AD4" s="76"/>
      <c r="AE4" s="76"/>
      <c r="AF4" s="76"/>
      <c r="AG4" s="76"/>
      <c r="AH4" s="54" t="s">
        <v>1634</v>
      </c>
    </row>
    <row r="5" spans="1:34" x14ac:dyDescent="0.25">
      <c r="A5" s="33" t="str">
        <f>Ueberblick[[#This Row],[Kürzel]]</f>
        <v>Aus18</v>
      </c>
      <c r="B5" s="81">
        <v>1</v>
      </c>
      <c r="C5" s="75"/>
      <c r="D5" s="75"/>
      <c r="E5" s="75"/>
      <c r="F5" s="75">
        <v>1</v>
      </c>
      <c r="G5" s="75"/>
      <c r="H5" s="75"/>
      <c r="I5" s="75"/>
      <c r="J5" s="75"/>
      <c r="K5" s="75"/>
      <c r="L5" s="75"/>
      <c r="M5" s="75"/>
      <c r="N5" s="75"/>
      <c r="O5" s="75">
        <v>1</v>
      </c>
      <c r="P5" s="75">
        <v>1</v>
      </c>
      <c r="Q5" s="75"/>
      <c r="R5" s="75"/>
      <c r="S5" s="75">
        <v>1</v>
      </c>
      <c r="T5" s="75"/>
      <c r="U5" s="75"/>
      <c r="V5" s="75">
        <v>1</v>
      </c>
      <c r="W5" s="75"/>
      <c r="X5" s="75">
        <v>1</v>
      </c>
      <c r="Y5" s="76">
        <v>1</v>
      </c>
      <c r="Z5" s="76">
        <v>1</v>
      </c>
      <c r="AA5" s="76">
        <v>1</v>
      </c>
      <c r="AB5" s="76"/>
      <c r="AC5" s="76">
        <v>1</v>
      </c>
      <c r="AD5" s="76"/>
      <c r="AE5" s="76">
        <v>1</v>
      </c>
      <c r="AF5" s="76"/>
      <c r="AG5" s="76"/>
      <c r="AH5" s="54" t="s">
        <v>1786</v>
      </c>
    </row>
    <row r="6" spans="1:34" x14ac:dyDescent="0.25">
      <c r="A6" s="33" t="str">
        <f>Ueberblick[[#This Row],[Kürzel]]</f>
        <v>Blu13</v>
      </c>
      <c r="B6" s="81">
        <v>1</v>
      </c>
      <c r="C6" s="75"/>
      <c r="D6" s="75"/>
      <c r="E6" s="75"/>
      <c r="F6" s="75"/>
      <c r="G6" s="75"/>
      <c r="H6" s="75">
        <v>1</v>
      </c>
      <c r="I6" s="75"/>
      <c r="J6" s="75"/>
      <c r="K6" s="75"/>
      <c r="L6" s="75"/>
      <c r="M6" s="75"/>
      <c r="N6" s="75"/>
      <c r="O6" s="75">
        <v>1</v>
      </c>
      <c r="P6" s="75"/>
      <c r="Q6" s="75"/>
      <c r="R6" s="75"/>
      <c r="S6" s="75"/>
      <c r="T6" s="75"/>
      <c r="U6" s="75"/>
      <c r="V6" s="75">
        <v>1</v>
      </c>
      <c r="W6" s="75"/>
      <c r="X6" s="76"/>
      <c r="Y6" s="76"/>
      <c r="Z6" s="76"/>
      <c r="AA6" s="76">
        <v>1</v>
      </c>
      <c r="AB6" s="76"/>
      <c r="AC6" s="76"/>
      <c r="AD6" s="76"/>
      <c r="AE6" s="76"/>
      <c r="AF6" s="76"/>
      <c r="AG6" s="76"/>
      <c r="AH6" s="54" t="s">
        <v>1635</v>
      </c>
    </row>
    <row r="7" spans="1:34" x14ac:dyDescent="0.25">
      <c r="A7" s="33" t="str">
        <f>Ueberblick[[#This Row],[Kürzel]]</f>
        <v>Foc11</v>
      </c>
      <c r="B7" s="81"/>
      <c r="C7" s="75"/>
      <c r="D7" s="75"/>
      <c r="E7" s="75"/>
      <c r="F7" s="75"/>
      <c r="G7" s="75"/>
      <c r="H7" s="75"/>
      <c r="I7" s="75"/>
      <c r="J7" s="75"/>
      <c r="K7" s="75"/>
      <c r="L7" s="75"/>
      <c r="M7" s="75"/>
      <c r="N7" s="75"/>
      <c r="O7" s="75">
        <v>1</v>
      </c>
      <c r="P7" s="75"/>
      <c r="Q7" s="75"/>
      <c r="R7" s="75"/>
      <c r="S7" s="75"/>
      <c r="T7" s="75"/>
      <c r="U7" s="75"/>
      <c r="V7" s="75"/>
      <c r="W7" s="76"/>
      <c r="X7" s="76"/>
      <c r="Y7" s="76"/>
      <c r="Z7" s="76"/>
      <c r="AA7" s="76"/>
      <c r="AB7" s="76"/>
      <c r="AC7" s="76"/>
      <c r="AD7" s="76"/>
      <c r="AE7" s="76"/>
      <c r="AF7" s="76"/>
      <c r="AG7" s="76"/>
      <c r="AH7" s="54">
        <v>131</v>
      </c>
    </row>
    <row r="8" spans="1:34" x14ac:dyDescent="0.25">
      <c r="A8" s="33" t="str">
        <f>Ueberblick[[#This Row],[Kürzel]]</f>
        <v>Gil15</v>
      </c>
      <c r="B8" s="81"/>
      <c r="C8" s="75"/>
      <c r="D8" s="75"/>
      <c r="E8" s="75"/>
      <c r="F8" s="75"/>
      <c r="G8" s="75"/>
      <c r="H8" s="75"/>
      <c r="I8" s="75"/>
      <c r="J8" s="75"/>
      <c r="K8" s="75"/>
      <c r="L8" s="75"/>
      <c r="M8" s="75"/>
      <c r="N8" s="75"/>
      <c r="O8" s="75">
        <v>1</v>
      </c>
      <c r="P8" s="75"/>
      <c r="Q8" s="75"/>
      <c r="R8" s="75"/>
      <c r="S8" s="75"/>
      <c r="T8" s="75"/>
      <c r="U8" s="75"/>
      <c r="V8" s="76">
        <v>1</v>
      </c>
      <c r="W8" s="76"/>
      <c r="X8" s="76">
        <v>1</v>
      </c>
      <c r="Y8" s="76"/>
      <c r="Z8" s="76"/>
      <c r="AA8" s="76"/>
      <c r="AB8" s="76"/>
      <c r="AC8" s="76">
        <v>1</v>
      </c>
      <c r="AD8" s="76">
        <v>1</v>
      </c>
      <c r="AE8" s="76"/>
      <c r="AF8" s="76"/>
      <c r="AG8" s="76"/>
      <c r="AH8" s="54" t="s">
        <v>1636</v>
      </c>
    </row>
    <row r="9" spans="1:34" x14ac:dyDescent="0.25">
      <c r="A9" s="33" t="str">
        <f>Ueberblick[[#This Row],[Kürzel]]</f>
        <v>Gob12</v>
      </c>
      <c r="B9" s="81"/>
      <c r="C9" s="75"/>
      <c r="D9" s="75"/>
      <c r="E9" s="75"/>
      <c r="F9" s="75"/>
      <c r="G9" s="75"/>
      <c r="H9" s="75"/>
      <c r="I9" s="75"/>
      <c r="J9" s="75"/>
      <c r="K9" s="75"/>
      <c r="L9" s="75"/>
      <c r="M9" s="75"/>
      <c r="N9" s="75"/>
      <c r="O9" s="75">
        <v>1</v>
      </c>
      <c r="P9" s="75"/>
      <c r="Q9" s="75"/>
      <c r="R9" s="75"/>
      <c r="S9" s="75"/>
      <c r="T9" s="75"/>
      <c r="U9" s="76"/>
      <c r="V9" s="76"/>
      <c r="W9" s="76"/>
      <c r="X9" s="76"/>
      <c r="Y9" s="76"/>
      <c r="Z9" s="76"/>
      <c r="AA9" s="76">
        <v>1</v>
      </c>
      <c r="AB9" s="76"/>
      <c r="AC9" s="76"/>
      <c r="AD9" s="76"/>
      <c r="AE9" s="76"/>
      <c r="AF9" s="76"/>
      <c r="AG9" s="76"/>
      <c r="AH9" s="54">
        <v>116</v>
      </c>
    </row>
    <row r="10" spans="1:34" x14ac:dyDescent="0.25">
      <c r="A10" s="33" t="str">
        <f>Ueberblick[[#This Row],[Kürzel]]</f>
        <v>Gro13</v>
      </c>
      <c r="B10" s="81">
        <v>1</v>
      </c>
      <c r="C10" s="75"/>
      <c r="D10" s="75"/>
      <c r="E10" s="75"/>
      <c r="F10" s="75"/>
      <c r="G10" s="75"/>
      <c r="H10" s="75"/>
      <c r="I10" s="75"/>
      <c r="J10" s="75"/>
      <c r="K10" s="75"/>
      <c r="L10" s="75"/>
      <c r="M10" s="75"/>
      <c r="N10" s="75"/>
      <c r="O10" s="75">
        <v>1</v>
      </c>
      <c r="P10" s="75"/>
      <c r="Q10" s="75"/>
      <c r="R10" s="75"/>
      <c r="S10" s="75"/>
      <c r="T10" s="76"/>
      <c r="U10" s="76"/>
      <c r="V10" s="76">
        <v>1</v>
      </c>
      <c r="W10" s="76"/>
      <c r="X10" s="76"/>
      <c r="Y10" s="76"/>
      <c r="Z10" s="76"/>
      <c r="AA10" s="76"/>
      <c r="AB10" s="76"/>
      <c r="AC10" s="76"/>
      <c r="AD10" s="76"/>
      <c r="AE10" s="76"/>
      <c r="AF10" s="76"/>
      <c r="AG10" s="76"/>
      <c r="AH10" s="54">
        <v>36</v>
      </c>
    </row>
    <row r="11" spans="1:34" x14ac:dyDescent="0.25">
      <c r="A11" s="33" t="str">
        <f>Ueberblick[[#This Row],[Kürzel]]</f>
        <v>Gru17</v>
      </c>
      <c r="B11" s="81">
        <v>1</v>
      </c>
      <c r="C11" s="75"/>
      <c r="D11" s="75"/>
      <c r="E11" s="75"/>
      <c r="F11" s="75"/>
      <c r="G11" s="75"/>
      <c r="H11" s="75"/>
      <c r="I11" s="75"/>
      <c r="J11" s="75"/>
      <c r="K11" s="75"/>
      <c r="L11" s="75"/>
      <c r="M11" s="75"/>
      <c r="N11" s="75"/>
      <c r="O11" s="75">
        <v>1</v>
      </c>
      <c r="P11" s="75">
        <v>1</v>
      </c>
      <c r="Q11" s="75"/>
      <c r="R11" s="75"/>
      <c r="S11" s="76">
        <v>1</v>
      </c>
      <c r="T11" s="76"/>
      <c r="U11" s="76"/>
      <c r="V11" s="76">
        <v>1</v>
      </c>
      <c r="W11" s="76"/>
      <c r="X11" s="76">
        <v>1</v>
      </c>
      <c r="Y11" s="76">
        <v>1</v>
      </c>
      <c r="Z11" s="76"/>
      <c r="AA11" s="76">
        <v>1</v>
      </c>
      <c r="AB11" s="76"/>
      <c r="AC11" s="76"/>
      <c r="AD11" s="76">
        <v>1</v>
      </c>
      <c r="AE11" s="76"/>
      <c r="AF11" s="76"/>
      <c r="AG11" s="76"/>
      <c r="AH11" s="54" t="s">
        <v>1637</v>
      </c>
    </row>
    <row r="12" spans="1:34" x14ac:dyDescent="0.25">
      <c r="A12" s="33" t="str">
        <f>Ueberblick[[#This Row],[Kürzel]]</f>
        <v>Haa17</v>
      </c>
      <c r="B12" s="81">
        <v>1</v>
      </c>
      <c r="C12" s="75"/>
      <c r="D12" s="75"/>
      <c r="E12" s="75"/>
      <c r="F12" s="75"/>
      <c r="G12" s="75">
        <v>1</v>
      </c>
      <c r="H12" s="75"/>
      <c r="I12" s="75"/>
      <c r="J12" s="75"/>
      <c r="K12" s="75"/>
      <c r="L12" s="75"/>
      <c r="M12" s="75"/>
      <c r="N12" s="75"/>
      <c r="O12" s="75">
        <v>1</v>
      </c>
      <c r="P12" s="75">
        <v>1</v>
      </c>
      <c r="Q12" s="75"/>
      <c r="R12" s="76"/>
      <c r="S12" s="76"/>
      <c r="T12" s="76"/>
      <c r="U12" s="76"/>
      <c r="V12" s="76"/>
      <c r="W12" s="76"/>
      <c r="X12" s="76">
        <v>1</v>
      </c>
      <c r="Y12" s="76"/>
      <c r="Z12" s="76"/>
      <c r="AA12" s="76">
        <v>1</v>
      </c>
      <c r="AB12" s="76"/>
      <c r="AC12" s="76"/>
      <c r="AD12" s="76">
        <v>1</v>
      </c>
      <c r="AE12" s="76">
        <v>1</v>
      </c>
      <c r="AF12" s="76"/>
      <c r="AG12" s="76"/>
      <c r="AH12" s="54" t="s">
        <v>1638</v>
      </c>
    </row>
    <row r="13" spans="1:34" x14ac:dyDescent="0.25">
      <c r="A13" s="33" t="str">
        <f>Ueberblick[[#This Row],[Kürzel]]</f>
        <v>Hei21</v>
      </c>
      <c r="B13" s="81">
        <v>1</v>
      </c>
      <c r="C13" s="75"/>
      <c r="D13" s="75"/>
      <c r="E13" s="75"/>
      <c r="F13" s="75"/>
      <c r="G13" s="75">
        <v>1</v>
      </c>
      <c r="H13" s="75"/>
      <c r="I13" s="75"/>
      <c r="J13" s="75"/>
      <c r="K13" s="75"/>
      <c r="L13" s="75"/>
      <c r="M13" s="75"/>
      <c r="N13" s="75"/>
      <c r="O13" s="75">
        <v>1</v>
      </c>
      <c r="P13" s="75"/>
      <c r="Q13" s="76"/>
      <c r="R13" s="76">
        <v>1</v>
      </c>
      <c r="S13" s="76"/>
      <c r="T13" s="76"/>
      <c r="U13" s="76"/>
      <c r="V13" s="76"/>
      <c r="W13" s="76"/>
      <c r="X13" s="76">
        <v>1</v>
      </c>
      <c r="Y13" s="76">
        <v>1</v>
      </c>
      <c r="Z13" s="76"/>
      <c r="AA13" s="76"/>
      <c r="AB13" s="76"/>
      <c r="AC13" s="76"/>
      <c r="AD13" s="76">
        <v>1</v>
      </c>
      <c r="AE13" s="76">
        <v>1</v>
      </c>
      <c r="AF13" s="76"/>
      <c r="AG13" s="76"/>
      <c r="AH13" s="54" t="s">
        <v>1787</v>
      </c>
    </row>
    <row r="14" spans="1:34" x14ac:dyDescent="0.25">
      <c r="A14" s="33" t="str">
        <f>Ueberblick[[#This Row],[Kürzel]]</f>
        <v>Hen15</v>
      </c>
      <c r="B14" s="81"/>
      <c r="C14" s="75"/>
      <c r="D14" s="75"/>
      <c r="E14" s="75"/>
      <c r="F14" s="75"/>
      <c r="G14" s="75"/>
      <c r="H14" s="75"/>
      <c r="I14" s="75"/>
      <c r="J14" s="75"/>
      <c r="K14" s="75"/>
      <c r="L14" s="75"/>
      <c r="M14" s="75"/>
      <c r="N14" s="75"/>
      <c r="O14" s="75"/>
      <c r="P14" s="76"/>
      <c r="Q14" s="76"/>
      <c r="R14" s="76"/>
      <c r="S14" s="76"/>
      <c r="T14" s="76"/>
      <c r="U14" s="76"/>
      <c r="V14" s="76"/>
      <c r="W14" s="76"/>
      <c r="X14" s="76"/>
      <c r="Y14" s="76">
        <v>1</v>
      </c>
      <c r="Z14" s="76"/>
      <c r="AA14" s="76"/>
      <c r="AB14" s="76"/>
      <c r="AC14" s="76"/>
      <c r="AD14" s="76"/>
      <c r="AE14" s="76"/>
      <c r="AF14" s="76"/>
      <c r="AG14" s="76"/>
      <c r="AH14" s="54">
        <v>31</v>
      </c>
    </row>
    <row r="15" spans="1:34" x14ac:dyDescent="0.25">
      <c r="A15" s="33" t="str">
        <f>Ueberblick[[#This Row],[Kürzel]]</f>
        <v>Jet21</v>
      </c>
      <c r="B15" s="81"/>
      <c r="C15" s="75"/>
      <c r="D15" s="75">
        <v>1</v>
      </c>
      <c r="E15" s="75"/>
      <c r="F15" s="75"/>
      <c r="G15" s="75"/>
      <c r="H15" s="75"/>
      <c r="I15" s="75"/>
      <c r="J15" s="75">
        <v>1</v>
      </c>
      <c r="K15" s="75"/>
      <c r="L15" s="75">
        <v>1</v>
      </c>
      <c r="M15" s="75"/>
      <c r="N15" s="75"/>
      <c r="O15" s="76">
        <v>1</v>
      </c>
      <c r="P15" s="76"/>
      <c r="Q15" s="76"/>
      <c r="R15" s="76"/>
      <c r="S15" s="76"/>
      <c r="T15" s="76"/>
      <c r="U15" s="76"/>
      <c r="V15" s="76">
        <v>1</v>
      </c>
      <c r="W15" s="76"/>
      <c r="X15" s="76"/>
      <c r="Y15" s="76">
        <v>1</v>
      </c>
      <c r="Z15" s="76"/>
      <c r="AA15" s="76"/>
      <c r="AB15" s="76">
        <v>1</v>
      </c>
      <c r="AC15" s="76">
        <v>1</v>
      </c>
      <c r="AD15" s="76"/>
      <c r="AE15" s="76">
        <v>1</v>
      </c>
      <c r="AF15" s="76"/>
      <c r="AG15" s="76"/>
      <c r="AH15" s="54" t="s">
        <v>1789</v>
      </c>
    </row>
    <row r="16" spans="1:34" x14ac:dyDescent="0.25">
      <c r="A16" s="33" t="str">
        <f>Ueberblick[[#This Row],[Kürzel]]</f>
        <v>Klo09</v>
      </c>
      <c r="B16" s="81"/>
      <c r="C16" s="75"/>
      <c r="D16" s="75"/>
      <c r="E16" s="75"/>
      <c r="F16" s="75"/>
      <c r="G16" s="75"/>
      <c r="H16" s="75"/>
      <c r="I16" s="75"/>
      <c r="J16" s="75"/>
      <c r="K16" s="75"/>
      <c r="L16" s="75"/>
      <c r="M16" s="75"/>
      <c r="N16" s="76"/>
      <c r="O16" s="76"/>
      <c r="P16" s="76"/>
      <c r="Q16" s="76"/>
      <c r="R16" s="76"/>
      <c r="S16" s="76"/>
      <c r="T16" s="76"/>
      <c r="U16" s="76"/>
      <c r="V16" s="76"/>
      <c r="W16" s="76"/>
      <c r="X16" s="76"/>
      <c r="Y16" s="76"/>
      <c r="Z16" s="76"/>
      <c r="AA16" s="76"/>
      <c r="AB16" s="76"/>
      <c r="AC16" s="76"/>
      <c r="AD16" s="76">
        <v>1</v>
      </c>
      <c r="AE16" s="76"/>
      <c r="AF16" s="76"/>
      <c r="AG16" s="76"/>
      <c r="AH16" s="54">
        <v>209</v>
      </c>
    </row>
    <row r="17" spans="1:34" x14ac:dyDescent="0.25">
      <c r="A17" s="33" t="str">
        <f>Ueberblick[[#This Row],[Kürzel]]</f>
        <v>Klo13</v>
      </c>
      <c r="B17" s="81">
        <v>1</v>
      </c>
      <c r="C17" s="75"/>
      <c r="D17" s="75"/>
      <c r="E17" s="75"/>
      <c r="F17" s="75"/>
      <c r="G17" s="75"/>
      <c r="H17" s="75"/>
      <c r="I17" s="75"/>
      <c r="J17" s="75"/>
      <c r="K17" s="75"/>
      <c r="L17" s="75"/>
      <c r="M17" s="76"/>
      <c r="N17" s="76"/>
      <c r="O17" s="76">
        <v>1</v>
      </c>
      <c r="P17" s="76"/>
      <c r="Q17" s="76"/>
      <c r="R17" s="76"/>
      <c r="S17" s="76"/>
      <c r="T17" s="76"/>
      <c r="U17" s="76"/>
      <c r="V17" s="76">
        <v>1</v>
      </c>
      <c r="W17" s="76"/>
      <c r="X17" s="76"/>
      <c r="Y17" s="76"/>
      <c r="Z17" s="76"/>
      <c r="AA17" s="76"/>
      <c r="AB17" s="76"/>
      <c r="AC17" s="76"/>
      <c r="AD17" s="76">
        <v>1</v>
      </c>
      <c r="AE17" s="76"/>
      <c r="AF17" s="76"/>
      <c r="AG17" s="76"/>
      <c r="AH17" s="54">
        <v>108</v>
      </c>
    </row>
    <row r="18" spans="1:34" x14ac:dyDescent="0.25">
      <c r="A18" s="33" t="str">
        <f>Ueberblick[[#This Row],[Kürzel]]</f>
        <v>Krz13</v>
      </c>
      <c r="B18" s="81"/>
      <c r="C18" s="75"/>
      <c r="D18" s="75"/>
      <c r="E18" s="75"/>
      <c r="F18" s="75"/>
      <c r="G18" s="75"/>
      <c r="H18" s="75"/>
      <c r="I18" s="75"/>
      <c r="J18" s="75"/>
      <c r="K18" s="75"/>
      <c r="L18" s="76"/>
      <c r="M18" s="76"/>
      <c r="N18" s="76"/>
      <c r="O18" s="76">
        <v>1</v>
      </c>
      <c r="P18" s="76"/>
      <c r="Q18" s="76"/>
      <c r="R18" s="76"/>
      <c r="S18" s="76"/>
      <c r="T18" s="76"/>
      <c r="U18" s="76"/>
      <c r="V18" s="76"/>
      <c r="W18" s="76"/>
      <c r="X18" s="76"/>
      <c r="Y18" s="76"/>
      <c r="Z18" s="76"/>
      <c r="AA18" s="76">
        <v>1</v>
      </c>
      <c r="AB18" s="76"/>
      <c r="AC18" s="76"/>
      <c r="AD18" s="76">
        <v>1</v>
      </c>
      <c r="AE18" s="76"/>
      <c r="AF18" s="76"/>
      <c r="AG18" s="76"/>
      <c r="AH18" s="54" t="s">
        <v>1639</v>
      </c>
    </row>
    <row r="19" spans="1:34" x14ac:dyDescent="0.25">
      <c r="A19" s="33" t="str">
        <f>Ueberblick[[#This Row],[Kürzel]]</f>
        <v>Lad18</v>
      </c>
      <c r="B19" s="81">
        <v>1</v>
      </c>
      <c r="C19" s="75"/>
      <c r="D19" s="75"/>
      <c r="E19" s="75"/>
      <c r="F19" s="75"/>
      <c r="G19" s="75">
        <v>1</v>
      </c>
      <c r="H19" s="75"/>
      <c r="I19" s="75"/>
      <c r="J19" s="75"/>
      <c r="K19" s="76"/>
      <c r="L19" s="76"/>
      <c r="M19" s="76"/>
      <c r="N19" s="76"/>
      <c r="O19" s="76">
        <v>1</v>
      </c>
      <c r="P19" s="76">
        <v>1</v>
      </c>
      <c r="Q19" s="76"/>
      <c r="R19" s="76"/>
      <c r="S19" s="76">
        <v>1</v>
      </c>
      <c r="T19" s="76"/>
      <c r="U19" s="76"/>
      <c r="V19" s="76">
        <v>1</v>
      </c>
      <c r="W19" s="76"/>
      <c r="X19" s="76">
        <v>1</v>
      </c>
      <c r="Y19" s="76"/>
      <c r="Z19" s="76"/>
      <c r="AA19" s="76"/>
      <c r="AB19" s="76"/>
      <c r="AC19" s="76"/>
      <c r="AD19" s="76">
        <v>1</v>
      </c>
      <c r="AE19" s="76"/>
      <c r="AF19" s="76"/>
      <c r="AG19" s="76"/>
      <c r="AH19" s="54" t="s">
        <v>1640</v>
      </c>
    </row>
    <row r="20" spans="1:34" x14ac:dyDescent="0.25">
      <c r="A20" s="33" t="str">
        <f>Ueberblick[[#This Row],[Kürzel]]</f>
        <v>Lan15</v>
      </c>
      <c r="B20" s="81"/>
      <c r="C20" s="75"/>
      <c r="D20" s="75"/>
      <c r="E20" s="75"/>
      <c r="F20" s="75"/>
      <c r="G20" s="75"/>
      <c r="H20" s="75"/>
      <c r="I20" s="75"/>
      <c r="J20" s="76"/>
      <c r="K20" s="76"/>
      <c r="L20" s="76"/>
      <c r="M20" s="76"/>
      <c r="N20" s="76"/>
      <c r="O20" s="76">
        <v>1</v>
      </c>
      <c r="P20" s="76"/>
      <c r="Q20" s="76"/>
      <c r="R20" s="76"/>
      <c r="S20" s="76"/>
      <c r="T20" s="76"/>
      <c r="U20" s="76"/>
      <c r="V20" s="76">
        <v>1</v>
      </c>
      <c r="W20" s="76"/>
      <c r="X20" s="76"/>
      <c r="Y20" s="76"/>
      <c r="Z20" s="76"/>
      <c r="AA20" s="76">
        <v>1</v>
      </c>
      <c r="AB20" s="76"/>
      <c r="AC20" s="76"/>
      <c r="AD20" s="76">
        <v>1</v>
      </c>
      <c r="AE20" s="76"/>
      <c r="AF20" s="76"/>
      <c r="AG20" s="76"/>
      <c r="AH20" s="54" t="s">
        <v>1641</v>
      </c>
    </row>
    <row r="21" spans="1:34" x14ac:dyDescent="0.25">
      <c r="A21" s="33" t="str">
        <f>Ueberblick[[#This Row],[Kürzel]]</f>
        <v>Lie15</v>
      </c>
      <c r="B21" s="81">
        <v>1</v>
      </c>
      <c r="C21" s="75"/>
      <c r="D21" s="75"/>
      <c r="E21" s="75"/>
      <c r="F21" s="75"/>
      <c r="G21" s="75"/>
      <c r="H21" s="75"/>
      <c r="I21" s="76"/>
      <c r="J21" s="76"/>
      <c r="K21" s="76"/>
      <c r="L21" s="76"/>
      <c r="M21" s="76"/>
      <c r="N21" s="76"/>
      <c r="O21" s="76">
        <v>1</v>
      </c>
      <c r="P21" s="76">
        <v>1</v>
      </c>
      <c r="Q21" s="76"/>
      <c r="R21" s="76"/>
      <c r="S21" s="76"/>
      <c r="T21" s="76"/>
      <c r="U21" s="76"/>
      <c r="V21" s="76">
        <v>1</v>
      </c>
      <c r="W21" s="76"/>
      <c r="X21" s="76"/>
      <c r="Y21" s="76"/>
      <c r="Z21" s="76"/>
      <c r="AA21" s="76"/>
      <c r="AB21" s="76"/>
      <c r="AC21" s="76"/>
      <c r="AD21" s="76"/>
      <c r="AE21" s="76"/>
      <c r="AF21" s="76"/>
      <c r="AG21" s="76"/>
      <c r="AH21" s="54" t="s">
        <v>1642</v>
      </c>
    </row>
    <row r="22" spans="1:34" x14ac:dyDescent="0.25">
      <c r="A22" s="33" t="str">
        <f>Ueberblick[[#This Row],[Kürzel]]</f>
        <v>Mae18</v>
      </c>
      <c r="B22" s="81"/>
      <c r="C22" s="75"/>
      <c r="D22" s="75"/>
      <c r="E22" s="75"/>
      <c r="F22" s="75"/>
      <c r="G22" s="75">
        <v>1</v>
      </c>
      <c r="H22" s="76"/>
      <c r="I22" s="76"/>
      <c r="J22" s="76"/>
      <c r="K22" s="76"/>
      <c r="L22" s="76"/>
      <c r="M22" s="76"/>
      <c r="N22" s="76"/>
      <c r="O22" s="76">
        <v>1</v>
      </c>
      <c r="P22" s="76"/>
      <c r="Q22" s="76"/>
      <c r="R22" s="76"/>
      <c r="S22" s="76"/>
      <c r="T22" s="76"/>
      <c r="U22" s="76"/>
      <c r="V22" s="76"/>
      <c r="W22" s="76"/>
      <c r="X22" s="76"/>
      <c r="Y22" s="76"/>
      <c r="Z22" s="76"/>
      <c r="AA22" s="76"/>
      <c r="AB22" s="76"/>
      <c r="AC22" s="76"/>
      <c r="AD22" s="76"/>
      <c r="AE22" s="76"/>
      <c r="AF22" s="76"/>
      <c r="AG22" s="76"/>
      <c r="AH22" s="54" t="s">
        <v>1788</v>
      </c>
    </row>
    <row r="23" spans="1:34" x14ac:dyDescent="0.25">
      <c r="A23" s="33" t="str">
        <f>Ueberblick[[#This Row],[Kürzel]]</f>
        <v>Mol10</v>
      </c>
      <c r="B23" s="81"/>
      <c r="C23" s="75"/>
      <c r="D23" s="75"/>
      <c r="E23" s="75"/>
      <c r="F23" s="75"/>
      <c r="G23" s="76"/>
      <c r="H23" s="76"/>
      <c r="I23" s="76"/>
      <c r="J23" s="76"/>
      <c r="K23" s="76"/>
      <c r="L23" s="76"/>
      <c r="M23" s="76"/>
      <c r="N23" s="76"/>
      <c r="O23" s="76">
        <v>1</v>
      </c>
      <c r="P23" s="76"/>
      <c r="Q23" s="76"/>
      <c r="R23" s="76"/>
      <c r="S23" s="76"/>
      <c r="T23" s="76"/>
      <c r="U23" s="76"/>
      <c r="V23" s="76"/>
      <c r="W23" s="76"/>
      <c r="X23" s="76">
        <v>1</v>
      </c>
      <c r="Y23" s="76"/>
      <c r="Z23" s="76"/>
      <c r="AA23" s="76"/>
      <c r="AB23" s="76"/>
      <c r="AC23" s="76"/>
      <c r="AD23" s="76">
        <v>1</v>
      </c>
      <c r="AE23" s="76"/>
      <c r="AF23" s="76"/>
      <c r="AG23" s="76"/>
      <c r="AH23" s="54">
        <v>545</v>
      </c>
    </row>
    <row r="24" spans="1:34" x14ac:dyDescent="0.25">
      <c r="A24" s="33" t="str">
        <f>Ueberblick[[#This Row],[Kürzel]]</f>
        <v>Mue19</v>
      </c>
      <c r="B24" s="81"/>
      <c r="C24" s="75"/>
      <c r="D24" s="75"/>
      <c r="E24" s="75"/>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54" t="s">
        <v>130</v>
      </c>
    </row>
    <row r="25" spans="1:34" x14ac:dyDescent="0.25">
      <c r="A25" s="33" t="str">
        <f>Ueberblick[[#This Row],[Kürzel]]</f>
        <v>Pau11</v>
      </c>
      <c r="B25" s="81">
        <v>1</v>
      </c>
      <c r="C25" s="75"/>
      <c r="D25" s="75"/>
      <c r="E25" s="76"/>
      <c r="F25" s="76"/>
      <c r="G25" s="76"/>
      <c r="H25" s="76"/>
      <c r="I25" s="76"/>
      <c r="J25" s="76"/>
      <c r="K25" s="76"/>
      <c r="L25" s="76"/>
      <c r="M25" s="76"/>
      <c r="N25" s="76"/>
      <c r="O25" s="76">
        <v>1</v>
      </c>
      <c r="P25" s="76"/>
      <c r="Q25" s="76"/>
      <c r="R25" s="76"/>
      <c r="S25" s="76"/>
      <c r="T25" s="76"/>
      <c r="U25" s="76"/>
      <c r="V25" s="76"/>
      <c r="W25" s="76"/>
      <c r="X25" s="76"/>
      <c r="Y25" s="76"/>
      <c r="Z25" s="76"/>
      <c r="AA25" s="76"/>
      <c r="AB25" s="76"/>
      <c r="AC25" s="76"/>
      <c r="AD25" s="76">
        <v>1</v>
      </c>
      <c r="AE25" s="76"/>
      <c r="AF25" s="76"/>
      <c r="AG25" s="76"/>
      <c r="AH25" s="54">
        <v>441</v>
      </c>
    </row>
    <row r="26" spans="1:34" x14ac:dyDescent="0.25">
      <c r="A26" s="33" t="str">
        <f>Ueberblick[[#This Row],[Kürzel]]</f>
        <v>Pel16</v>
      </c>
      <c r="B26" s="81">
        <v>1</v>
      </c>
      <c r="C26" s="75"/>
      <c r="D26" s="75"/>
      <c r="E26" s="76"/>
      <c r="F26" s="76"/>
      <c r="G26" s="76"/>
      <c r="H26" s="76"/>
      <c r="I26" s="76"/>
      <c r="J26" s="76"/>
      <c r="K26" s="76"/>
      <c r="L26" s="76"/>
      <c r="M26" s="76"/>
      <c r="N26" s="76"/>
      <c r="O26" s="76">
        <v>1</v>
      </c>
      <c r="P26" s="76">
        <v>1</v>
      </c>
      <c r="Q26" s="76"/>
      <c r="R26" s="76"/>
      <c r="S26" s="76"/>
      <c r="T26" s="76"/>
      <c r="U26" s="76"/>
      <c r="V26" s="76">
        <v>1</v>
      </c>
      <c r="W26" s="76"/>
      <c r="X26" s="76">
        <v>1</v>
      </c>
      <c r="Y26" s="76"/>
      <c r="Z26" s="76"/>
      <c r="AA26" s="76">
        <v>1</v>
      </c>
      <c r="AB26" s="76"/>
      <c r="AC26" s="76"/>
      <c r="AD26" s="76">
        <v>1</v>
      </c>
      <c r="AE26" s="76"/>
      <c r="AF26" s="76"/>
      <c r="AG26" s="76"/>
      <c r="AH26" s="54" t="s">
        <v>1643</v>
      </c>
    </row>
    <row r="27" spans="1:34" x14ac:dyDescent="0.25">
      <c r="A27" s="33" t="str">
        <f>Ueberblick[[#This Row],[Kürzel]]</f>
        <v>r2b14</v>
      </c>
      <c r="B27" s="81">
        <v>1</v>
      </c>
      <c r="C27" s="75"/>
      <c r="D27" s="75"/>
      <c r="E27" s="75"/>
      <c r="F27" s="75"/>
      <c r="G27" s="75"/>
      <c r="H27" s="75"/>
      <c r="I27" s="75"/>
      <c r="J27" s="75"/>
      <c r="K27" s="75"/>
      <c r="L27" s="75"/>
      <c r="M27" s="75"/>
      <c r="N27" s="75"/>
      <c r="O27" s="75">
        <v>1</v>
      </c>
      <c r="P27" s="75">
        <v>1</v>
      </c>
      <c r="Q27" s="75">
        <v>1</v>
      </c>
      <c r="R27" s="75"/>
      <c r="S27" s="75"/>
      <c r="T27" s="75"/>
      <c r="U27" s="75"/>
      <c r="V27" s="75"/>
      <c r="W27" s="75"/>
      <c r="X27" s="75"/>
      <c r="Y27" s="75"/>
      <c r="Z27" s="75"/>
      <c r="AA27" s="75"/>
      <c r="AB27" s="75"/>
      <c r="AC27" s="75"/>
      <c r="AD27" s="75"/>
      <c r="AE27" s="75"/>
      <c r="AF27" s="75"/>
      <c r="AG27" s="75"/>
      <c r="AH27" s="54" t="s">
        <v>1644</v>
      </c>
    </row>
    <row r="28" spans="1:34" x14ac:dyDescent="0.25">
      <c r="A28" s="33" t="str">
        <f>Ueberblick[[#This Row],[Kürzel]]</f>
        <v>Roo10</v>
      </c>
      <c r="B28" s="81"/>
      <c r="C28" s="75"/>
      <c r="D28" s="75"/>
      <c r="E28" s="75"/>
      <c r="F28" s="75"/>
      <c r="G28" s="75"/>
      <c r="H28" s="75"/>
      <c r="I28" s="75"/>
      <c r="J28" s="75"/>
      <c r="K28" s="75"/>
      <c r="L28" s="75"/>
      <c r="M28" s="75"/>
      <c r="N28" s="75"/>
      <c r="O28" s="75">
        <v>1</v>
      </c>
      <c r="P28" s="75"/>
      <c r="Q28" s="75"/>
      <c r="R28" s="75"/>
      <c r="S28" s="75"/>
      <c r="T28" s="75"/>
      <c r="U28" s="75"/>
      <c r="V28" s="75">
        <v>1</v>
      </c>
      <c r="W28" s="75"/>
      <c r="X28" s="75"/>
      <c r="Y28" s="75"/>
      <c r="Z28" s="75"/>
      <c r="AA28" s="75"/>
      <c r="AB28" s="75"/>
      <c r="AC28" s="75"/>
      <c r="AD28" s="75"/>
      <c r="AE28" s="75"/>
      <c r="AF28" s="75"/>
      <c r="AG28" s="75"/>
      <c r="AH28" s="54" t="s">
        <v>1645</v>
      </c>
    </row>
    <row r="29" spans="1:34" x14ac:dyDescent="0.25">
      <c r="A29" s="33" t="str">
        <f>Ueberblick[[#This Row],[Kürzel]]</f>
        <v>Sau19</v>
      </c>
      <c r="B29" s="81"/>
      <c r="C29" s="75"/>
      <c r="D29" s="75">
        <v>1</v>
      </c>
      <c r="E29" s="75"/>
      <c r="F29" s="75">
        <v>1</v>
      </c>
      <c r="G29" s="75">
        <v>1</v>
      </c>
      <c r="H29" s="75">
        <v>1</v>
      </c>
      <c r="I29" s="75"/>
      <c r="J29" s="75">
        <v>1</v>
      </c>
      <c r="K29" s="75"/>
      <c r="L29" s="75"/>
      <c r="M29" s="75"/>
      <c r="N29" s="75"/>
      <c r="O29" s="75">
        <v>1</v>
      </c>
      <c r="P29" s="75"/>
      <c r="Q29" s="75"/>
      <c r="R29" s="75"/>
      <c r="S29" s="75">
        <v>1</v>
      </c>
      <c r="T29" s="75"/>
      <c r="U29" s="75"/>
      <c r="V29" s="75">
        <v>1</v>
      </c>
      <c r="W29" s="75"/>
      <c r="X29" s="75">
        <v>1</v>
      </c>
      <c r="Y29" s="75">
        <v>1</v>
      </c>
      <c r="Z29" s="75"/>
      <c r="AA29" s="75">
        <v>1</v>
      </c>
      <c r="AB29" s="75"/>
      <c r="AC29" s="75"/>
      <c r="AD29" s="75"/>
      <c r="AE29" s="75">
        <v>1</v>
      </c>
      <c r="AF29" s="75"/>
      <c r="AG29" s="75"/>
      <c r="AH29" s="54"/>
    </row>
    <row r="30" spans="1:34" x14ac:dyDescent="0.25">
      <c r="A30" s="33" t="str">
        <f>Ueberblick[[#This Row],[Kürzel]]</f>
        <v>Sch14</v>
      </c>
      <c r="B30" s="81"/>
      <c r="C30" s="75"/>
      <c r="D30" s="75"/>
      <c r="E30" s="75"/>
      <c r="F30" s="75"/>
      <c r="G30" s="75">
        <v>1</v>
      </c>
      <c r="H30" s="75"/>
      <c r="I30" s="75"/>
      <c r="J30" s="75"/>
      <c r="K30" s="75"/>
      <c r="L30" s="75"/>
      <c r="M30" s="75"/>
      <c r="N30" s="75"/>
      <c r="O30" s="75">
        <v>1</v>
      </c>
      <c r="P30" s="75"/>
      <c r="Q30" s="75"/>
      <c r="R30" s="75"/>
      <c r="S30" s="75"/>
      <c r="T30" s="75"/>
      <c r="U30" s="75"/>
      <c r="V30" s="75">
        <v>1</v>
      </c>
      <c r="W30" s="75"/>
      <c r="X30" s="75"/>
      <c r="Y30" s="75"/>
      <c r="Z30" s="75"/>
      <c r="AA30" s="75">
        <v>1</v>
      </c>
      <c r="AB30" s="75"/>
      <c r="AC30" s="75"/>
      <c r="AD30" s="75">
        <v>1</v>
      </c>
      <c r="AE30" s="75"/>
      <c r="AF30" s="75"/>
      <c r="AG30" s="75"/>
      <c r="AH30" s="54" t="s">
        <v>1646</v>
      </c>
    </row>
    <row r="31" spans="1:34" x14ac:dyDescent="0.25">
      <c r="A31" s="33" t="str">
        <f>Ueberblick[[#This Row],[Kürzel]]</f>
        <v>Sta06</v>
      </c>
      <c r="B31" s="81"/>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54" t="s">
        <v>1646</v>
      </c>
    </row>
    <row r="32" spans="1:34" x14ac:dyDescent="0.25">
      <c r="A32" s="33" t="str">
        <f>Ueberblick[[#This Row],[Kürzel]]</f>
        <v>Ste17</v>
      </c>
      <c r="B32" s="81">
        <v>1</v>
      </c>
      <c r="C32" s="75"/>
      <c r="D32" s="75"/>
      <c r="E32" s="75"/>
      <c r="F32" s="75">
        <v>1</v>
      </c>
      <c r="G32" s="75">
        <v>1</v>
      </c>
      <c r="H32" s="75"/>
      <c r="I32" s="75">
        <v>1</v>
      </c>
      <c r="J32" s="75"/>
      <c r="K32" s="75"/>
      <c r="L32" s="75"/>
      <c r="M32" s="75">
        <v>1</v>
      </c>
      <c r="N32" s="75"/>
      <c r="O32" s="75">
        <v>1</v>
      </c>
      <c r="P32" s="75">
        <v>1</v>
      </c>
      <c r="Q32" s="75">
        <v>1</v>
      </c>
      <c r="R32" s="75"/>
      <c r="S32" s="75">
        <v>1</v>
      </c>
      <c r="T32" s="75"/>
      <c r="U32" s="75"/>
      <c r="V32" s="75">
        <v>1</v>
      </c>
      <c r="W32" s="75"/>
      <c r="X32" s="75">
        <v>1</v>
      </c>
      <c r="Y32" s="75"/>
      <c r="Z32" s="75">
        <v>1</v>
      </c>
      <c r="AA32" s="75">
        <v>1</v>
      </c>
      <c r="AB32" s="75"/>
      <c r="AC32" s="75"/>
      <c r="AD32" s="75">
        <v>1</v>
      </c>
      <c r="AE32" s="75"/>
      <c r="AF32" s="75">
        <v>1</v>
      </c>
      <c r="AG32" s="75"/>
      <c r="AH32" s="54" t="s">
        <v>1648</v>
      </c>
    </row>
    <row r="33" spans="1:34" x14ac:dyDescent="0.25">
      <c r="A33" s="33" t="str">
        <f>Ueberblick[[#This Row],[Kürzel]]</f>
        <v>Sty15</v>
      </c>
      <c r="B33" s="81">
        <v>1</v>
      </c>
      <c r="C33" s="75"/>
      <c r="D33" s="75"/>
      <c r="E33" s="75"/>
      <c r="F33" s="75"/>
      <c r="G33" s="75"/>
      <c r="H33" s="75"/>
      <c r="I33" s="75"/>
      <c r="J33" s="75"/>
      <c r="K33" s="75"/>
      <c r="L33" s="75"/>
      <c r="M33" s="75"/>
      <c r="N33" s="75"/>
      <c r="O33" s="75">
        <v>1</v>
      </c>
      <c r="P33" s="75">
        <v>1</v>
      </c>
      <c r="Q33" s="75"/>
      <c r="R33" s="75"/>
      <c r="S33" s="75"/>
      <c r="T33" s="75"/>
      <c r="U33" s="75"/>
      <c r="V33" s="75">
        <v>1</v>
      </c>
      <c r="W33" s="75"/>
      <c r="X33" s="75"/>
      <c r="Y33" s="75"/>
      <c r="Z33" s="75"/>
      <c r="AA33" s="75"/>
      <c r="AB33" s="75"/>
      <c r="AC33" s="75"/>
      <c r="AD33" s="75"/>
      <c r="AE33" s="75"/>
      <c r="AF33" s="75"/>
      <c r="AG33" s="75"/>
      <c r="AH33" s="54" t="s">
        <v>1647</v>
      </c>
    </row>
    <row r="34" spans="1:34" x14ac:dyDescent="0.25">
      <c r="A34" s="33" t="str">
        <f>Ueberblick[[#This Row],[Kürzel]]</f>
        <v>Woh20</v>
      </c>
      <c r="B34" s="81">
        <v>1</v>
      </c>
      <c r="C34" s="75"/>
      <c r="D34" s="75"/>
      <c r="E34" s="75"/>
      <c r="F34" s="75"/>
      <c r="G34" s="75">
        <v>1</v>
      </c>
      <c r="H34" s="75"/>
      <c r="I34" s="75"/>
      <c r="J34" s="75"/>
      <c r="K34" s="75"/>
      <c r="L34" s="75"/>
      <c r="M34" s="75"/>
      <c r="N34" s="75"/>
      <c r="O34" s="75">
        <v>1</v>
      </c>
      <c r="P34" s="75">
        <v>1</v>
      </c>
      <c r="Q34" s="75"/>
      <c r="R34" s="75"/>
      <c r="S34" s="75"/>
      <c r="T34" s="75"/>
      <c r="U34" s="75"/>
      <c r="V34" s="75">
        <v>1</v>
      </c>
      <c r="W34" s="75"/>
      <c r="X34" s="75"/>
      <c r="Y34" s="75"/>
      <c r="Z34" s="75"/>
      <c r="AA34" s="75">
        <v>1</v>
      </c>
      <c r="AB34" s="75"/>
      <c r="AC34" s="75"/>
      <c r="AD34" s="75">
        <v>1</v>
      </c>
      <c r="AE34" s="75"/>
      <c r="AF34" s="75"/>
      <c r="AG34" s="75"/>
      <c r="AH34" s="54" t="s">
        <v>1790</v>
      </c>
    </row>
    <row r="35" spans="1:34" x14ac:dyDescent="0.25">
      <c r="A35" s="17" t="s">
        <v>853</v>
      </c>
      <c r="B35" s="126">
        <f>SUM(B3:B34)</f>
        <v>15</v>
      </c>
      <c r="C35" s="126">
        <f t="shared" ref="C35:AG35" si="0">SUM(C3:C34)</f>
        <v>0</v>
      </c>
      <c r="D35" s="126">
        <f t="shared" si="0"/>
        <v>2</v>
      </c>
      <c r="E35" s="126">
        <f t="shared" si="0"/>
        <v>0</v>
      </c>
      <c r="F35" s="126">
        <f t="shared" si="0"/>
        <v>3</v>
      </c>
      <c r="G35" s="126">
        <f t="shared" si="0"/>
        <v>9</v>
      </c>
      <c r="H35" s="126">
        <f t="shared" si="0"/>
        <v>2</v>
      </c>
      <c r="I35" s="126">
        <f t="shared" si="0"/>
        <v>1</v>
      </c>
      <c r="J35" s="126">
        <f t="shared" si="0"/>
        <v>2</v>
      </c>
      <c r="K35" s="126">
        <f t="shared" si="0"/>
        <v>0</v>
      </c>
      <c r="L35" s="126">
        <f t="shared" si="0"/>
        <v>1</v>
      </c>
      <c r="M35" s="126">
        <f t="shared" si="0"/>
        <v>1</v>
      </c>
      <c r="N35" s="126">
        <f t="shared" si="0"/>
        <v>0</v>
      </c>
      <c r="O35" s="126">
        <f t="shared" si="0"/>
        <v>28</v>
      </c>
      <c r="P35" s="126">
        <f t="shared" si="0"/>
        <v>10</v>
      </c>
      <c r="Q35" s="126">
        <f t="shared" si="0"/>
        <v>2</v>
      </c>
      <c r="R35" s="126">
        <f t="shared" si="0"/>
        <v>1</v>
      </c>
      <c r="S35" s="126">
        <f t="shared" si="0"/>
        <v>5</v>
      </c>
      <c r="T35" s="126">
        <f t="shared" si="0"/>
        <v>0</v>
      </c>
      <c r="U35" s="126">
        <f t="shared" si="0"/>
        <v>0</v>
      </c>
      <c r="V35" s="126">
        <f t="shared" si="0"/>
        <v>18</v>
      </c>
      <c r="W35" s="126">
        <f t="shared" si="0"/>
        <v>0</v>
      </c>
      <c r="X35" s="126">
        <f t="shared" si="0"/>
        <v>11</v>
      </c>
      <c r="Y35" s="126">
        <f t="shared" si="0"/>
        <v>6</v>
      </c>
      <c r="Z35" s="126">
        <f t="shared" si="0"/>
        <v>2</v>
      </c>
      <c r="AA35" s="126">
        <f t="shared" si="0"/>
        <v>12</v>
      </c>
      <c r="AB35" s="126">
        <f t="shared" si="0"/>
        <v>1</v>
      </c>
      <c r="AC35" s="126">
        <f t="shared" si="0"/>
        <v>3</v>
      </c>
      <c r="AD35" s="126">
        <f t="shared" si="0"/>
        <v>16</v>
      </c>
      <c r="AE35" s="126">
        <f t="shared" si="0"/>
        <v>5</v>
      </c>
      <c r="AF35" s="126">
        <f t="shared" si="0"/>
        <v>1</v>
      </c>
      <c r="AG35" s="126">
        <f t="shared" si="0"/>
        <v>0</v>
      </c>
      <c r="AH35" s="88"/>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29" sqref="C29"/>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1797</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1793</v>
      </c>
      <c r="C27" s="1" t="s">
        <v>1794</v>
      </c>
      <c r="D27" s="1" t="s">
        <v>1795</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1793</v>
      </c>
      <c r="B89" s="1">
        <v>20</v>
      </c>
      <c r="C89" s="1" t="s">
        <v>1794</v>
      </c>
      <c r="D89" s="1" t="s">
        <v>1795</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U45" sqref="U45"/>
    </sheetView>
  </sheetViews>
  <sheetFormatPr baseColWidth="10" defaultRowHeight="15.75" x14ac:dyDescent="0.25"/>
  <cols>
    <col min="1" max="1" width="17.625" customWidth="1"/>
    <col min="2" max="27" width="5.875" style="7" customWidth="1"/>
  </cols>
  <sheetData>
    <row r="1" spans="1:27" ht="166.5" x14ac:dyDescent="0.25">
      <c r="A1" s="46" t="s">
        <v>1</v>
      </c>
      <c r="B1" s="41" t="s">
        <v>866</v>
      </c>
      <c r="C1" s="41" t="s">
        <v>1579</v>
      </c>
      <c r="D1" s="41" t="s">
        <v>1580</v>
      </c>
      <c r="E1" s="41" t="s">
        <v>863</v>
      </c>
      <c r="F1" s="41" t="s">
        <v>1152</v>
      </c>
      <c r="G1" s="41" t="s">
        <v>1581</v>
      </c>
      <c r="H1" s="41" t="s">
        <v>864</v>
      </c>
      <c r="I1" s="41" t="s">
        <v>1582</v>
      </c>
      <c r="J1" s="41" t="s">
        <v>1583</v>
      </c>
      <c r="K1" s="41" t="s">
        <v>862</v>
      </c>
      <c r="L1" s="41" t="s">
        <v>865</v>
      </c>
      <c r="M1" s="41" t="s">
        <v>1584</v>
      </c>
      <c r="N1" s="41" t="s">
        <v>1585</v>
      </c>
      <c r="O1" s="41" t="s">
        <v>1586</v>
      </c>
      <c r="P1" s="41" t="s">
        <v>1587</v>
      </c>
      <c r="Q1" s="41" t="s">
        <v>956</v>
      </c>
      <c r="R1" s="41" t="s">
        <v>1588</v>
      </c>
      <c r="S1" s="41" t="s">
        <v>957</v>
      </c>
      <c r="T1" s="41" t="s">
        <v>958</v>
      </c>
      <c r="U1" s="41" t="s">
        <v>959</v>
      </c>
      <c r="V1" s="41" t="s">
        <v>960</v>
      </c>
      <c r="W1" s="41" t="s">
        <v>961</v>
      </c>
      <c r="X1" s="41" t="s">
        <v>965</v>
      </c>
      <c r="Y1" s="41" t="s">
        <v>1590</v>
      </c>
      <c r="Z1" s="41" t="s">
        <v>1589</v>
      </c>
      <c r="AA1" s="41" t="s">
        <v>1793</v>
      </c>
    </row>
    <row r="2" spans="1:27" x14ac:dyDescent="0.25">
      <c r="A2" s="6" t="str">
        <f>Gesamtueberblick!B3</f>
        <v>Ape12</v>
      </c>
      <c r="B2" s="40">
        <v>1</v>
      </c>
      <c r="C2" s="40">
        <v>0</v>
      </c>
      <c r="D2" s="40">
        <v>1</v>
      </c>
      <c r="E2" s="40">
        <v>1</v>
      </c>
      <c r="F2" s="40">
        <v>0</v>
      </c>
      <c r="G2" s="40">
        <v>0</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Ary17</v>
      </c>
      <c r="B3" s="40">
        <v>1</v>
      </c>
      <c r="C3" s="40">
        <v>1</v>
      </c>
      <c r="D3" s="40">
        <v>0</v>
      </c>
      <c r="E3" s="40">
        <v>0</v>
      </c>
      <c r="F3" s="40">
        <v>0</v>
      </c>
      <c r="G3" s="40">
        <v>0</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Aus18</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Blu13</v>
      </c>
      <c r="B5" s="40">
        <v>1</v>
      </c>
      <c r="C5" s="40">
        <v>1</v>
      </c>
      <c r="D5" s="40">
        <v>0</v>
      </c>
      <c r="E5" s="40">
        <v>0</v>
      </c>
      <c r="F5" s="40">
        <v>0</v>
      </c>
      <c r="G5" s="40">
        <v>0</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Foc11</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Gil15</v>
      </c>
      <c r="B7" s="40">
        <v>1</v>
      </c>
      <c r="C7" s="40">
        <v>0</v>
      </c>
      <c r="D7" s="40">
        <v>1</v>
      </c>
      <c r="E7" s="40">
        <v>1</v>
      </c>
      <c r="F7" s="40">
        <v>1</v>
      </c>
      <c r="G7" s="40">
        <v>0</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Gob12</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Gro13</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Gru17</v>
      </c>
      <c r="B10" s="40">
        <v>1</v>
      </c>
      <c r="C10" s="40">
        <v>0</v>
      </c>
      <c r="D10" s="40">
        <v>1</v>
      </c>
      <c r="E10" s="40">
        <v>0</v>
      </c>
      <c r="F10" s="40">
        <v>0</v>
      </c>
      <c r="G10" s="40">
        <v>0</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Haa17</v>
      </c>
      <c r="B11" s="40">
        <v>1</v>
      </c>
      <c r="C11" s="40">
        <v>0</v>
      </c>
      <c r="D11" s="40">
        <v>1</v>
      </c>
      <c r="E11" s="40">
        <v>0</v>
      </c>
      <c r="F11" s="40">
        <v>0</v>
      </c>
      <c r="G11" s="40">
        <v>0</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Hei21</v>
      </c>
      <c r="B12" s="40">
        <v>0</v>
      </c>
      <c r="C12" s="40">
        <v>0</v>
      </c>
      <c r="D12" s="40">
        <v>1</v>
      </c>
      <c r="E12" s="40">
        <v>1</v>
      </c>
      <c r="F12" s="40">
        <v>1</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Hen15</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Jet21</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Klo09</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Klo13</v>
      </c>
      <c r="B16" s="40">
        <v>1</v>
      </c>
      <c r="C16" s="40">
        <v>0</v>
      </c>
      <c r="D16" s="40">
        <v>1</v>
      </c>
      <c r="E16" s="40">
        <v>0</v>
      </c>
      <c r="F16" s="40">
        <v>1</v>
      </c>
      <c r="G16" s="40">
        <v>0</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Krz13</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Lad18</v>
      </c>
      <c r="B18" s="40">
        <v>1</v>
      </c>
      <c r="C18" s="40">
        <v>0</v>
      </c>
      <c r="D18" s="40">
        <v>1</v>
      </c>
      <c r="E18" s="40">
        <v>0</v>
      </c>
      <c r="F18" s="40">
        <v>0</v>
      </c>
      <c r="G18" s="40">
        <v>0</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Lan15</v>
      </c>
      <c r="B19" s="40">
        <v>1</v>
      </c>
      <c r="C19" s="40">
        <v>0</v>
      </c>
      <c r="D19" s="40">
        <v>0</v>
      </c>
      <c r="E19" s="40">
        <v>1</v>
      </c>
      <c r="F19" s="40">
        <v>0</v>
      </c>
      <c r="G19" s="40">
        <v>0</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Lie15</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Mae18</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Mol10</v>
      </c>
      <c r="B22" s="40">
        <v>1</v>
      </c>
      <c r="C22" s="40">
        <v>0</v>
      </c>
      <c r="D22" s="40">
        <v>1</v>
      </c>
      <c r="E22" s="40">
        <v>0</v>
      </c>
      <c r="F22" s="40">
        <v>0</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Mue19</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Pau11</v>
      </c>
      <c r="B24" s="40">
        <v>1</v>
      </c>
      <c r="C24" s="40">
        <v>0</v>
      </c>
      <c r="D24" s="40">
        <v>1</v>
      </c>
      <c r="E24" s="40">
        <v>0</v>
      </c>
      <c r="F24" s="40">
        <v>0</v>
      </c>
      <c r="G24" s="40">
        <v>0</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Pel16</v>
      </c>
      <c r="B25" s="40">
        <v>1</v>
      </c>
      <c r="C25" s="40">
        <v>1</v>
      </c>
      <c r="D25" s="40">
        <v>1</v>
      </c>
      <c r="E25" s="40">
        <v>0</v>
      </c>
      <c r="F25" s="40">
        <v>0</v>
      </c>
      <c r="G25" s="40">
        <v>0</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r2b14</v>
      </c>
      <c r="B26" s="40">
        <v>1</v>
      </c>
      <c r="C26" s="40">
        <v>1</v>
      </c>
      <c r="D26" s="40">
        <v>0</v>
      </c>
      <c r="E26" s="40">
        <v>0</v>
      </c>
      <c r="F26" s="40">
        <v>0</v>
      </c>
      <c r="G26" s="40">
        <v>0</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Roo10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Sau19</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Sch14</v>
      </c>
      <c r="B29" s="40">
        <v>1</v>
      </c>
      <c r="C29" s="40">
        <v>0</v>
      </c>
      <c r="D29" s="40">
        <v>1</v>
      </c>
      <c r="E29" s="40">
        <v>1</v>
      </c>
      <c r="F29" s="40">
        <v>1</v>
      </c>
      <c r="G29" s="40">
        <v>0</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Sta06</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Ste17</v>
      </c>
      <c r="B31" s="40">
        <v>1</v>
      </c>
      <c r="C31" s="40">
        <v>0</v>
      </c>
      <c r="D31" s="40">
        <v>1</v>
      </c>
      <c r="E31" s="40">
        <v>1</v>
      </c>
      <c r="F31" s="40">
        <v>1</v>
      </c>
      <c r="G31" s="40">
        <v>0</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Sty15</v>
      </c>
      <c r="B32" s="40">
        <v>0.5</v>
      </c>
      <c r="C32" s="40">
        <v>0.5</v>
      </c>
      <c r="D32" s="40">
        <v>0</v>
      </c>
      <c r="E32" s="40">
        <v>0</v>
      </c>
      <c r="F32" s="40">
        <v>0</v>
      </c>
      <c r="G32" s="40">
        <v>0</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Woh20</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6" t="s">
        <v>853</v>
      </c>
      <c r="B34" s="137">
        <f>SUM(B2:B33)</f>
        <v>19.5</v>
      </c>
      <c r="C34" s="137">
        <f t="shared" ref="C34:AA34" si="0">SUM(C2:C33)</f>
        <v>9.5</v>
      </c>
      <c r="D34" s="137">
        <f t="shared" si="0"/>
        <v>16</v>
      </c>
      <c r="E34" s="137">
        <f t="shared" si="0"/>
        <v>10</v>
      </c>
      <c r="F34" s="137">
        <f t="shared" si="0"/>
        <v>9</v>
      </c>
      <c r="G34" s="137">
        <f t="shared" si="0"/>
        <v>5</v>
      </c>
      <c r="H34" s="137">
        <f t="shared" si="0"/>
        <v>21.5</v>
      </c>
      <c r="I34" s="137">
        <f t="shared" si="0"/>
        <v>21.5</v>
      </c>
      <c r="J34" s="137">
        <f t="shared" si="0"/>
        <v>20.5</v>
      </c>
      <c r="K34" s="137">
        <f t="shared" si="0"/>
        <v>4</v>
      </c>
      <c r="L34" s="137">
        <f t="shared" si="0"/>
        <v>10.5</v>
      </c>
      <c r="M34" s="137">
        <f t="shared" si="0"/>
        <v>3</v>
      </c>
      <c r="N34" s="137">
        <f t="shared" si="0"/>
        <v>4</v>
      </c>
      <c r="O34" s="137">
        <f t="shared" si="0"/>
        <v>4</v>
      </c>
      <c r="P34" s="137">
        <f t="shared" si="0"/>
        <v>3.5</v>
      </c>
      <c r="Q34" s="137">
        <f t="shared" si="0"/>
        <v>2.5</v>
      </c>
      <c r="R34" s="137">
        <f t="shared" si="0"/>
        <v>3</v>
      </c>
      <c r="S34" s="137">
        <f t="shared" si="0"/>
        <v>3</v>
      </c>
      <c r="T34" s="137">
        <f t="shared" si="0"/>
        <v>3</v>
      </c>
      <c r="U34" s="137">
        <f t="shared" si="0"/>
        <v>2</v>
      </c>
      <c r="V34" s="137">
        <f t="shared" si="0"/>
        <v>3</v>
      </c>
      <c r="W34" s="137">
        <f t="shared" si="0"/>
        <v>4</v>
      </c>
      <c r="X34" s="137">
        <f t="shared" si="0"/>
        <v>4</v>
      </c>
      <c r="Y34" s="137">
        <f t="shared" si="0"/>
        <v>1</v>
      </c>
      <c r="Z34" s="137">
        <f t="shared" si="0"/>
        <v>2</v>
      </c>
      <c r="AA34" s="137">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34"/>
  <sheetViews>
    <sheetView workbookViewId="0">
      <selection activeCell="Y34" sqref="Y34"/>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913</v>
      </c>
      <c r="D1" s="41" t="s">
        <v>966</v>
      </c>
      <c r="E1" s="41" t="s">
        <v>863</v>
      </c>
      <c r="F1" s="41" t="s">
        <v>1152</v>
      </c>
      <c r="G1" s="41" t="s">
        <v>1151</v>
      </c>
      <c r="H1" s="41" t="s">
        <v>864</v>
      </c>
      <c r="I1" s="41" t="s">
        <v>949</v>
      </c>
      <c r="J1" s="41" t="s">
        <v>951</v>
      </c>
      <c r="K1" s="41" t="s">
        <v>862</v>
      </c>
      <c r="L1" s="41" t="s">
        <v>865</v>
      </c>
      <c r="M1" s="41" t="s">
        <v>952</v>
      </c>
      <c r="N1" s="41" t="s">
        <v>920</v>
      </c>
      <c r="O1" s="41" t="s">
        <v>919</v>
      </c>
      <c r="P1" s="41" t="s">
        <v>955</v>
      </c>
      <c r="Q1" s="41" t="s">
        <v>956</v>
      </c>
      <c r="R1" s="41" t="s">
        <v>918</v>
      </c>
      <c r="S1" s="41" t="s">
        <v>957</v>
      </c>
      <c r="T1" s="41" t="s">
        <v>958</v>
      </c>
      <c r="U1" s="41" t="s">
        <v>959</v>
      </c>
      <c r="V1" s="41" t="s">
        <v>960</v>
      </c>
      <c r="W1" s="41" t="s">
        <v>961</v>
      </c>
      <c r="X1" s="41" t="s">
        <v>965</v>
      </c>
      <c r="Y1" s="41" t="s">
        <v>925</v>
      </c>
      <c r="Z1" s="41" t="s">
        <v>926</v>
      </c>
    </row>
    <row r="2" spans="1:26" x14ac:dyDescent="0.25">
      <c r="A2" s="6" t="str">
        <f>Tabelle1420[[#This Row],[Kurzbeleg]]</f>
        <v>Ape12</v>
      </c>
      <c r="B2" s="40" t="str">
        <f>VLOOKUP(Tabelle1420[[#This Row],[Primäraluminiumelektrolyse]],Dropdown!$A$2:$D$4,4,FALSE)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Row],[Papiermaschinen]],Dropdown!$A$2:$D$4,4,FALSE)</f>
        <v>X</v>
      </c>
      <c r="F2" s="40" t="str">
        <f>VLOOKUP(Tabelle1420[[#This Row],[Altpapierrecycling (Pulper)]],Dropdown!$A$2:$D$4,4,FALSE)</f>
        <v>-</v>
      </c>
      <c r="G2" s="40" t="str">
        <f>VLOOKUP(Tabelle1420[[#This Row],[Papierveredelung 
(Streichmaschinen und Kalander)]],Dropdown!$A$2:$D$4,4,FALSE)</f>
        <v>-</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row>
    <row r="3" spans="1:26" x14ac:dyDescent="0.25">
      <c r="A3" s="6" t="str">
        <f>Tabelle1420[[#This Row],[Kurzbeleg]]</f>
        <v>Ary17</v>
      </c>
      <c r="B3" s="40" t="str">
        <f>VLOOKUP(Tabelle1420[[#This Row],[Primäraluminiumelektrolyse]],Dropdown!$A$2:$D$4,4,FALSE)</f>
        <v>X</v>
      </c>
      <c r="C3" s="40" t="str">
        <f>VLOOKUP(Tabelle1420[[#This Row],[Papierherstellung 
(Prozess gesamt)]],Dropdown!$A$2:$D$4,4,FALSE)</f>
        <v>X</v>
      </c>
      <c r="D3" s="40" t="str">
        <f>VLOOKUP(Tabelle1420[[#This Row],[Holzstoff- und Zellstoffherstellung 
(Holzschleifer / Refiner)]],Dropdown!$A$2:$D$4,4,FALSE)</f>
        <v>-</v>
      </c>
      <c r="E3" s="40" t="str">
        <f>VLOOKUP(Tabelle1420[[#This Row],[Papiermaschinen]],Dropdown!$A$2:$D$4,4,FALSE)</f>
        <v>-</v>
      </c>
      <c r="F3" s="40" t="str">
        <f>VLOOKUP(Tabelle1420[[#This Row],[Altpapierrecycling (Pulper)]],Dropdown!$A$2:$D$4,4,FALSE)</f>
        <v>-</v>
      </c>
      <c r="G3" s="40" t="str">
        <f>VLOOKUP(Tabelle1420[[#This Row],[Papierveredelung 
(Streichmaschinen und Kalander)]],Dropdown!$A$2:$D$4,4,FALSE)</f>
        <v>-</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row>
    <row r="4" spans="1:26" x14ac:dyDescent="0.25">
      <c r="A4" s="6" t="str">
        <f>Tabelle1420[[#This Row],[Kurzbeleg]]</f>
        <v>Aus18</v>
      </c>
      <c r="B4" s="40" t="str">
        <f>VLOOKUP(Tabelle1420[[#This Row],[Primäraluminiumelektrolyse]],Dropdown!$A$2:$D$4,4,FALSE)</f>
        <v>-</v>
      </c>
      <c r="C4" s="40" t="str">
        <f>VLOOKUP(Tabelle1420[[#This Row],[Papierherstellung 
(Prozess gesamt)]],Dropdown!$A$2:$D$4,4,FALSE)</f>
        <v>-</v>
      </c>
      <c r="D4" s="40" t="str">
        <f>VLOOKUP(Tabelle1420[[#This Row],[Holzstoff- und Zellstoffherstellung 
(Holzschleifer / Refiner)]],Dropdown!$A$2:$D$4,4,FALSE)</f>
        <v>-</v>
      </c>
      <c r="E4" s="40" t="str">
        <f>VLOOKUP(Tabelle1420[[#This Row],[Papiermaschinen]],Dropdown!$A$2:$D$4,4,FALSE)</f>
        <v>-</v>
      </c>
      <c r="F4" s="40" t="str">
        <f>VLOOKUP(Tabelle1420[[#This Row],[Altpapierrecycling (Pulper)]],Dropdown!$A$2:$D$4,4,FALSE)</f>
        <v>-</v>
      </c>
      <c r="G4" s="40" t="str">
        <f>VLOOKUP(Tabelle1420[[#This Row],[Papierveredelung 
(Streichmaschinen und Kalander)]],Dropdown!$A$2:$D$4,4,FALSE)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X</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 
(Graphitierungsofen)]],Dropdown!$A$2:$D$4,4,FALSE)</f>
        <v>-</v>
      </c>
    </row>
    <row r="5" spans="1:26" x14ac:dyDescent="0.25">
      <c r="A5" s="6" t="str">
        <f>Tabelle1420[[#This Row],[Kurzbeleg]]</f>
        <v>Blu13</v>
      </c>
      <c r="B5" s="40" t="str">
        <f>VLOOKUP(Tabelle1420[[#This Row],[Primäraluminiumelektrolyse]],Dropdown!$A$2:$D$4,4,FALSE)</f>
        <v>X</v>
      </c>
      <c r="C5" s="40" t="str">
        <f>VLOOKUP(Tabelle1420[[#This Row],[Papierherstellung 
(Prozess gesamt)]],Dropdown!$A$2:$D$4,4,FALSE)</f>
        <v>X</v>
      </c>
      <c r="D5" s="40" t="str">
        <f>VLOOKUP(Tabelle1420[[#This Row],[Holzstoff- und Zellstoffherstellung 
(Holzschleifer / Refiner)]],Dropdown!$A$2:$D$4,4,FALSE)</f>
        <v>-</v>
      </c>
      <c r="E5" s="40" t="str">
        <f>VLOOKUP(Tabelle1420[[#This Row],[Papiermaschinen]],Dropdown!$A$2:$D$4,4,FALSE)</f>
        <v>-</v>
      </c>
      <c r="F5" s="40" t="str">
        <f>VLOOKUP(Tabelle1420[[#This Row],[Altpapierrecycling (Pulper)]],Dropdown!$A$2:$D$4,4,FALSE)</f>
        <v>-</v>
      </c>
      <c r="G5" s="40" t="str">
        <f>VLOOKUP(Tabelle1420[[#This Row],[Papierveredelung 
(Streichmaschinen und Kalander)]],Dropdown!$A$2:$D$4,4,FALSE)</f>
        <v>-</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v>
      </c>
      <c r="M5" s="40" t="str">
        <f>VLOOKUP(Tabelle1420[[#This Row],[Kupfer- und Zinkherstellung 
(Elektrolyse)]],Dropdown!$A$2:$D$4,4,FALSE)</f>
        <v>-</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row>
    <row r="6" spans="1:26" x14ac:dyDescent="0.25">
      <c r="A6" s="6" t="str">
        <f>Tabelle1420[[#This Row],[Kurzbeleg]]</f>
        <v>Foc11</v>
      </c>
      <c r="B6" s="40" t="str">
        <f>VLOOKUP(Tabelle1420[[#This Row],[Primäraluminiumelektrolyse]],Dropdown!$A$2:$D$4,4,FALSE)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Row],[Papiermaschinen]],Dropdown!$A$2:$D$4,4,FALSE)</f>
        <v>X</v>
      </c>
      <c r="F6" s="40" t="str">
        <f>VLOOKUP(Tabelle1420[[#This Row],[Altpapierrecycling (Pulper)]],Dropdown!$A$2:$D$4,4,FALSE)</f>
        <v>X</v>
      </c>
      <c r="G6" s="40" t="str">
        <f>VLOOKUP(Tabelle1420[[#This Row],[Papierveredelung 
(Streichmaschinen und Kalander)]],Dropdown!$A$2:$D$4,4,FALSE)</f>
        <v>X</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X</v>
      </c>
      <c r="N6" s="40" t="str">
        <f>VLOOKUP(Tabelle1420[[#This Row],[Primärkupferherstellung 
(elektrolytische Kupferraffination)]],Dropdown!$A$2:$D$4,4,FALSE)</f>
        <v>-</v>
      </c>
      <c r="O6" s="40" t="str">
        <f>VLOOKUP(Tabelle1420[[#This Row],[Primärzinkherstellung 
(Nasschemische Elektrolyse)]],Dropdown!$A$2:$D$4,4,FALSE)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row>
    <row r="7" spans="1:26" x14ac:dyDescent="0.25">
      <c r="A7" s="6" t="str">
        <f>Tabelle1420[[#This Row],[Kurzbeleg]]</f>
        <v>Gil15</v>
      </c>
      <c r="B7" s="40" t="str">
        <f>VLOOKUP(Tabelle1420[[#This Row],[Primäraluminiumelektrolyse]],Dropdown!$A$2:$D$4,4,FALSE)</f>
        <v>X</v>
      </c>
      <c r="C7" s="40" t="str">
        <f>VLOOKUP(Tabelle1420[[#This Row],[Papierherstellung 
(Prozess gesamt)]],Dropdown!$A$2:$D$4,4,FALSE)</f>
        <v>-</v>
      </c>
      <c r="D7" s="40" t="str">
        <f>VLOOKUP(Tabelle1420[[#This Row],[Holzstoff- und Zellstoffherstellung 
(Holzschleifer / Refiner)]],Dropdown!$A$2:$D$4,4,FALSE)</f>
        <v>X</v>
      </c>
      <c r="E7" s="40" t="str">
        <f>VLOOKUP(Tabelle1420[[#This Row],[Papiermaschinen]],Dropdown!$A$2:$D$4,4,FALSE)</f>
        <v>X</v>
      </c>
      <c r="F7" s="40" t="str">
        <f>VLOOKUP(Tabelle1420[[#This Row],[Altpapierrecycling (Pulper)]],Dropdown!$A$2:$D$4,4,FALSE)</f>
        <v>X</v>
      </c>
      <c r="G7" s="40" t="str">
        <f>VLOOKUP(Tabelle1420[[#This Row],[Papierveredelung 
(Streichmaschinen und Kalander)]],Dropdown!$A$2:$D$4,4,FALSE)</f>
        <v>-</v>
      </c>
      <c r="H7" s="40" t="str">
        <f>VLOOKUP(Tabelle1420[[#This Row],[Chlor-Alkali-Elektrolyse]],Dropdown!$A$2:$D$4,4,FALSE)</f>
        <v>X</v>
      </c>
      <c r="I7" s="40" t="str">
        <f>VLOOKUP(Tabelle1420[[#This Row],[Elektrostahlherstellung 
(Lichtbogenofen)]],Dropdown!$A$2:$D$4,4,FALSE)</f>
        <v>X</v>
      </c>
      <c r="J7" s="40" t="str">
        <f>VLOOKUP(Tabelle1420[[#This Row],[Zementherstellung 
(Prozess gesamt)]],Dropdown!$A$2:$D$4,4,FALSE)</f>
        <v>X</v>
      </c>
      <c r="K7" s="40" t="str">
        <f>VLOOKUP(Tabelle1420[[#This Row],[Zementmühlen]],Dropdown!$A$2:$D$4,4,FALSE)</f>
        <v>-</v>
      </c>
      <c r="L7" s="40" t="str">
        <f>VLOOKUP(Tabelle1420[[#This Row],[Luftzerlegung]],Dropdown!$A$2:$D$4,4,FALSE)</f>
        <v>X</v>
      </c>
      <c r="M7" s="40" t="str">
        <f>VLOOKUP(Tabelle1420[[#This Row],[Kupfer- und Zinkherstellung 
(Elektrolyse)]],Dropdown!$A$2:$D$4,4,FALSE)</f>
        <v>-</v>
      </c>
      <c r="N7" s="40" t="str">
        <f>VLOOKUP(Tabelle1420[[#This Row],[Primärkupferherstellung 
(elektrolytische Kupferraffination)]],Dropdown!$A$2:$D$4,4,FALSE)</f>
        <v>X</v>
      </c>
      <c r="O7" s="40" t="str">
        <f>VLOOKUP(Tabelle1420[[#This Row],[Primärzinkherstellung 
(Nasschemische Elektrolyse)]],Dropdown!$A$2:$D$4,4,FALSE)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row>
    <row r="8" spans="1:26" x14ac:dyDescent="0.25">
      <c r="A8" s="6" t="str">
        <f>Tabelle1420[[#This Row],[Kurzbeleg]]</f>
        <v>Gob12</v>
      </c>
      <c r="B8" s="40" t="str">
        <f>VLOOKUP(Tabelle1420[[#This Row],[Primäraluminiumelektrolyse]],Dropdown!$A$2:$D$4,4,FALSE)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Row],[Papiermaschinen]],Dropdown!$A$2:$D$4,4,FALSE)</f>
        <v>-</v>
      </c>
      <c r="F8" s="40" t="str">
        <f>VLOOKUP(Tabelle1420[[#This Row],[Altpapierrecycling (Pulper)]],Dropdown!$A$2:$D$4,4,FALSE)</f>
        <v>-</v>
      </c>
      <c r="G8" s="40" t="str">
        <f>VLOOKUP(Tabelle1420[[#This Row],[Papierveredelung 
(Streichmaschinen und Kalander)]],Dropdown!$A$2:$D$4,4,FALSE)</f>
        <v>-</v>
      </c>
      <c r="H8" s="40" t="str">
        <f>VLOOKUP(Tabelle1420[[#This Row],[Chlor-Alkali-Elektrolyse]],Dropdown!$A$2:$D$4,4,FALSE)</f>
        <v>-</v>
      </c>
      <c r="I8" s="40" t="str">
        <f>VLOOKUP(Tabelle1420[[#This Row],[Elektrostahlherstellung 
(Lichtbogenofen)]],Dropdown!$A$2:$D$4,4,FALSE)</f>
        <v>-</v>
      </c>
      <c r="J8" s="40" t="str">
        <f>VLOOKUP(Tabelle1420[[#This Row],[Zementherstellung 
(Prozess gesamt)]],Dropdown!$A$2:$D$4,4,FALSE)</f>
        <v>-</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row>
    <row r="9" spans="1:26" x14ac:dyDescent="0.25">
      <c r="A9" s="6" t="str">
        <f>Tabelle1420[[#This Row],[Kurzbeleg]]</f>
        <v>Gro13</v>
      </c>
      <c r="B9" s="40" t="str">
        <f>VLOOKUP(Tabelle1420[[#This Row],[Primäraluminiumelektrolyse]],Dropdown!$A$2:$D$4,4,FALSE)</f>
        <v>-</v>
      </c>
      <c r="C9" s="40" t="str">
        <f>VLOOKUP(Tabelle1420[[#This Row],[Papierherstellung 
(Prozess gesamt)]],Dropdown!$A$2:$D$4,4,FALSE)</f>
        <v>X</v>
      </c>
      <c r="D9" s="40" t="str">
        <f>VLOOKUP(Tabelle1420[[#This Row],[Holzstoff- und Zellstoffherstellung 
(Holzschleifer / Refiner)]],Dropdown!$A$2:$D$4,4,FALSE)</f>
        <v>-</v>
      </c>
      <c r="E9" s="40" t="str">
        <f>VLOOKUP(Tabelle1420[[#This Row],[Papiermaschinen]],Dropdown!$A$2:$D$4,4,FALSE)</f>
        <v>-</v>
      </c>
      <c r="F9" s="40" t="str">
        <f>VLOOKUP(Tabelle1420[[#This Row],[Altpapierrecycling (Pulper)]],Dropdown!$A$2:$D$4,4,FALSE)</f>
        <v>-</v>
      </c>
      <c r="G9" s="40" t="str">
        <f>VLOOKUP(Tabelle1420[[#This Row],[Papierveredelung 
(Streichmaschinen und Kalander)]],Dropdown!$A$2:$D$4,4,FALSE)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row>
    <row r="10" spans="1:26" x14ac:dyDescent="0.25">
      <c r="A10" s="6" t="str">
        <f>Tabelle1420[[#This Row],[Kurzbeleg]]</f>
        <v>Gru17</v>
      </c>
      <c r="B10" s="40" t="str">
        <f>VLOOKUP(Tabelle1420[[#This Row],[Primäraluminiumelektrolyse]],Dropdown!$A$2:$D$4,4,FALSE)</f>
        <v>X</v>
      </c>
      <c r="C10" s="40" t="str">
        <f>VLOOKUP(Tabelle1420[[#This Row],[Papierherstellung 
(Prozess gesamt)]],Dropdown!$A$2:$D$4,4,FALSE)</f>
        <v>-</v>
      </c>
      <c r="D10" s="40" t="str">
        <f>VLOOKUP(Tabelle1420[[#This Row],[Holzstoff- und Zellstoffherstellung 
(Holzschleifer / Refiner)]],Dropdown!$A$2:$D$4,4,FALSE)</f>
        <v>X</v>
      </c>
      <c r="E10" s="40" t="str">
        <f>VLOOKUP(Tabelle1420[[#This Row],[Papiermaschinen]],Dropdown!$A$2:$D$4,4,FALSE)</f>
        <v>-</v>
      </c>
      <c r="F10" s="40" t="str">
        <f>VLOOKUP(Tabelle1420[[#This Row],[Altpapierrecycling (Pulper)]],Dropdown!$A$2:$D$4,4,FALSE)</f>
        <v>-</v>
      </c>
      <c r="G10" s="40" t="str">
        <f>VLOOKUP(Tabelle1420[[#This Row],[Papierveredelung 
(Streichmaschinen und Kalander)]],Dropdown!$A$2:$D$4,4,FALSE)</f>
        <v>-</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X</v>
      </c>
      <c r="K10" s="40" t="str">
        <f>VLOOKUP(Tabelle1420[[#This Row],[Zementmühlen]],Dropdown!$A$2:$D$4,4,FALSE)</f>
        <v>-</v>
      </c>
      <c r="L10" s="40" t="str">
        <f>VLOOKUP(Tabelle1420[[#This Row],[Luftzerlegung]],Dropdown!$A$2:$D$4,4,FALSE)</f>
        <v>-</v>
      </c>
      <c r="M10" s="40" t="str">
        <f>VLOOKUP(Tabelle1420[[#This Row],[Kupfer- und Zinkherstellung 
(Elektrolyse)]],Dropdown!$A$2:$D$4,4,FALSE)</f>
        <v>-</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row>
    <row r="11" spans="1:26" x14ac:dyDescent="0.25">
      <c r="A11" s="6" t="str">
        <f>Tabelle1420[[#This Row],[Kurzbeleg]]</f>
        <v>Haa17</v>
      </c>
      <c r="B11" s="40" t="str">
        <f>VLOOKUP(Tabelle1420[[#This Row],[Primäraluminiumelektrolyse]],Dropdown!$A$2:$D$4,4,FALSE)</f>
        <v>X</v>
      </c>
      <c r="C11" s="40" t="str">
        <f>VLOOKUP(Tabelle1420[[#This Row],[Papierherstellung 
(Prozess gesamt)]],Dropdown!$A$2:$D$4,4,FALSE)</f>
        <v>-</v>
      </c>
      <c r="D11" s="40" t="str">
        <f>VLOOKUP(Tabelle1420[[#This Row],[Holzstoff- und Zellstoffherstellung 
(Holzschleifer / Refiner)]],Dropdown!$A$2:$D$4,4,FALSE)</f>
        <v>X</v>
      </c>
      <c r="E11" s="40" t="str">
        <f>VLOOKUP(Tabelle1420[[#This Row],[Papiermaschinen]],Dropdown!$A$2:$D$4,4,FALSE)</f>
        <v>-</v>
      </c>
      <c r="F11" s="40" t="str">
        <f>VLOOKUP(Tabelle1420[[#This Row],[Altpapierrecycling (Pulper)]],Dropdown!$A$2:$D$4,4,FALSE)</f>
        <v>-</v>
      </c>
      <c r="G11" s="40" t="str">
        <f>VLOOKUP(Tabelle1420[[#This Row],[Papierveredelung 
(Streichmaschinen und Kalander)]],Dropdown!$A$2:$D$4,4,FALSE)</f>
        <v>-</v>
      </c>
      <c r="H11" s="40" t="str">
        <f>VLOOKUP(Tabelle1420[[#This Row],[Chlor-Alkali-Elektrolyse]],Dropdown!$A$2:$D$4,4,FALSE)</f>
        <v>X</v>
      </c>
      <c r="I11" s="40" t="str">
        <f>VLOOKUP(Tabelle1420[[#This Row],[Elektrostahlherstellung 
(Lichtbogenofen)]],Dropdown!$A$2:$D$4,4,FALSE)</f>
        <v>X</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X</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row>
    <row r="12" spans="1:26" x14ac:dyDescent="0.25">
      <c r="A12" s="6" t="str">
        <f>Tabelle1420[[#This Row],[Kurzbeleg]]</f>
        <v>Hei21</v>
      </c>
      <c r="B12" s="40" t="str">
        <f>VLOOKUP(Tabelle1420[[#This Row],[Primäraluminiumelektrolyse]],Dropdown!$A$2:$D$4,4,FALSE)</f>
        <v>-</v>
      </c>
      <c r="C12" s="40" t="str">
        <f>VLOOKUP(Tabelle1420[[#This Row],[Papierherstellung 
(Prozess gesamt)]],Dropdown!$A$2:$D$4,4,FALSE)</f>
        <v>-</v>
      </c>
      <c r="D12" s="40" t="str">
        <f>VLOOKUP(Tabelle1420[[#This Row],[Holzstoff- und Zellstoffherstellung 
(Holzschleifer / Refiner)]],Dropdown!$A$2:$D$4,4,FALSE)</f>
        <v>X</v>
      </c>
      <c r="E12" s="40" t="str">
        <f>VLOOKUP(Tabelle1420[[#This Row],[Papiermaschinen]],Dropdown!$A$2:$D$4,4,FALSE)</f>
        <v>X</v>
      </c>
      <c r="F12" s="40" t="str">
        <f>VLOOKUP(Tabelle1420[[#This Row],[Altpapierrecycling (Pulper)]],Dropdown!$A$2:$D$4,4,FALSE)</f>
        <v>X</v>
      </c>
      <c r="G12" s="40" t="str">
        <f>VLOOKUP(Tabelle1420[[#This Row],[Papierveredelung 
(Streichmaschinen und Kalander)]],Dropdown!$A$2:$D$4,4,FALSE)</f>
        <v>-</v>
      </c>
      <c r="H12" s="40" t="str">
        <f>VLOOKUP(Tabelle1420[[#This Row],[Chlor-Alkali-Elektrolyse]],Dropdown!$A$2:$D$4,4,FALSE)</f>
        <v>-</v>
      </c>
      <c r="I12" s="40" t="str">
        <f>VLOOKUP(Tabelle1420[[#This Row],[Elektrostahlherstellung 
(Lichtbogenofen)]],Dropdown!$A$2:$D$4,4,FALSE)</f>
        <v>-</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v>
      </c>
      <c r="O12" s="40" t="str">
        <f>VLOOKUP(Tabelle1420[[#This Row],[Primärzinkherstellung 
(Nasschemische Elektrolyse)]],Dropdown!$A$2:$D$4,4,FALSE)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row>
    <row r="13" spans="1:26" x14ac:dyDescent="0.25">
      <c r="A13" s="6" t="str">
        <f>Tabelle1420[[#This Row],[Kurzbeleg]]</f>
        <v>Hen15</v>
      </c>
      <c r="B13" s="40" t="str">
        <f>VLOOKUP(Tabelle1420[[#This Row],[Primäraluminiumelektrolyse]],Dropdown!$A$2:$D$4,4,FALSE)</f>
        <v>-</v>
      </c>
      <c r="C13" s="40" t="str">
        <f>VLOOKUP(Tabelle1420[[#This Row],[Papierherstellung 
(Prozess gesamt)]],Dropdown!$A$2:$D$4,4,FALSE)</f>
        <v>-</v>
      </c>
      <c r="D13" s="40" t="str">
        <f>VLOOKUP(Tabelle1420[[#This Row],[Holzstoff- und Zellstoffherstellung 
(Holzschleifer / Refiner)]],Dropdown!$A$2:$D$4,4,FALSE)</f>
        <v>-</v>
      </c>
      <c r="E13" s="40" t="str">
        <f>VLOOKUP(Tabelle1420[[#This Row],[Papiermaschinen]],Dropdown!$A$2:$D$4,4,FALSE)</f>
        <v>-</v>
      </c>
      <c r="F13" s="40" t="str">
        <f>VLOOKUP(Tabelle1420[[#This Row],[Altpapierrecycling (Pulper)]],Dropdown!$A$2:$D$4,4,FALSE)</f>
        <v>-</v>
      </c>
      <c r="G13" s="40" t="str">
        <f>VLOOKUP(Tabelle1420[[#This Row],[Papierveredelung 
(Streichmaschinen und Kalander)]],Dropdown!$A$2:$D$4,4,FALSE)</f>
        <v>-</v>
      </c>
      <c r="H13" s="40" t="str">
        <f>VLOOKUP(Tabelle1420[[#This Row],[Chlor-Alkali-Elektrolyse]],Dropdown!$A$2:$D$4,4,FALSE)</f>
        <v>-</v>
      </c>
      <c r="I13" s="40" t="str">
        <f>VLOOKUP(Tabelle1420[[#This Row],[Elektrostahlherstellung 
(Lichtbogenofen)]],Dropdown!$A$2:$D$4,4,FALSE)</f>
        <v>-</v>
      </c>
      <c r="J13" s="40" t="str">
        <f>VLOOKUP(Tabelle1420[[#This Row],[Zementherstellung 
(Prozess gesamt)]],Dropdown!$A$2:$D$4,4,FALSE)</f>
        <v>-</v>
      </c>
      <c r="K13" s="40" t="str">
        <f>VLOOKUP(Tabelle1420[[#This Row],[Zementmühlen]],Dropdown!$A$2:$D$4,4,FALSE)</f>
        <v>-</v>
      </c>
      <c r="L13" s="40" t="str">
        <f>VLOOKUP(Tabelle1420[[#This Row],[Luftzerlegung]],Dropdown!$A$2:$D$4,4,FALSE)</f>
        <v>-</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row>
    <row r="14" spans="1:26" x14ac:dyDescent="0.25">
      <c r="A14" s="6" t="str">
        <f>Tabelle1420[[#This Row],[Kurzbeleg]]</f>
        <v>Jet21</v>
      </c>
      <c r="B14" s="40" t="str">
        <f>VLOOKUP(Tabelle1420[[#This Row],[Primäraluminiumelektrolyse]],Dropdown!$A$2:$D$4,4,FALSE)</f>
        <v>X</v>
      </c>
      <c r="C14" s="40" t="str">
        <f>VLOOKUP(Tabelle1420[[#This Row],[Papierherstellung 
(Prozess gesamt)]],Dropdown!$A$2:$D$4,4,FALSE)</f>
        <v>X</v>
      </c>
      <c r="D14" s="40" t="str">
        <f>VLOOKUP(Tabelle1420[[#This Row],[Holzstoff- und Zellstoffherstellung 
(Holzschleifer / Refiner)]],Dropdown!$A$2:$D$4,4,FALSE)</f>
        <v>X</v>
      </c>
      <c r="E14" s="40" t="str">
        <f>VLOOKUP(Tabelle1420[[#This Row],[Papiermaschinen]],Dropdown!$A$2:$D$4,4,FALSE)</f>
        <v>X</v>
      </c>
      <c r="F14" s="40" t="str">
        <f>VLOOKUP(Tabelle1420[[#This Row],[Altpapierrecycling (Pulper)]],Dropdown!$A$2:$D$4,4,FALSE)</f>
        <v>X</v>
      </c>
      <c r="G14" s="40" t="str">
        <f>VLOOKUP(Tabelle1420[[#This Row],[Papierveredelung 
(Streichmaschinen und Kalander)]],Dropdown!$A$2:$D$4,4,FALSE)</f>
        <v>X</v>
      </c>
      <c r="H14" s="40" t="str">
        <f>VLOOKUP(Tabelle1420[[#This Row],[Chlor-Alkali-Elektrolyse]],Dropdown!$A$2:$D$4,4,FALSE)</f>
        <v>X</v>
      </c>
      <c r="I14" s="40" t="str">
        <f>VLOOKUP(Tabelle1420[[#This Row],[Elektrostahlherstellung 
(Lichtbogenofen)]],Dropdown!$A$2:$D$4,4,FALSE)</f>
        <v>X</v>
      </c>
      <c r="J14" s="40" t="str">
        <f>VLOOKUP(Tabelle1420[[#This Row],[Zementherstellung 
(Prozess gesamt)]],Dropdown!$A$2:$D$4,4,FALSE)</f>
        <v>X</v>
      </c>
      <c r="K14" s="40" t="str">
        <f>VLOOKUP(Tabelle1420[[#This Row],[Zementmühlen]],Dropdown!$A$2:$D$4,4,FALSE)</f>
        <v>X</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row>
    <row r="15" spans="1:26" x14ac:dyDescent="0.25">
      <c r="A15" s="6" t="str">
        <f>Tabelle1420[[#This Row],[Kurzbeleg]]</f>
        <v>Klo09</v>
      </c>
      <c r="B15" s="40" t="str">
        <f>VLOOKUP(Tabelle1420[[#This Row],[Primäraluminiumelektrolyse]],Dropdown!$A$2:$D$4,4,FALSE)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Row],[Papiermaschinen]],Dropdown!$A$2:$D$4,4,FALSE)</f>
        <v>X</v>
      </c>
      <c r="F15" s="40" t="str">
        <f>VLOOKUP(Tabelle1420[[#This Row],[Altpapierrecycling (Pulper)]],Dropdown!$A$2:$D$4,4,FALSE)</f>
        <v>X</v>
      </c>
      <c r="G15" s="40" t="str">
        <f>VLOOKUP(Tabelle1420[[#This Row],[Papierveredelung 
(Streichmaschinen und Kalander)]],Dropdown!$A$2:$D$4,4,FALSE)</f>
        <v>X</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X</v>
      </c>
      <c r="K15" s="40" t="str">
        <f>VLOOKUP(Tabelle1420[[#This Row],[Zementmühlen]],Dropdown!$A$2:$D$4,4,FALSE)</f>
        <v>-</v>
      </c>
      <c r="L15" s="40" t="str">
        <f>VLOOKUP(Tabelle1420[[#This Row],[Luftzerlegung]],Dropdown!$A$2:$D$4,4,FALSE)</f>
        <v>X</v>
      </c>
      <c r="M15" s="40" t="str">
        <f>VLOOKUP(Tabelle1420[[#This Row],[Kupfer- und Zinkherstellung 
(Elektrolyse)]],Dropdown!$A$2:$D$4,4,FALSE)</f>
        <v>-</v>
      </c>
      <c r="N15" s="40" t="str">
        <f>VLOOKUP(Tabelle1420[[#This Row],[Primärkupferherstellung 
(elektrolytische Kupferraffination)]],Dropdown!$A$2:$D$4,4,FALSE)</f>
        <v>X</v>
      </c>
      <c r="O15" s="40" t="str">
        <f>VLOOKUP(Tabelle1420[[#This Row],[Primärzinkherstellung 
(Nasschemische Elektrolyse)]],Dropdown!$A$2:$D$4,4,FALSE)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row>
    <row r="16" spans="1:26" x14ac:dyDescent="0.25">
      <c r="A16" s="6" t="str">
        <f>Tabelle1420[[#This Row],[Kurzbeleg]]</f>
        <v>Klo13</v>
      </c>
      <c r="B16" s="40" t="str">
        <f>VLOOKUP(Tabelle1420[[#This Row],[Primäraluminiumelektrolyse]],Dropdown!$A$2:$D$4,4,FALSE)</f>
        <v>X</v>
      </c>
      <c r="C16" s="40" t="str">
        <f>VLOOKUP(Tabelle1420[[#This Row],[Papierherstellung 
(Prozess gesamt)]],Dropdown!$A$2:$D$4,4,FALSE)</f>
        <v>-</v>
      </c>
      <c r="D16" s="40" t="str">
        <f>VLOOKUP(Tabelle1420[[#This Row],[Holzstoff- und Zellstoffherstellung 
(Holzschleifer / Refiner)]],Dropdown!$A$2:$D$4,4,FALSE)</f>
        <v>X</v>
      </c>
      <c r="E16" s="40" t="str">
        <f>VLOOKUP(Tabelle1420[[#This Row],[Papiermaschinen]],Dropdown!$A$2:$D$4,4,FALSE)</f>
        <v>-</v>
      </c>
      <c r="F16" s="40" t="str">
        <f>VLOOKUP(Tabelle1420[[#This Row],[Altpapierrecycling (Pulper)]],Dropdown!$A$2:$D$4,4,FALSE)</f>
        <v>X</v>
      </c>
      <c r="G16" s="40" t="str">
        <f>VLOOKUP(Tabelle1420[[#This Row],[Papierveredelung 
(Streichmaschinen und Kalander)]],Dropdown!$A$2:$D$4,4,FALSE)</f>
        <v>-</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 
(Graphitierungsofen)]],Dropdown!$A$2:$D$4,4,FALSE)</f>
        <v>-</v>
      </c>
    </row>
    <row r="17" spans="1:26" x14ac:dyDescent="0.25">
      <c r="A17" s="6" t="str">
        <f>Tabelle1420[[#This Row],[Kurzbeleg]]</f>
        <v>Krz13</v>
      </c>
      <c r="B17" s="40" t="str">
        <f>VLOOKUP(Tabelle1420[[#This Row],[Primäraluminiumelektrolyse]],Dropdown!$A$2:$D$4,4,FALSE)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Row],[Papiermaschinen]],Dropdown!$A$2:$D$4,4,FALSE)</f>
        <v>-</v>
      </c>
      <c r="F17" s="40" t="str">
        <f>VLOOKUP(Tabelle1420[[#This Row],[Altpapierrecycling (Pulper)]],Dropdown!$A$2:$D$4,4,FALSE)</f>
        <v>-</v>
      </c>
      <c r="G17" s="40" t="str">
        <f>VLOOKUP(Tabelle1420[[#This Row],[Papierveredelung 
(Streichmaschinen und Kalander)]],Dropdown!$A$2:$D$4,4,FALSE)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row>
    <row r="18" spans="1:26" x14ac:dyDescent="0.25">
      <c r="A18" s="6" t="str">
        <f>Tabelle1420[[#This Row],[Kurzbeleg]]</f>
        <v>Lad18</v>
      </c>
      <c r="B18" s="40" t="str">
        <f>VLOOKUP(Tabelle1420[[#This Row],[Primäraluminiumelektrolyse]],Dropdown!$A$2:$D$4,4,FALSE)</f>
        <v>X</v>
      </c>
      <c r="C18" s="40" t="str">
        <f>VLOOKUP(Tabelle1420[[#This Row],[Papierherstellung 
(Prozess gesamt)]],Dropdown!$A$2:$D$4,4,FALSE)</f>
        <v>-</v>
      </c>
      <c r="D18" s="40" t="str">
        <f>VLOOKUP(Tabelle1420[[#This Row],[Holzstoff- und Zellstoffherstellung 
(Holzschleifer / Refiner)]],Dropdown!$A$2:$D$4,4,FALSE)</f>
        <v>X</v>
      </c>
      <c r="E18" s="40" t="str">
        <f>VLOOKUP(Tabelle1420[[#This Row],[Papiermaschinen]],Dropdown!$A$2:$D$4,4,FALSE)</f>
        <v>-</v>
      </c>
      <c r="F18" s="40" t="str">
        <f>VLOOKUP(Tabelle1420[[#This Row],[Altpapierrecycling (Pulper)]],Dropdown!$A$2:$D$4,4,FALSE)</f>
        <v>-</v>
      </c>
      <c r="G18" s="40" t="str">
        <f>VLOOKUP(Tabelle1420[[#This Row],[Papierveredelung 
(Streichmaschinen und Kalander)]],Dropdown!$A$2:$D$4,4,FALSE)</f>
        <v>-</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v>
      </c>
      <c r="K18" s="40" t="str">
        <f>VLOOKUP(Tabelle1420[[#This Row],[Zementmühlen]],Dropdown!$A$2:$D$4,4,FALSE)</f>
        <v>X</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row>
    <row r="19" spans="1:26" x14ac:dyDescent="0.25">
      <c r="A19" s="6" t="str">
        <f>Tabelle1420[[#This Row],[Kurzbeleg]]</f>
        <v>Lan15</v>
      </c>
      <c r="B19" s="40" t="str">
        <f>VLOOKUP(Tabelle1420[[#This Row],[Primäraluminiumelektrolyse]],Dropdown!$A$2:$D$4,4,FALSE)</f>
        <v>X</v>
      </c>
      <c r="C19" s="40" t="str">
        <f>VLOOKUP(Tabelle1420[[#This Row],[Papierherstellung 
(Prozess gesamt)]],Dropdown!$A$2:$D$4,4,FALSE)</f>
        <v>-</v>
      </c>
      <c r="D19" s="40" t="str">
        <f>VLOOKUP(Tabelle1420[[#This Row],[Holzstoff- und Zellstoffherstellung 
(Holzschleifer / Refiner)]],Dropdown!$A$2:$D$4,4,FALSE)</f>
        <v>-</v>
      </c>
      <c r="E19" s="40" t="str">
        <f>VLOOKUP(Tabelle1420[[#This Row],[Papiermaschinen]],Dropdown!$A$2:$D$4,4,FALSE)</f>
        <v>X</v>
      </c>
      <c r="F19" s="40" t="str">
        <f>VLOOKUP(Tabelle1420[[#This Row],[Altpapierrecycling (Pulper)]],Dropdown!$A$2:$D$4,4,FALSE)</f>
        <v>-</v>
      </c>
      <c r="G19" s="40" t="str">
        <f>VLOOKUP(Tabelle1420[[#This Row],[Papierveredelung 
(Streichmaschinen und Kalander)]],Dropdown!$A$2:$D$4,4,FALSE)</f>
        <v>-</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X</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 
(Graphitierungsofen)]],Dropdown!$A$2:$D$4,4,FALSE)</f>
        <v>-</v>
      </c>
    </row>
    <row r="20" spans="1:26" x14ac:dyDescent="0.25">
      <c r="A20" s="6" t="str">
        <f>Tabelle1420[[#This Row],[Kurzbeleg]]</f>
        <v>Lie15</v>
      </c>
      <c r="B20" s="40" t="str">
        <f>VLOOKUP(Tabelle1420[[#This Row],[Primäraluminiumelektrolyse]],Dropdown!$A$2:$D$4,4,FALSE)</f>
        <v>-</v>
      </c>
      <c r="C20" s="40" t="str">
        <f>VLOOKUP(Tabelle1420[[#This Row],[Papierherstellung 
(Prozess gesamt)]],Dropdown!$A$2:$D$4,4,FALSE)</f>
        <v>-</v>
      </c>
      <c r="D20" s="40" t="str">
        <f>VLOOKUP(Tabelle1420[[#This Row],[Holzstoff- und Zellstoffherstellung 
(Holzschleifer / Refiner)]],Dropdown!$A$2:$D$4,4,FALSE)</f>
        <v>-</v>
      </c>
      <c r="E20" s="40" t="str">
        <f>VLOOKUP(Tabelle1420[[#This Row],[Papiermaschinen]],Dropdown!$A$2:$D$4,4,FALSE)</f>
        <v>-</v>
      </c>
      <c r="F20" s="40" t="str">
        <f>VLOOKUP(Tabelle1420[[#This Row],[Altpapierrecycling (Pulper)]],Dropdown!$A$2:$D$4,4,FALSE)</f>
        <v>-</v>
      </c>
      <c r="G20" s="40" t="str">
        <f>VLOOKUP(Tabelle1420[[#This Row],[Papierveredelung 
(Streichmaschinen und Kalander)]],Dropdown!$A$2:$D$4,4,FALSE)</f>
        <v>-</v>
      </c>
      <c r="H20" s="40" t="str">
        <f>VLOOKUP(Tabelle1420[[#This Row],[Chlor-Alkali-Elektrolyse]],Dropdown!$A$2:$D$4,4,FALSE)</f>
        <v>-</v>
      </c>
      <c r="I20" s="40" t="str">
        <f>VLOOKUP(Tabelle1420[[#This Row],[Elektrostahlherstellung 
(Lichtbogenofen)]],Dropdown!$A$2:$D$4,4,FALSE)</f>
        <v>-</v>
      </c>
      <c r="J20" s="40" t="str">
        <f>VLOOKUP(Tabelle1420[[#This Row],[Zementherstellung 
(Prozess gesamt)]],Dropdown!$A$2:$D$4,4,FALSE)</f>
        <v>-</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row>
    <row r="21" spans="1:26" x14ac:dyDescent="0.25">
      <c r="A21" s="6" t="str">
        <f>Tabelle1420[[#This Row],[Kurzbeleg]]</f>
        <v>Mae18</v>
      </c>
      <c r="B21" s="40" t="str">
        <f>VLOOKUP(Tabelle1420[[#This Row],[Primäraluminiumelektrolyse]],Dropdown!$A$2:$D$4,4,FALSE)</f>
        <v>-</v>
      </c>
      <c r="C21" s="40" t="str">
        <f>VLOOKUP(Tabelle1420[[#This Row],[Papierherstellung 
(Prozess gesamt)]],Dropdown!$A$2:$D$4,4,FALSE)</f>
        <v>-</v>
      </c>
      <c r="D21" s="40" t="str">
        <f>VLOOKUP(Tabelle1420[[#This Row],[Holzstoff- und Zellstoffherstellung 
(Holzschleifer / Refiner)]],Dropdown!$A$2:$D$4,4,FALSE)</f>
        <v>-</v>
      </c>
      <c r="E21" s="40" t="str">
        <f>VLOOKUP(Tabelle1420[[#This Row],[Papiermaschinen]],Dropdown!$A$2:$D$4,4,FALSE)</f>
        <v>-</v>
      </c>
      <c r="F21" s="40" t="str">
        <f>VLOOKUP(Tabelle1420[[#This Row],[Altpapierrecycling (Pulper)]],Dropdown!$A$2:$D$4,4,FALSE)</f>
        <v>-</v>
      </c>
      <c r="G21" s="40" t="str">
        <f>VLOOKUP(Tabelle1420[[#This Row],[Papierveredelung 
(Streichmaschinen und Kalander)]],Dropdown!$A$2:$D$4,4,FALSE)</f>
        <v>-</v>
      </c>
      <c r="H21" s="40" t="str">
        <f>VLOOKUP(Tabelle1420[[#This Row],[Chlor-Alkali-Elektrolyse]],Dropdown!$A$2:$D$4,4,FALSE)</f>
        <v>-</v>
      </c>
      <c r="I21" s="40" t="str">
        <f>VLOOKUP(Tabelle1420[[#This Row],[Elektrostahlherstellung 
(Lichtbogenofen)]],Dropdown!$A$2:$D$4,4,FALSE)</f>
        <v>-</v>
      </c>
      <c r="J21" s="40" t="str">
        <f>VLOOKUP(Tabelle1420[[#This Row],[Zementherstellung 
(Prozess gesamt)]],Dropdown!$A$2:$D$4,4,FALSE)</f>
        <v>-</v>
      </c>
      <c r="K21" s="40" t="str">
        <f>VLOOKUP(Tabelle1420[[#This Row],[Zementmühlen]],Dropdown!$A$2:$D$4,4,FALSE)</f>
        <v>-</v>
      </c>
      <c r="L21" s="40" t="str">
        <f>VLOOKUP(Tabelle1420[[#This Row],[Luftzerlegung]],Dropdown!$A$2:$D$4,4,FALSE)</f>
        <v>-</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row>
    <row r="22" spans="1:26" x14ac:dyDescent="0.25">
      <c r="A22" s="6" t="str">
        <f>Tabelle1420[[#This Row],[Kurzbeleg]]</f>
        <v>Mol10</v>
      </c>
      <c r="B22" s="40" t="str">
        <f>VLOOKUP(Tabelle1420[[#This Row],[Primäraluminiumelektrolyse]],Dropdown!$A$2:$D$4,4,FALSE)</f>
        <v>X</v>
      </c>
      <c r="C22" s="40" t="str">
        <f>VLOOKUP(Tabelle1420[[#This Row],[Papierherstellung 
(Prozess gesamt)]],Dropdown!$A$2:$D$4,4,FALSE)</f>
        <v>-</v>
      </c>
      <c r="D22" s="40" t="str">
        <f>VLOOKUP(Tabelle1420[[#This Row],[Holzstoff- und Zellstoffherstellung 
(Holzschleifer / Refiner)]],Dropdown!$A$2:$D$4,4,FALSE)</f>
        <v>X</v>
      </c>
      <c r="E22" s="40" t="str">
        <f>VLOOKUP(Tabelle1420[[#This Row],[Papiermaschinen]],Dropdown!$A$2:$D$4,4,FALSE)</f>
        <v>-</v>
      </c>
      <c r="F22" s="40" t="str">
        <f>VLOOKUP(Tabelle1420[[#This Row],[Altpapierrecycling (Pulper)]],Dropdown!$A$2:$D$4,4,FALSE)</f>
        <v>-</v>
      </c>
      <c r="G22" s="40" t="str">
        <f>VLOOKUP(Tabelle1420[[#This Row],[Papierveredelung 
(Streichmaschinen und Kalander)]],Dropdown!$A$2:$D$4,4,FALSE)</f>
        <v>X</v>
      </c>
      <c r="H22" s="40" t="str">
        <f>VLOOKUP(Tabelle1420[[#This Row],[Chlor-Alkali-Elektrolyse]],Dropdown!$A$2:$D$4,4,FALSE)</f>
        <v>X</v>
      </c>
      <c r="I22" s="40" t="str">
        <f>VLOOKUP(Tabelle1420[[#This Row],[Elektrostahlherstellung 
(Lichtbogenofen)]],Dropdown!$A$2:$D$4,4,FALSE)</f>
        <v>X</v>
      </c>
      <c r="J22" s="40" t="str">
        <f>VLOOKUP(Tabelle1420[[#This Row],[Zementherstellung 
(Prozess gesamt)]],Dropdown!$A$2:$D$4,4,FALSE)</f>
        <v>X</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row>
    <row r="23" spans="1:26" x14ac:dyDescent="0.25">
      <c r="A23" s="6" t="str">
        <f>Tabelle1420[[#This Row],[Kurzbeleg]]</f>
        <v>Mue19</v>
      </c>
      <c r="B23" s="40" t="str">
        <f>VLOOKUP(Tabelle1420[[#This Row],[Primäraluminiumelektrolyse]],Dropdown!$A$2:$D$4,4,FALSE)</f>
        <v>-</v>
      </c>
      <c r="C23" s="40" t="str">
        <f>VLOOKUP(Tabelle1420[[#This Row],[Papierherstellung 
(Prozess gesamt)]],Dropdown!$A$2:$D$4,4,FALSE)</f>
        <v>-</v>
      </c>
      <c r="D23" s="40" t="str">
        <f>VLOOKUP(Tabelle1420[[#This Row],[Holzstoff- und Zellstoffherstellung 
(Holzschleifer / Refiner)]],Dropdown!$A$2:$D$4,4,FALSE)</f>
        <v>-</v>
      </c>
      <c r="E23" s="40" t="str">
        <f>VLOOKUP(Tabelle1420[[#This Row],[Papiermaschinen]],Dropdown!$A$2:$D$4,4,FALSE)</f>
        <v>-</v>
      </c>
      <c r="F23" s="40" t="str">
        <f>VLOOKUP(Tabelle1420[[#This Row],[Altpapierrecycling (Pulper)]],Dropdown!$A$2:$D$4,4,FALSE)</f>
        <v>-</v>
      </c>
      <c r="G23" s="40" t="str">
        <f>VLOOKUP(Tabelle1420[[#This Row],[Papierveredelung 
(Streichmaschinen und Kalander)]],Dropdown!$A$2:$D$4,4,FALSE)</f>
        <v>-</v>
      </c>
      <c r="H23" s="40" t="str">
        <f>VLOOKUP(Tabelle1420[[#This Row],[Chlor-Alkali-Elektrolyse]],Dropdown!$A$2:$D$4,4,FALSE)</f>
        <v>-</v>
      </c>
      <c r="I23" s="40" t="str">
        <f>VLOOKUP(Tabelle1420[[#This Row],[Elektrostahlherstellung 
(Lichtbogenofen)]],Dropdown!$A$2:$D$4,4,FALSE)</f>
        <v>-</v>
      </c>
      <c r="J23" s="40" t="str">
        <f>VLOOKUP(Tabelle1420[[#This Row],[Zementherstellung 
(Prozess gesamt)]],Dropdown!$A$2:$D$4,4,FALSE)</f>
        <v>-</v>
      </c>
      <c r="K23" s="40" t="str">
        <f>VLOOKUP(Tabelle1420[[#This Row],[Zementmühlen]],Dropdown!$A$2:$D$4,4,FALSE)</f>
        <v>-</v>
      </c>
      <c r="L23" s="40" t="str">
        <f>VLOOKUP(Tabelle1420[[#This Row],[Luftzerlegung]],Dropdown!$A$2:$D$4,4,FALSE)</f>
        <v>-</v>
      </c>
      <c r="M23" s="40" t="str">
        <f>VLOOKUP(Tabelle1420[[#This Row],[Kupfer- und Zinkherstellung 
(Elektrolyse)]],Dropdown!$A$2:$D$4,4,FALSE)</f>
        <v>-</v>
      </c>
      <c r="N23" s="40" t="str">
        <f>VLOOKUP(Tabelle1420[[#This Row],[Primärkupferherstellung 
(elektrolytische Kupferraffination)]],Dropdown!$A$2:$D$4,4,FALSE)</f>
        <v>-</v>
      </c>
      <c r="O23" s="40" t="str">
        <f>VLOOKUP(Tabelle1420[[#This Row],[Primärzinkherstellung 
(Nasschemische Elektrolyse)]],Dropdown!$A$2:$D$4,4,FALSE)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row>
    <row r="24" spans="1:26" x14ac:dyDescent="0.25">
      <c r="A24" s="6" t="str">
        <f>Tabelle1420[[#This Row],[Kurzbeleg]]</f>
        <v>Pau11</v>
      </c>
      <c r="B24" s="40" t="str">
        <f>VLOOKUP(Tabelle1420[[#This Row],[Primäraluminiumelektrolyse]],Dropdown!$A$2:$D$4,4,FALSE)</f>
        <v>X</v>
      </c>
      <c r="C24" s="40" t="str">
        <f>VLOOKUP(Tabelle1420[[#This Row],[Papierherstellung 
(Prozess gesamt)]],Dropdown!$A$2:$D$4,4,FALSE)</f>
        <v>-</v>
      </c>
      <c r="D24" s="40" t="str">
        <f>VLOOKUP(Tabelle1420[[#This Row],[Holzstoff- und Zellstoffherstellung 
(Holzschleifer / Refiner)]],Dropdown!$A$2:$D$4,4,FALSE)</f>
        <v>X</v>
      </c>
      <c r="E24" s="40" t="str">
        <f>VLOOKUP(Tabelle1420[[#This Row],[Papiermaschinen]],Dropdown!$A$2:$D$4,4,FALSE)</f>
        <v>-</v>
      </c>
      <c r="F24" s="40" t="str">
        <f>VLOOKUP(Tabelle1420[[#This Row],[Altpapierrecycling (Pulper)]],Dropdown!$A$2:$D$4,4,FALSE)</f>
        <v>-</v>
      </c>
      <c r="G24" s="40" t="str">
        <f>VLOOKUP(Tabelle1420[[#This Row],[Papierveredelung 
(Streichmaschinen und Kalander)]],Dropdown!$A$2:$D$4,4,FALSE)</f>
        <v>-</v>
      </c>
      <c r="H24" s="40" t="str">
        <f>VLOOKUP(Tabelle1420[[#This Row],[Chlor-Alkali-Elektrolyse]],Dropdown!$A$2:$D$4,4,FALSE)</f>
        <v>X</v>
      </c>
      <c r="I24" s="40" t="str">
        <f>VLOOKUP(Tabelle1420[[#This Row],[Elektrostahlherstellung 
(Lichtbogenofen)]],Dropdown!$A$2:$D$4,4,FALSE)</f>
        <v>X</v>
      </c>
      <c r="J24" s="40" t="str">
        <f>VLOOKUP(Tabelle1420[[#This Row],[Zementherstellung 
(Prozess gesamt)]],Dropdown!$A$2:$D$4,4,FALSE)</f>
        <v>X</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row>
    <row r="25" spans="1:26" x14ac:dyDescent="0.25">
      <c r="A25" s="6" t="str">
        <f>Tabelle1420[[#This Row],[Kurzbeleg]]</f>
        <v>Pel16</v>
      </c>
      <c r="B25" s="40" t="str">
        <f>VLOOKUP(Tabelle1420[[#This Row],[Primäraluminiumelektrolyse]],Dropdown!$A$2:$D$4,4,FALSE)</f>
        <v>X</v>
      </c>
      <c r="C25" s="40" t="str">
        <f>VLOOKUP(Tabelle1420[[#This Row],[Papierherstellung 
(Prozess gesamt)]],Dropdown!$A$2:$D$4,4,FALSE)</f>
        <v>X</v>
      </c>
      <c r="D25" s="40" t="str">
        <f>VLOOKUP(Tabelle1420[[#This Row],[Holzstoff- und Zellstoffherstellung 
(Holzschleifer / Refiner)]],Dropdown!$A$2:$D$4,4,FALSE)</f>
        <v>X</v>
      </c>
      <c r="E25" s="40" t="str">
        <f>VLOOKUP(Tabelle1420[[#This Row],[Papiermaschinen]],Dropdown!$A$2:$D$4,4,FALSE)</f>
        <v>-</v>
      </c>
      <c r="F25" s="40" t="str">
        <f>VLOOKUP(Tabelle1420[[#This Row],[Altpapierrecycling (Pulper)]],Dropdown!$A$2:$D$4,4,FALSE)</f>
        <v>-</v>
      </c>
      <c r="G25" s="40" t="str">
        <f>VLOOKUP(Tabelle1420[[#This Row],[Papierveredelung 
(Streichmaschinen und Kalander)]],Dropdown!$A$2:$D$4,4,FALSE)</f>
        <v>-</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v>
      </c>
      <c r="M25" s="40" t="str">
        <f>VLOOKUP(Tabelle1420[[#This Row],[Kupfer- und Zinkherstellung 
(Elektrolyse)]],Dropdown!$A$2:$D$4,4,FALSE)</f>
        <v>-</v>
      </c>
      <c r="N25" s="40" t="str">
        <f>VLOOKUP(Tabelle1420[[#This Row],[Primärkupferherstellung 
(elektrolytische Kupferraffination)]],Dropdown!$A$2:$D$4,4,FALSE)</f>
        <v>-</v>
      </c>
      <c r="O25" s="40" t="str">
        <f>VLOOKUP(Tabelle1420[[#This Row],[Primärzinkherstellung 
(Nasschemische Elektrolyse)]],Dropdown!$A$2:$D$4,4,FALSE)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 
(Graphitierungsofen)]],Dropdown!$A$2:$D$4,4,FALSE)</f>
        <v>-</v>
      </c>
    </row>
    <row r="26" spans="1:26" x14ac:dyDescent="0.25">
      <c r="A26" s="6" t="str">
        <f>Tabelle1420[[#This Row],[Kurzbeleg]]</f>
        <v>r2b14</v>
      </c>
      <c r="B26" s="40" t="str">
        <f>VLOOKUP(Tabelle1420[[#This Row],[Primäraluminiumelektrolyse]],Dropdown!$A$2:$D$4,4,FALSE)</f>
        <v>X</v>
      </c>
      <c r="C26" s="40" t="str">
        <f>VLOOKUP(Tabelle1420[[#This Row],[Papierherstellung 
(Prozess gesamt)]],Dropdown!$A$2:$D$4,4,FALSE)</f>
        <v>X</v>
      </c>
      <c r="D26" s="40" t="str">
        <f>VLOOKUP(Tabelle1420[[#This Row],[Holzstoff- und Zellstoffherstellung 
(Holzschleifer / Refiner)]],Dropdown!$A$2:$D$4,4,FALSE)</f>
        <v>-</v>
      </c>
      <c r="E26" s="40" t="str">
        <f>VLOOKUP(Tabelle1420[[#This Row],[Papiermaschinen]],Dropdown!$A$2:$D$4,4,FALSE)</f>
        <v>-</v>
      </c>
      <c r="F26" s="40" t="str">
        <f>VLOOKUP(Tabelle1420[[#This Row],[Altpapierrecycling (Pulper)]],Dropdown!$A$2:$D$4,4,FALSE)</f>
        <v>-</v>
      </c>
      <c r="G26" s="40" t="str">
        <f>VLOOKUP(Tabelle1420[[#This Row],[Papierveredelung 
(Streichmaschinen und Kalander)]],Dropdown!$A$2:$D$4,4,FALSE)</f>
        <v>-</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X</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row>
    <row r="27" spans="1:26" x14ac:dyDescent="0.25">
      <c r="A27" s="6" t="str">
        <f>Tabelle1420[[#This Row],[Kurzbeleg]]</f>
        <v>Roo10</v>
      </c>
      <c r="B27" s="40" t="str">
        <f>VLOOKUP(Tabelle1420[[#This Row],[Primäraluminiumelektrolyse]],Dropdown!$A$2:$D$4,4,FALSE)</f>
        <v>-</v>
      </c>
      <c r="C27" s="40" t="str">
        <f>VLOOKUP(Tabelle1420[[#This Row],[Papierherstellung 
(Prozess gesamt)]],Dropdown!$A$2:$D$4,4,FALSE)</f>
        <v>X</v>
      </c>
      <c r="D27" s="40" t="str">
        <f>VLOOKUP(Tabelle1420[[#This Row],[Holzstoff- und Zellstoffherstellung 
(Holzschleifer / Refiner)]],Dropdown!$A$2:$D$4,4,FALSE)</f>
        <v>-</v>
      </c>
      <c r="E27" s="40" t="str">
        <f>VLOOKUP(Tabelle1420[[#This Row],[Papiermaschinen]],Dropdown!$A$2:$D$4,4,FALSE)</f>
        <v>-</v>
      </c>
      <c r="F27" s="40" t="str">
        <f>VLOOKUP(Tabelle1420[[#This Row],[Altpapierrecycling (Pulper)]],Dropdown!$A$2:$D$4,4,FALSE)</f>
        <v>-</v>
      </c>
      <c r="G27" s="40" t="str">
        <f>VLOOKUP(Tabelle1420[[#This Row],[Papierveredelung 
(Streichmaschinen und Kalander)]],Dropdown!$A$2:$D$4,4,FALSE)</f>
        <v>-</v>
      </c>
      <c r="H27" s="40" t="str">
        <f>VLOOKUP(Tabelle1420[[#This Row],[Chlor-Alkali-Elektrolyse]],Dropdown!$A$2:$D$4,4,FALSE)</f>
        <v>-</v>
      </c>
      <c r="I27" s="40" t="str">
        <f>VLOOKUP(Tabelle1420[[#This Row],[Elektrostahlherstellung 
(Lichtbogenofen)]],Dropdown!$A$2:$D$4,4,FALSE)</f>
        <v>-</v>
      </c>
      <c r="J27" s="40" t="str">
        <f>VLOOKUP(Tabelle1420[[#This Row],[Zementherstellung 
(Prozess gesamt)]],Dropdown!$A$2:$D$4,4,FALSE)</f>
        <v>-</v>
      </c>
      <c r="K27" s="40" t="str">
        <f>VLOOKUP(Tabelle1420[[#This Row],[Zementmühlen]],Dropdown!$A$2:$D$4,4,FALSE)</f>
        <v>-</v>
      </c>
      <c r="L27" s="40" t="str">
        <f>VLOOKUP(Tabelle1420[[#This Row],[Luftzerlegung]],Dropdown!$A$2:$D$4,4,FALSE)</f>
        <v>-</v>
      </c>
      <c r="M27" s="40" t="str">
        <f>VLOOKUP(Tabelle1420[[#This Row],[Kupfer- und Zinkherstellung 
(Elektrolyse)]],Dropdown!$A$2:$D$4,4,FALSE)</f>
        <v>-</v>
      </c>
      <c r="N27" s="40" t="str">
        <f>VLOOKUP(Tabelle1420[[#This Row],[Primärkupferherstellung 
(elektrolytische Kupferraffination)]],Dropdown!$A$2:$D$4,4,FALSE)</f>
        <v>-</v>
      </c>
      <c r="O27" s="40" t="str">
        <f>VLOOKUP(Tabelle1420[[#This Row],[Primärzinkherstellung 
(Nasschemische Elektrolyse)]],Dropdown!$A$2:$D$4,4,FALSE)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 
(Graphitierungsofen)]],Dropdown!$A$2:$D$4,4,FALSE)</f>
        <v>-</v>
      </c>
    </row>
    <row r="28" spans="1:26" x14ac:dyDescent="0.25">
      <c r="A28" s="6" t="str">
        <f>Tabelle1420[[#This Row],[Kurzbeleg]]</f>
        <v>Sau19</v>
      </c>
      <c r="B28" s="40" t="str">
        <f>VLOOKUP(Tabelle1420[[#This Row],[Primäraluminiumelektrolyse]],Dropdown!$A$2:$D$4,4,FALSE)</f>
        <v>X</v>
      </c>
      <c r="C28" s="40" t="str">
        <f>VLOOKUP(Tabelle1420[[#This Row],[Papierherstellung 
(Prozess gesamt)]],Dropdown!$A$2:$D$4,4,FALSE)</f>
        <v>X</v>
      </c>
      <c r="D28" s="40" t="str">
        <f>VLOOKUP(Tabelle1420[[#This Row],[Holzstoff- und Zellstoffherstellung 
(Holzschleifer / Refiner)]],Dropdown!$A$2:$D$4,4,FALSE)</f>
        <v>X</v>
      </c>
      <c r="E28" s="40" t="str">
        <f>VLOOKUP(Tabelle1420[[#This Row],[Papiermaschinen]],Dropdown!$A$2:$D$4,4,FALSE)</f>
        <v>X</v>
      </c>
      <c r="F28" s="40" t="str">
        <f>VLOOKUP(Tabelle1420[[#This Row],[Altpapierrecycling (Pulper)]],Dropdown!$A$2:$D$4,4,FALSE)</f>
        <v>X</v>
      </c>
      <c r="G28" s="40" t="str">
        <f>VLOOKUP(Tabelle1420[[#This Row],[Papierveredelung 
(Streichmaschinen und Kalander)]],Dropdown!$A$2:$D$4,4,FALSE)</f>
        <v>X</v>
      </c>
      <c r="H28" s="40" t="str">
        <f>VLOOKUP(Tabelle1420[[#This Row],[Chlor-Alkali-Elektrolyse]],Dropdown!$A$2:$D$4,4,FALSE)</f>
        <v>X</v>
      </c>
      <c r="I28" s="40" t="str">
        <f>VLOOKUP(Tabelle1420[[#This Row],[Elektrostahlherstellung 
(Lichtbogenofen)]],Dropdown!$A$2:$D$4,4,FALSE)</f>
        <v>X</v>
      </c>
      <c r="J28" s="40" t="str">
        <f>VLOOKUP(Tabelle1420[[#This Row],[Zementherstellung 
(Prozess gesamt)]],Dropdown!$A$2:$D$4,4,FALSE)</f>
        <v>X</v>
      </c>
      <c r="K28" s="40" t="str">
        <f>VLOOKUP(Tabelle1420[[#This Row],[Zementmühlen]],Dropdown!$A$2:$D$4,4,FALSE)</f>
        <v>X</v>
      </c>
      <c r="L28" s="40" t="str">
        <f>VLOOKUP(Tabelle1420[[#This Row],[Luftzerlegung]],Dropdown!$A$2:$D$4,4,FALSE)</f>
        <v>X</v>
      </c>
      <c r="M28" s="40" t="str">
        <f>VLOOKUP(Tabelle1420[[#This Row],[Kupfer- und Zinkherstellung 
(Elektrolyse)]],Dropdown!$A$2:$D$4,4,FALSE)</f>
        <v>-</v>
      </c>
      <c r="N28" s="40" t="str">
        <f>VLOOKUP(Tabelle1420[[#This Row],[Primärkupferherstellung 
(elektrolytische Kupferraffination)]],Dropdown!$A$2:$D$4,4,FALSE)</f>
        <v>-</v>
      </c>
      <c r="O28" s="40" t="str">
        <f>VLOOKUP(Tabelle1420[[#This Row],[Primärzinkherstellung 
(Nasschemische Elektrolyse)]],Dropdown!$A$2:$D$4,4,FALSE)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 
(Graphitierungsofen)]],Dropdown!$A$2:$D$4,4,FALSE)</f>
        <v>X</v>
      </c>
    </row>
    <row r="29" spans="1:26" x14ac:dyDescent="0.25">
      <c r="A29" s="6" t="str">
        <f>Tabelle1420[[#This Row],[Kurzbeleg]]</f>
        <v>Sch14</v>
      </c>
      <c r="B29" s="40" t="str">
        <f>VLOOKUP(Tabelle1420[[#This Row],[Primäraluminiumelektrolyse]],Dropdown!$A$2:$D$4,4,FALSE)</f>
        <v>X</v>
      </c>
      <c r="C29" s="40" t="str">
        <f>VLOOKUP(Tabelle1420[[#This Row],[Papierherstellung 
(Prozess gesamt)]],Dropdown!$A$2:$D$4,4,FALSE)</f>
        <v>-</v>
      </c>
      <c r="D29" s="40" t="str">
        <f>VLOOKUP(Tabelle1420[[#This Row],[Holzstoff- und Zellstoffherstellung 
(Holzschleifer / Refiner)]],Dropdown!$A$2:$D$4,4,FALSE)</f>
        <v>X</v>
      </c>
      <c r="E29" s="40" t="str">
        <f>VLOOKUP(Tabelle1420[[#This Row],[Papiermaschinen]],Dropdown!$A$2:$D$4,4,FALSE)</f>
        <v>X</v>
      </c>
      <c r="F29" s="40" t="str">
        <f>VLOOKUP(Tabelle1420[[#This Row],[Altpapierrecycling (Pulper)]],Dropdown!$A$2:$D$4,4,FALSE)</f>
        <v>X</v>
      </c>
      <c r="G29" s="40" t="str">
        <f>VLOOKUP(Tabelle1420[[#This Row],[Papierveredelung 
(Streichmaschinen und Kalander)]],Dropdown!$A$2:$D$4,4,FALSE)</f>
        <v>-</v>
      </c>
      <c r="H29" s="40" t="str">
        <f>VLOOKUP(Tabelle1420[[#This Row],[Chlor-Alkali-Elektrolyse]],Dropdown!$A$2:$D$4,4,FALSE)</f>
        <v>X</v>
      </c>
      <c r="I29" s="40" t="str">
        <f>VLOOKUP(Tabelle1420[[#This Row],[Elektrostahlherstellung 
(Lichtbogenofen)]],Dropdown!$A$2:$D$4,4,FALSE)</f>
        <v>X</v>
      </c>
      <c r="J29" s="40" t="str">
        <f>VLOOKUP(Tabelle1420[[#This Row],[Zementherstellung 
(Prozess gesamt)]],Dropdown!$A$2:$D$4,4,FALSE)</f>
        <v>X</v>
      </c>
      <c r="K29" s="40" t="str">
        <f>VLOOKUP(Tabelle1420[[#This Row],[Zementmühlen]],Dropdown!$A$2:$D$4,4,FALSE)</f>
        <v>-</v>
      </c>
      <c r="L29" s="40" t="str">
        <f>VLOOKUP(Tabelle1420[[#This Row],[Luftzerlegung]],Dropdown!$A$2:$D$4,4,FALSE)</f>
        <v>X</v>
      </c>
      <c r="M29" s="40" t="str">
        <f>VLOOKUP(Tabelle1420[[#This Row],[Kupfer- und Zinkherstellung 
(Elektrolyse)]],Dropdown!$A$2:$D$4,4,FALSE)</f>
        <v>-</v>
      </c>
      <c r="N29" s="40" t="str">
        <f>VLOOKUP(Tabelle1420[[#This Row],[Primärkupferherstellung 
(elektrolytische Kupferraffination)]],Dropdown!$A$2:$D$4,4,FALSE)</f>
        <v>X</v>
      </c>
      <c r="O29" s="40" t="str">
        <f>VLOOKUP(Tabelle1420[[#This Row],[Primärzinkherstellung 
(Nasschemische Elektrolyse)]],Dropdown!$A$2:$D$4,4,FALSE)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 
(Graphitierungsofen)]],Dropdown!$A$2:$D$4,4,FALSE)</f>
        <v>-</v>
      </c>
    </row>
    <row r="30" spans="1:26" x14ac:dyDescent="0.25">
      <c r="A30" s="6" t="str">
        <f>Tabelle1420[[#This Row],[Kurzbeleg]]</f>
        <v>Sta06</v>
      </c>
      <c r="B30" s="40" t="str">
        <f>VLOOKUP(Tabelle1420[[#This Row],[Primäraluminiumelektrolyse]],Dropdown!$A$2:$D$4,4,FALSE)</f>
        <v>-</v>
      </c>
      <c r="C30" s="40" t="str">
        <f>VLOOKUP(Tabelle1420[[#This Row],[Papierherstellung 
(Prozess gesamt)]],Dropdown!$A$2:$D$4,4,FALSE)</f>
        <v>-</v>
      </c>
      <c r="D30" s="40" t="str">
        <f>VLOOKUP(Tabelle1420[[#This Row],[Holzstoff- und Zellstoffherstellung 
(Holzschleifer / Refiner)]],Dropdown!$A$2:$D$4,4,FALSE)</f>
        <v>-</v>
      </c>
      <c r="E30" s="40" t="str">
        <f>VLOOKUP(Tabelle1420[[#This Row],[Papiermaschinen]],Dropdown!$A$2:$D$4,4,FALSE)</f>
        <v>-</v>
      </c>
      <c r="F30" s="40" t="str">
        <f>VLOOKUP(Tabelle1420[[#This Row],[Altpapierrecycling (Pulper)]],Dropdown!$A$2:$D$4,4,FALSE)</f>
        <v>-</v>
      </c>
      <c r="G30" s="40" t="str">
        <f>VLOOKUP(Tabelle1420[[#This Row],[Papierveredelung 
(Streichmaschinen und Kalander)]],Dropdown!$A$2:$D$4,4,FALSE)</f>
        <v>-</v>
      </c>
      <c r="H30" s="40" t="str">
        <f>VLOOKUP(Tabelle1420[[#This Row],[Chlor-Alkali-Elektrolyse]],Dropdown!$A$2:$D$4,4,FALSE)</f>
        <v>-</v>
      </c>
      <c r="I30" s="40" t="str">
        <f>VLOOKUP(Tabelle1420[[#This Row],[Elektrostahlherstellung 
(Lichtbogenofen)]],Dropdown!$A$2:$D$4,4,FALSE)</f>
        <v>-</v>
      </c>
      <c r="J30" s="40" t="str">
        <f>VLOOKUP(Tabelle1420[[#This Row],[Zementherstellung 
(Prozess gesamt)]],Dropdown!$A$2:$D$4,4,FALSE)</f>
        <v>-</v>
      </c>
      <c r="K30" s="40" t="str">
        <f>VLOOKUP(Tabelle1420[[#This Row],[Zementmühlen]],Dropdown!$A$2:$D$4,4,FALSE)</f>
        <v>-</v>
      </c>
      <c r="L30" s="40" t="str">
        <f>VLOOKUP(Tabelle1420[[#This Row],[Luftzerlegung]],Dropdown!$A$2:$D$4,4,FALSE)</f>
        <v>-</v>
      </c>
      <c r="M30" s="40" t="str">
        <f>VLOOKUP(Tabelle1420[[#This Row],[Kupfer- und Zinkherstellung 
(Elektrolyse)]],Dropdown!$A$2:$D$4,4,FALSE)</f>
        <v>-</v>
      </c>
      <c r="N30" s="40" t="str">
        <f>VLOOKUP(Tabelle1420[[#This Row],[Primärkupferherstellung 
(elektrolytische Kupferraffination)]],Dropdown!$A$2:$D$4,4,FALSE)</f>
        <v>-</v>
      </c>
      <c r="O30" s="40" t="str">
        <f>VLOOKUP(Tabelle1420[[#This Row],[Primärzinkherstellung 
(Nasschemische Elektrolyse)]],Dropdown!$A$2:$D$4,4,FALSE)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 
(Graphitierungsofen)]],Dropdown!$A$2:$D$4,4,FALSE)</f>
        <v>-</v>
      </c>
    </row>
    <row r="31" spans="1:26" x14ac:dyDescent="0.25">
      <c r="A31" s="6" t="str">
        <f>Tabelle1420[[#This Row],[Kurzbeleg]]</f>
        <v>Ste17</v>
      </c>
      <c r="B31" s="40" t="str">
        <f>VLOOKUP(Tabelle1420[[#This Row],[Primäraluminiumelektrolyse]],Dropdown!$A$2:$D$4,4,FALSE)</f>
        <v>X</v>
      </c>
      <c r="C31" s="40" t="str">
        <f>VLOOKUP(Tabelle1420[[#This Row],[Papierherstellung 
(Prozess gesamt)]],Dropdown!$A$2:$D$4,4,FALSE)</f>
        <v>-</v>
      </c>
      <c r="D31" s="40" t="str">
        <f>VLOOKUP(Tabelle1420[[#This Row],[Holzstoff- und Zellstoffherstellung 
(Holzschleifer / Refiner)]],Dropdown!$A$2:$D$4,4,FALSE)</f>
        <v>X</v>
      </c>
      <c r="E31" s="40" t="str">
        <f>VLOOKUP(Tabelle1420[[#This Row],[Papiermaschinen]],Dropdown!$A$2:$D$4,4,FALSE)</f>
        <v>X</v>
      </c>
      <c r="F31" s="40" t="str">
        <f>VLOOKUP(Tabelle1420[[#This Row],[Altpapierrecycling (Pulper)]],Dropdown!$A$2:$D$4,4,FALSE)</f>
        <v>X</v>
      </c>
      <c r="G31" s="40" t="str">
        <f>VLOOKUP(Tabelle1420[[#This Row],[Papierveredelung 
(Streichmaschinen und Kalander)]],Dropdown!$A$2:$D$4,4,FALSE)</f>
        <v>-</v>
      </c>
      <c r="H31" s="40" t="str">
        <f>VLOOKUP(Tabelle1420[[#This Row],[Chlor-Alkali-Elektrolyse]],Dropdown!$A$2:$D$4,4,FALSE)</f>
        <v>X</v>
      </c>
      <c r="I31" s="40" t="str">
        <f>VLOOKUP(Tabelle1420[[#This Row],[Elektrostahlherstellung 
(Lichtbogenofen)]],Dropdown!$A$2:$D$4,4,FALSE)</f>
        <v>X</v>
      </c>
      <c r="J31" s="40" t="str">
        <f>VLOOKUP(Tabelle1420[[#This Row],[Zementherstellung 
(Prozess gesamt)]],Dropdown!$A$2:$D$4,4,FALSE)</f>
        <v>X</v>
      </c>
      <c r="K31" s="40" t="str">
        <f>VLOOKUP(Tabelle1420[[#This Row],[Zementmühlen]],Dropdown!$A$2:$D$4,4,FALSE)</f>
        <v>-</v>
      </c>
      <c r="L31" s="40" t="str">
        <f>VLOOKUP(Tabelle1420[[#This Row],[Luftzerlegung]],Dropdown!$A$2:$D$4,4,FALSE)</f>
        <v>X</v>
      </c>
      <c r="M31" s="40" t="str">
        <f>VLOOKUP(Tabelle1420[[#This Row],[Kupfer- und Zinkherstellung 
(Elektrolyse)]],Dropdown!$A$2:$D$4,4,FALSE)</f>
        <v>-</v>
      </c>
      <c r="N31" s="40" t="str">
        <f>VLOOKUP(Tabelle1420[[#This Row],[Primärkupferherstellung 
(elektrolytische Kupferraffination)]],Dropdown!$A$2:$D$4,4,FALSE)</f>
        <v>X</v>
      </c>
      <c r="O31" s="40" t="str">
        <f>VLOOKUP(Tabelle1420[[#This Row],[Primärzinkherstellung 
(Nasschemische Elektrolyse)]],Dropdown!$A$2:$D$4,4,FALSE)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 
(Graphitierungsofen)]],Dropdown!$A$2:$D$4,4,FALSE)</f>
        <v>X</v>
      </c>
    </row>
    <row r="32" spans="1:26" x14ac:dyDescent="0.25">
      <c r="A32" s="6" t="str">
        <f>Tabelle1420[[#This Row],[Kurzbeleg]]</f>
        <v>Sty15</v>
      </c>
      <c r="B32" s="40" t="str">
        <f>VLOOKUP(Tabelle1420[[#This Row],[Primäraluminiumelektrolyse]],Dropdown!$A$2:$D$4,4,FALSE)</f>
        <v>(X)</v>
      </c>
      <c r="C32" s="40" t="str">
        <f>VLOOKUP(Tabelle1420[[#This Row],[Papierherstellung 
(Prozess gesamt)]],Dropdown!$A$2:$D$4,4,FALSE)</f>
        <v>(X)</v>
      </c>
      <c r="D32" s="40" t="str">
        <f>VLOOKUP(Tabelle1420[[#This Row],[Holzstoff- und Zellstoffherstellung 
(Holzschleifer / Refiner)]],Dropdown!$A$2:$D$4,4,FALSE)</f>
        <v>-</v>
      </c>
      <c r="E32" s="40" t="str">
        <f>VLOOKUP(Tabelle1420[[#This Row],[Papiermaschinen]],Dropdown!$A$2:$D$4,4,FALSE)</f>
        <v>-</v>
      </c>
      <c r="F32" s="40" t="str">
        <f>VLOOKUP(Tabelle1420[[#This Row],[Altpapierrecycling (Pulper)]],Dropdown!$A$2:$D$4,4,FALSE)</f>
        <v>-</v>
      </c>
      <c r="G32" s="40" t="str">
        <f>VLOOKUP(Tabelle1420[[#This Row],[Papierveredelung 
(Streichmaschinen und Kalander)]],Dropdown!$A$2:$D$4,4,FALSE)</f>
        <v>-</v>
      </c>
      <c r="H32" s="40" t="str">
        <f>VLOOKUP(Tabelle1420[[#This Row],[Chlor-Alkali-Elektrolyse]],Dropdown!$A$2:$D$4,4,FALSE)</f>
        <v>(X)</v>
      </c>
      <c r="I32" s="40" t="str">
        <f>VLOOKUP(Tabelle1420[[#This Row],[Elektrostahlherstellung 
(Lichtbogenofen)]],Dropdown!$A$2:$D$4,4,FALSE)</f>
        <v>(X)</v>
      </c>
      <c r="J32" s="40" t="str">
        <f>VLOOKUP(Tabelle1420[[#This Row],[Zementherstellung 
(Prozess gesamt)]],Dropdown!$A$2:$D$4,4,FALSE)</f>
        <v>(X)</v>
      </c>
      <c r="K32" s="40" t="str">
        <f>VLOOKUP(Tabelle1420[[#This Row],[Zementmühlen]],Dropdown!$A$2:$D$4,4,FALSE)</f>
        <v>-</v>
      </c>
      <c r="L32" s="40" t="str">
        <f>VLOOKUP(Tabelle1420[[#This Row],[Luftzerlegung]],Dropdown!$A$2:$D$4,4,FALSE)</f>
        <v>-</v>
      </c>
      <c r="M32" s="40" t="str">
        <f>VLOOKUP(Tabelle1420[[#This Row],[Kupfer- und Zinkherstellung 
(Elektrolyse)]],Dropdown!$A$2:$D$4,4,FALSE)</f>
        <v>-</v>
      </c>
      <c r="N32" s="40" t="str">
        <f>VLOOKUP(Tabelle1420[[#This Row],[Primärkupferherstellung 
(elektrolytische Kupferraffination)]],Dropdown!$A$2:$D$4,4,FALSE)</f>
        <v>-</v>
      </c>
      <c r="O32" s="40" t="str">
        <f>VLOOKUP(Tabelle1420[[#This Row],[Primärzinkherstellung 
(Nasschemische Elektrolyse)]],Dropdown!$A$2:$D$4,4,FALSE)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 
(Graphitierungsofen)]],Dropdown!$A$2:$D$4,4,FALSE)</f>
        <v>-</v>
      </c>
    </row>
    <row r="33" spans="1:26" x14ac:dyDescent="0.25">
      <c r="A33" s="6" t="str">
        <f>Tabelle1420[[#This Row],[Kurzbeleg]]</f>
        <v>Woh20</v>
      </c>
      <c r="B33" s="40" t="str">
        <f>VLOOKUP(Tabelle1420[[#This Row],[Primäraluminiumelektrolyse]],Dropdown!$A$2:$D$4,4,FALSE)</f>
        <v>-</v>
      </c>
      <c r="C33" s="40" t="str">
        <f>VLOOKUP(Tabelle1420[[#This Row],[Papierherstellung 
(Prozess gesamt)]],Dropdown!$A$2:$D$4,4,FALSE)</f>
        <v>-</v>
      </c>
      <c r="D33" s="40" t="str">
        <f>VLOOKUP(Tabelle1420[[#This Row],[Holzstoff- und Zellstoffherstellung 
(Holzschleifer / Refiner)]],Dropdown!$A$2:$D$4,4,FALSE)</f>
        <v>-</v>
      </c>
      <c r="E33" s="40" t="str">
        <f>VLOOKUP(Tabelle1420[[#This Row],[Papiermaschinen]],Dropdown!$A$2:$D$4,4,FALSE)</f>
        <v>-</v>
      </c>
      <c r="F33" s="40" t="str">
        <f>VLOOKUP(Tabelle1420[[#This Row],[Altpapierrecycling (Pulper)]],Dropdown!$A$2:$D$4,4,FALSE)</f>
        <v>-</v>
      </c>
      <c r="G33" s="40" t="str">
        <f>VLOOKUP(Tabelle1420[[#This Row],[Papierveredelung 
(Streichmaschinen und Kalander)]],Dropdown!$A$2:$D$4,4,FALSE)</f>
        <v>-</v>
      </c>
      <c r="H33" s="40" t="str">
        <f>VLOOKUP(Tabelle1420[[#This Row],[Chlor-Alkali-Elektrolyse]],Dropdown!$A$2:$D$4,4,FALSE)</f>
        <v>-</v>
      </c>
      <c r="I33" s="40" t="str">
        <f>VLOOKUP(Tabelle1420[[#This Row],[Elektrostahlherstellung 
(Lichtbogenofen)]],Dropdown!$A$2:$D$4,4,FALSE)</f>
        <v>-</v>
      </c>
      <c r="J33" s="40" t="str">
        <f>VLOOKUP(Tabelle1420[[#This Row],[Zementherstellung 
(Prozess gesamt)]],Dropdown!$A$2:$D$4,4,FALSE)</f>
        <v>-</v>
      </c>
      <c r="K33" s="40" t="str">
        <f>VLOOKUP(Tabelle1420[[#This Row],[Zementmühlen]],Dropdown!$A$2:$D$4,4,FALSE)</f>
        <v>-</v>
      </c>
      <c r="L33" s="40" t="str">
        <f>VLOOKUP(Tabelle1420[[#This Row],[Luftzerlegung]],Dropdown!$A$2:$D$4,4,FALSE)</f>
        <v>-</v>
      </c>
      <c r="M33" s="40" t="str">
        <f>VLOOKUP(Tabelle1420[[#This Row],[Kupfer- und Zinkherstellung 
(Elektrolyse)]],Dropdown!$A$2:$D$4,4,FALSE)</f>
        <v>-</v>
      </c>
      <c r="N33" s="40" t="str">
        <f>VLOOKUP(Tabelle1420[[#This Row],[Primärkupferherstellung 
(elektrolytische Kupferraffination)]],Dropdown!$A$2:$D$4,4,FALSE)</f>
        <v>-</v>
      </c>
      <c r="O33" s="40" t="str">
        <f>VLOOKUP(Tabelle1420[[#This Row],[Primärzinkherstellung 
(Nasschemische Elektrolyse)]],Dropdown!$A$2:$D$4,4,FALSE)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 
(Graphitierungsofen)]],Dropdown!$A$2:$D$4,4,FALSE)</f>
        <v>-</v>
      </c>
    </row>
    <row r="34" spans="1:26" x14ac:dyDescent="0.25">
      <c r="A34" s="47" t="s">
        <v>853</v>
      </c>
      <c r="B34" s="138">
        <f>'02_Ind_Prozesse_kodiert'!B34</f>
        <v>19.5</v>
      </c>
      <c r="C34" s="138">
        <f>'02_Ind_Prozesse_kodiert'!C34</f>
        <v>9.5</v>
      </c>
      <c r="D34" s="138">
        <f>'02_Ind_Prozesse_kodiert'!D34</f>
        <v>16</v>
      </c>
      <c r="E34" s="138">
        <f>'02_Ind_Prozesse_kodiert'!E34</f>
        <v>10</v>
      </c>
      <c r="F34" s="138">
        <f>'02_Ind_Prozesse_kodiert'!F34</f>
        <v>9</v>
      </c>
      <c r="G34" s="138">
        <f>'02_Ind_Prozesse_kodiert'!G34</f>
        <v>5</v>
      </c>
      <c r="H34" s="138">
        <f>'02_Ind_Prozesse_kodiert'!H34</f>
        <v>21.5</v>
      </c>
      <c r="I34" s="138">
        <f>'02_Ind_Prozesse_kodiert'!I34</f>
        <v>21.5</v>
      </c>
      <c r="J34" s="138">
        <f>'02_Ind_Prozesse_kodiert'!J34</f>
        <v>20.5</v>
      </c>
      <c r="K34" s="138">
        <f>'02_Ind_Prozesse_kodiert'!K34</f>
        <v>4</v>
      </c>
      <c r="L34" s="138">
        <f>'02_Ind_Prozesse_kodiert'!L34</f>
        <v>10.5</v>
      </c>
      <c r="M34" s="138">
        <f>'02_Ind_Prozesse_kodiert'!M34</f>
        <v>3</v>
      </c>
      <c r="N34" s="138">
        <f>'02_Ind_Prozesse_kodiert'!N34</f>
        <v>4</v>
      </c>
      <c r="O34" s="138">
        <f>'02_Ind_Prozesse_kodiert'!O34</f>
        <v>4</v>
      </c>
      <c r="P34" s="138">
        <f>'02_Ind_Prozesse_kodiert'!P34</f>
        <v>3.5</v>
      </c>
      <c r="Q34" s="138">
        <f>'02_Ind_Prozesse_kodiert'!Q34</f>
        <v>2.5</v>
      </c>
      <c r="R34" s="138">
        <f>'02_Ind_Prozesse_kodiert'!R34</f>
        <v>3</v>
      </c>
      <c r="S34" s="138">
        <f>'02_Ind_Prozesse_kodiert'!S34</f>
        <v>3</v>
      </c>
      <c r="T34" s="138">
        <f>'02_Ind_Prozesse_kodiert'!T34</f>
        <v>3</v>
      </c>
      <c r="U34" s="138">
        <f>'02_Ind_Prozesse_kodiert'!U34</f>
        <v>2</v>
      </c>
      <c r="V34" s="138">
        <f>'02_Ind_Prozesse_kodiert'!V34</f>
        <v>3</v>
      </c>
      <c r="W34" s="138">
        <f>'02_Ind_Prozesse_kodiert'!W34</f>
        <v>4</v>
      </c>
      <c r="X34" s="138">
        <f>'02_Ind_Prozesse_kodiert'!X34</f>
        <v>4</v>
      </c>
      <c r="Y34" s="138">
        <f>'02_Ind_Prozesse_kodiert'!Y34</f>
        <v>1</v>
      </c>
      <c r="Z34" s="138">
        <f>'02_Ind_Prozesse_kodiert'!Z34</f>
        <v>2</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O26" sqref="O26"/>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1600</v>
      </c>
      <c r="D1" s="49" t="s">
        <v>1032</v>
      </c>
      <c r="E1" s="49" t="s">
        <v>1601</v>
      </c>
      <c r="F1" s="49" t="s">
        <v>1033</v>
      </c>
      <c r="G1" s="49" t="s">
        <v>1024</v>
      </c>
      <c r="H1" s="49" t="s">
        <v>1044</v>
      </c>
      <c r="I1" s="49" t="s">
        <v>388</v>
      </c>
      <c r="J1" s="49" t="s">
        <v>1026</v>
      </c>
      <c r="K1" s="49" t="s">
        <v>930</v>
      </c>
      <c r="L1" s="49" t="s">
        <v>1045</v>
      </c>
      <c r="M1" s="50" t="s">
        <v>1602</v>
      </c>
    </row>
    <row r="2" spans="1:13" x14ac:dyDescent="0.2">
      <c r="A2" s="6" t="str">
        <f>Gesamtueberblick!B3</f>
        <v>Ape12</v>
      </c>
      <c r="B2" s="40">
        <v>0.5</v>
      </c>
      <c r="C2" s="40">
        <v>1</v>
      </c>
      <c r="D2" s="40"/>
      <c r="E2" s="40"/>
      <c r="F2" s="40"/>
      <c r="G2" s="40"/>
      <c r="H2" s="40"/>
      <c r="I2" s="40"/>
      <c r="J2" s="40"/>
      <c r="K2" s="40"/>
      <c r="L2" s="40"/>
      <c r="M2" s="48"/>
    </row>
    <row r="3" spans="1:13" x14ac:dyDescent="0.2">
      <c r="A3" s="6" t="str">
        <f>Gesamtueberblick!B4</f>
        <v>Ary17</v>
      </c>
      <c r="B3" s="40"/>
      <c r="C3" s="40"/>
      <c r="D3" s="40"/>
      <c r="E3" s="40"/>
      <c r="F3" s="40"/>
      <c r="G3" s="40"/>
      <c r="H3" s="40"/>
      <c r="I3" s="40"/>
      <c r="J3" s="40"/>
      <c r="K3" s="40"/>
      <c r="L3" s="40"/>
      <c r="M3" s="48"/>
    </row>
    <row r="4" spans="1:13" x14ac:dyDescent="0.2">
      <c r="A4" s="6" t="str">
        <f>Gesamtueberblick!B5</f>
        <v>Aus18</v>
      </c>
      <c r="B4" s="40"/>
      <c r="C4" s="40"/>
      <c r="D4" s="40"/>
      <c r="E4" s="40"/>
      <c r="F4" s="40"/>
      <c r="G4" s="40"/>
      <c r="H4" s="40"/>
      <c r="I4" s="40"/>
      <c r="J4" s="40"/>
      <c r="K4" s="40"/>
      <c r="L4" s="40"/>
      <c r="M4" s="48"/>
    </row>
    <row r="5" spans="1:13" x14ac:dyDescent="0.2">
      <c r="A5" s="6" t="str">
        <f>Gesamtueberblick!B6</f>
        <v>Blu13</v>
      </c>
      <c r="B5" s="40"/>
      <c r="C5" s="40"/>
      <c r="D5" s="40"/>
      <c r="E5" s="40"/>
      <c r="F5" s="40"/>
      <c r="G5" s="40"/>
      <c r="H5" s="40"/>
      <c r="I5" s="40"/>
      <c r="J5" s="40"/>
      <c r="K5" s="40"/>
      <c r="L5" s="40"/>
      <c r="M5" s="48"/>
    </row>
    <row r="6" spans="1:13" x14ac:dyDescent="0.2">
      <c r="A6" s="6" t="str">
        <f>Gesamtueberblick!B7</f>
        <v>Foc11</v>
      </c>
      <c r="B6" s="40"/>
      <c r="C6" s="40"/>
      <c r="D6" s="40"/>
      <c r="E6" s="40"/>
      <c r="F6" s="40"/>
      <c r="G6" s="40"/>
      <c r="H6" s="40"/>
      <c r="I6" s="40"/>
      <c r="J6" s="40">
        <v>1</v>
      </c>
      <c r="K6" s="40"/>
      <c r="L6" s="40"/>
      <c r="M6" s="48"/>
    </row>
    <row r="7" spans="1:13" x14ac:dyDescent="0.2">
      <c r="A7" s="6" t="str">
        <f>Gesamtueberblick!B8</f>
        <v>Gil15</v>
      </c>
      <c r="B7" s="40"/>
      <c r="C7" s="40"/>
      <c r="D7" s="40"/>
      <c r="E7" s="40">
        <v>1</v>
      </c>
      <c r="F7" s="40">
        <v>1</v>
      </c>
      <c r="G7" s="40"/>
      <c r="H7" s="40"/>
      <c r="I7" s="40"/>
      <c r="J7" s="40"/>
      <c r="K7" s="40"/>
      <c r="L7" s="40"/>
      <c r="M7" s="48"/>
    </row>
    <row r="8" spans="1:13" x14ac:dyDescent="0.2">
      <c r="A8" s="6" t="str">
        <f>Gesamtueberblick!B9</f>
        <v>Gob12</v>
      </c>
      <c r="B8" s="40"/>
      <c r="C8" s="40"/>
      <c r="D8" s="40"/>
      <c r="E8" s="40"/>
      <c r="F8" s="40"/>
      <c r="G8" s="40"/>
      <c r="H8" s="40"/>
      <c r="I8" s="40"/>
      <c r="J8" s="40"/>
      <c r="K8" s="40"/>
      <c r="L8" s="40"/>
      <c r="M8" s="48"/>
    </row>
    <row r="9" spans="1:13" x14ac:dyDescent="0.2">
      <c r="A9" s="6" t="str">
        <f>Gesamtueberblick!B10</f>
        <v>Gro13</v>
      </c>
      <c r="B9" s="40"/>
      <c r="C9" s="40"/>
      <c r="D9" s="40">
        <v>1</v>
      </c>
      <c r="E9" s="40"/>
      <c r="F9" s="40"/>
      <c r="G9" s="40"/>
      <c r="H9" s="40"/>
      <c r="I9" s="40"/>
      <c r="J9" s="40"/>
      <c r="K9" s="40"/>
      <c r="L9" s="40">
        <v>1</v>
      </c>
      <c r="M9" s="48"/>
    </row>
    <row r="10" spans="1:13" x14ac:dyDescent="0.2">
      <c r="A10" s="6" t="str">
        <f>Gesamtueberblick!B11</f>
        <v>Gru17</v>
      </c>
      <c r="B10" s="40">
        <v>1</v>
      </c>
      <c r="C10" s="40"/>
      <c r="D10" s="40">
        <v>1</v>
      </c>
      <c r="E10" s="40"/>
      <c r="F10" s="40">
        <v>1</v>
      </c>
      <c r="G10" s="40">
        <v>1</v>
      </c>
      <c r="H10" s="40">
        <v>1</v>
      </c>
      <c r="I10" s="40"/>
      <c r="J10" s="40"/>
      <c r="K10" s="40"/>
      <c r="L10" s="40"/>
      <c r="M10" s="48"/>
    </row>
    <row r="11" spans="1:13" x14ac:dyDescent="0.2">
      <c r="A11" s="6" t="str">
        <f>Gesamtueberblick!B12</f>
        <v>Haa17</v>
      </c>
      <c r="B11" s="40"/>
      <c r="C11" s="40"/>
      <c r="D11" s="40"/>
      <c r="E11" s="40"/>
      <c r="F11" s="40"/>
      <c r="G11" s="40"/>
      <c r="H11" s="40"/>
      <c r="I11" s="40"/>
      <c r="J11" s="40"/>
      <c r="K11" s="40"/>
      <c r="L11" s="40"/>
      <c r="M11" s="48"/>
    </row>
    <row r="12" spans="1:13" x14ac:dyDescent="0.2">
      <c r="A12" s="6" t="str">
        <f>Gesamtueberblick!B13</f>
        <v>Hei21</v>
      </c>
      <c r="B12" s="40"/>
      <c r="C12" s="40"/>
      <c r="D12" s="40"/>
      <c r="E12" s="40">
        <v>1</v>
      </c>
      <c r="F12" s="40">
        <v>1</v>
      </c>
      <c r="G12" s="40"/>
      <c r="H12" s="40"/>
      <c r="I12" s="40"/>
      <c r="J12" s="40"/>
      <c r="K12" s="40"/>
      <c r="L12" s="40"/>
      <c r="M12" s="48">
        <v>1</v>
      </c>
    </row>
    <row r="13" spans="1:13" x14ac:dyDescent="0.2">
      <c r="A13" s="6" t="str">
        <f>Gesamtueberblick!B14</f>
        <v>Hen15</v>
      </c>
      <c r="B13" s="40"/>
      <c r="C13" s="40"/>
      <c r="D13" s="40"/>
      <c r="E13" s="40"/>
      <c r="F13" s="40"/>
      <c r="G13" s="40"/>
      <c r="H13" s="40"/>
      <c r="I13" s="40">
        <v>1</v>
      </c>
      <c r="J13" s="40"/>
      <c r="K13" s="40"/>
      <c r="L13" s="40"/>
      <c r="M13" s="48"/>
    </row>
    <row r="14" spans="1:13" x14ac:dyDescent="0.2">
      <c r="A14" s="6" t="str">
        <f>Gesamtueberblick!B15</f>
        <v>Jet21</v>
      </c>
      <c r="B14" s="40">
        <v>1</v>
      </c>
      <c r="C14" s="40"/>
      <c r="D14" s="40">
        <v>1</v>
      </c>
      <c r="E14" s="40"/>
      <c r="F14" s="40">
        <v>1</v>
      </c>
      <c r="G14" s="40">
        <v>1</v>
      </c>
      <c r="H14" s="40"/>
      <c r="I14" s="40"/>
      <c r="J14" s="40"/>
      <c r="K14" s="40"/>
      <c r="L14" s="40">
        <v>1</v>
      </c>
      <c r="M14" s="48">
        <v>1</v>
      </c>
    </row>
    <row r="15" spans="1:13" x14ac:dyDescent="0.2">
      <c r="A15" s="6" t="str">
        <f>Gesamtueberblick!B16</f>
        <v>Klo09</v>
      </c>
      <c r="B15" s="40">
        <v>0.5</v>
      </c>
      <c r="C15" s="40"/>
      <c r="D15" s="40"/>
      <c r="E15" s="40">
        <v>1</v>
      </c>
      <c r="F15" s="40">
        <v>1</v>
      </c>
      <c r="G15" s="40"/>
      <c r="H15" s="40"/>
      <c r="I15" s="40"/>
      <c r="J15" s="40"/>
      <c r="K15" s="40"/>
      <c r="L15" s="40">
        <v>0.5</v>
      </c>
      <c r="M15" s="48"/>
    </row>
    <row r="16" spans="1:13" x14ac:dyDescent="0.2">
      <c r="A16" s="6" t="str">
        <f>Gesamtueberblick!B17</f>
        <v>Klo13</v>
      </c>
      <c r="B16" s="40">
        <v>1</v>
      </c>
      <c r="C16" s="40"/>
      <c r="D16" s="40">
        <v>1</v>
      </c>
      <c r="E16" s="40"/>
      <c r="F16" s="40">
        <v>1</v>
      </c>
      <c r="G16" s="40"/>
      <c r="H16" s="40">
        <v>1</v>
      </c>
      <c r="I16" s="40"/>
      <c r="J16" s="40"/>
      <c r="K16" s="40"/>
      <c r="L16" s="40">
        <v>1</v>
      </c>
      <c r="M16" s="48"/>
    </row>
    <row r="17" spans="1:13" x14ac:dyDescent="0.2">
      <c r="A17" s="6" t="str">
        <f>Gesamtueberblick!B18</f>
        <v>Krz13</v>
      </c>
      <c r="B17" s="40"/>
      <c r="C17" s="40"/>
      <c r="D17" s="40"/>
      <c r="E17" s="40"/>
      <c r="F17" s="40"/>
      <c r="G17" s="40"/>
      <c r="H17" s="40"/>
      <c r="I17" s="40"/>
      <c r="J17" s="40"/>
      <c r="K17" s="40"/>
      <c r="L17" s="40"/>
      <c r="M17" s="48"/>
    </row>
    <row r="18" spans="1:13" x14ac:dyDescent="0.2">
      <c r="A18" s="6" t="str">
        <f>Gesamtueberblick!B19</f>
        <v>Lad18</v>
      </c>
      <c r="B18" s="40"/>
      <c r="C18" s="40"/>
      <c r="D18" s="40"/>
      <c r="E18" s="40"/>
      <c r="F18" s="40"/>
      <c r="G18" s="40"/>
      <c r="H18" s="40"/>
      <c r="I18" s="40"/>
      <c r="J18" s="40"/>
      <c r="K18" s="40"/>
      <c r="L18" s="40"/>
      <c r="M18" s="48"/>
    </row>
    <row r="19" spans="1:13" x14ac:dyDescent="0.2">
      <c r="A19" s="6" t="str">
        <f>Gesamtueberblick!B20</f>
        <v>Lan15</v>
      </c>
      <c r="B19" s="40"/>
      <c r="C19" s="40"/>
      <c r="D19" s="40"/>
      <c r="E19" s="40"/>
      <c r="F19" s="40"/>
      <c r="G19" s="40"/>
      <c r="H19" s="40"/>
      <c r="I19" s="40"/>
      <c r="J19" s="40"/>
      <c r="K19" s="40"/>
      <c r="L19" s="40"/>
      <c r="M19" s="48"/>
    </row>
    <row r="20" spans="1:13" x14ac:dyDescent="0.2">
      <c r="A20" s="6" t="str">
        <f>Gesamtueberblick!B21</f>
        <v>Lie15</v>
      </c>
      <c r="B20" s="40"/>
      <c r="C20" s="40"/>
      <c r="D20" s="40"/>
      <c r="E20" s="40"/>
      <c r="F20" s="40"/>
      <c r="G20" s="40"/>
      <c r="H20" s="40"/>
      <c r="I20" s="40"/>
      <c r="J20" s="40"/>
      <c r="K20" s="40"/>
      <c r="L20" s="40"/>
      <c r="M20" s="48"/>
    </row>
    <row r="21" spans="1:13" x14ac:dyDescent="0.2">
      <c r="A21" s="6" t="str">
        <f>Gesamtueberblick!B22</f>
        <v>Mae18</v>
      </c>
      <c r="B21" s="40"/>
      <c r="C21" s="40"/>
      <c r="D21" s="40"/>
      <c r="E21" s="40"/>
      <c r="F21" s="40"/>
      <c r="G21" s="40"/>
      <c r="H21" s="40"/>
      <c r="I21" s="40"/>
      <c r="J21" s="40"/>
      <c r="K21" s="40"/>
      <c r="L21" s="40"/>
      <c r="M21" s="48"/>
    </row>
    <row r="22" spans="1:13" x14ac:dyDescent="0.2">
      <c r="A22" s="6" t="str">
        <f>Gesamtueberblick!B23</f>
        <v>Mol10</v>
      </c>
      <c r="B22" s="40">
        <v>1</v>
      </c>
      <c r="C22" s="40"/>
      <c r="D22" s="40">
        <v>1</v>
      </c>
      <c r="E22" s="40"/>
      <c r="F22" s="40">
        <v>1</v>
      </c>
      <c r="G22" s="40"/>
      <c r="H22" s="40"/>
      <c r="I22" s="40"/>
      <c r="J22" s="40"/>
      <c r="K22" s="40"/>
      <c r="L22" s="40"/>
      <c r="M22" s="48"/>
    </row>
    <row r="23" spans="1:13" x14ac:dyDescent="0.2">
      <c r="A23" s="6" t="str">
        <f>Gesamtueberblick!B24</f>
        <v>Mue19</v>
      </c>
      <c r="B23" s="40"/>
      <c r="C23" s="40"/>
      <c r="D23" s="40"/>
      <c r="E23" s="40"/>
      <c r="F23" s="40"/>
      <c r="G23" s="40"/>
      <c r="H23" s="40"/>
      <c r="I23" s="40"/>
      <c r="J23" s="40"/>
      <c r="K23" s="40"/>
      <c r="L23" s="40"/>
      <c r="M23" s="48"/>
    </row>
    <row r="24" spans="1:13" x14ac:dyDescent="0.2">
      <c r="A24" s="6" t="str">
        <f>Gesamtueberblick!B25</f>
        <v>Pau11</v>
      </c>
      <c r="B24" s="40"/>
      <c r="C24" s="40"/>
      <c r="D24" s="40"/>
      <c r="E24" s="40"/>
      <c r="F24" s="40"/>
      <c r="G24" s="40"/>
      <c r="H24" s="40"/>
      <c r="I24" s="40"/>
      <c r="J24" s="40"/>
      <c r="K24" s="40"/>
      <c r="L24" s="40"/>
      <c r="M24" s="48"/>
    </row>
    <row r="25" spans="1:13" x14ac:dyDescent="0.2">
      <c r="A25" s="6" t="str">
        <f>Gesamtueberblick!B26</f>
        <v>Pel16</v>
      </c>
      <c r="B25" s="40">
        <v>1</v>
      </c>
      <c r="C25" s="40"/>
      <c r="D25" s="40">
        <v>1</v>
      </c>
      <c r="E25" s="40"/>
      <c r="F25" s="40">
        <v>1</v>
      </c>
      <c r="G25" s="40">
        <v>1</v>
      </c>
      <c r="H25" s="40">
        <v>1</v>
      </c>
      <c r="I25" s="40"/>
      <c r="J25" s="40"/>
      <c r="K25" s="40"/>
      <c r="L25" s="40"/>
      <c r="M25" s="48"/>
    </row>
    <row r="26" spans="1:13" x14ac:dyDescent="0.2">
      <c r="A26" s="6" t="str">
        <f>Gesamtueberblick!B27</f>
        <v>r2b14</v>
      </c>
      <c r="B26" s="40"/>
      <c r="C26" s="40"/>
      <c r="D26" s="40"/>
      <c r="E26" s="40"/>
      <c r="F26" s="40"/>
      <c r="G26" s="40"/>
      <c r="H26" s="40"/>
      <c r="I26" s="40"/>
      <c r="J26" s="40"/>
      <c r="K26" s="40"/>
      <c r="L26" s="40"/>
      <c r="M26" s="48"/>
    </row>
    <row r="27" spans="1:13" x14ac:dyDescent="0.2">
      <c r="A27" s="6" t="str">
        <f>Gesamtueberblick!B28</f>
        <v>Roo10</v>
      </c>
      <c r="B27" s="40"/>
      <c r="C27" s="40"/>
      <c r="D27" s="40"/>
      <c r="E27" s="40"/>
      <c r="F27" s="40"/>
      <c r="G27" s="40"/>
      <c r="H27" s="40"/>
      <c r="I27" s="40"/>
      <c r="J27" s="40"/>
      <c r="K27" s="40"/>
      <c r="L27" s="40"/>
      <c r="M27" s="48"/>
    </row>
    <row r="28" spans="1:13" x14ac:dyDescent="0.2">
      <c r="A28" s="6" t="str">
        <f>Gesamtueberblick!B29</f>
        <v>Sau19</v>
      </c>
      <c r="B28" s="40"/>
      <c r="C28" s="40"/>
      <c r="D28" s="40"/>
      <c r="E28" s="40"/>
      <c r="F28" s="40"/>
      <c r="G28" s="40"/>
      <c r="H28" s="40"/>
      <c r="I28" s="40"/>
      <c r="J28" s="40"/>
      <c r="K28" s="40"/>
      <c r="L28" s="40"/>
      <c r="M28" s="48"/>
    </row>
    <row r="29" spans="1:13" x14ac:dyDescent="0.2">
      <c r="A29" s="6" t="str">
        <f>Gesamtueberblick!B30</f>
        <v>Sch14</v>
      </c>
      <c r="B29" s="40"/>
      <c r="C29" s="40"/>
      <c r="D29" s="40">
        <v>1</v>
      </c>
      <c r="E29" s="40"/>
      <c r="F29" s="40">
        <v>1</v>
      </c>
      <c r="G29" s="40"/>
      <c r="H29" s="40"/>
      <c r="I29" s="40"/>
      <c r="J29" s="40"/>
      <c r="K29" s="40"/>
      <c r="L29" s="40"/>
      <c r="M29" s="48"/>
    </row>
    <row r="30" spans="1:13" x14ac:dyDescent="0.2">
      <c r="A30" s="6" t="str">
        <f>Gesamtueberblick!B31</f>
        <v>Sta06</v>
      </c>
      <c r="B30" s="40">
        <v>1</v>
      </c>
      <c r="C30" s="40"/>
      <c r="D30" s="40"/>
      <c r="E30" s="40"/>
      <c r="F30" s="40"/>
      <c r="G30" s="40"/>
      <c r="H30" s="40"/>
      <c r="I30" s="40"/>
      <c r="J30" s="40"/>
      <c r="K30" s="40"/>
      <c r="L30" s="40"/>
      <c r="M30" s="48"/>
    </row>
    <row r="31" spans="1:13" x14ac:dyDescent="0.2">
      <c r="A31" s="6" t="str">
        <f>Gesamtueberblick!B32</f>
        <v>Ste17</v>
      </c>
      <c r="B31" s="40">
        <v>1</v>
      </c>
      <c r="C31" s="40">
        <v>1</v>
      </c>
      <c r="D31" s="40"/>
      <c r="E31" s="40"/>
      <c r="F31" s="40">
        <v>1</v>
      </c>
      <c r="G31" s="40">
        <v>1</v>
      </c>
      <c r="H31" s="40">
        <v>1</v>
      </c>
      <c r="I31" s="40"/>
      <c r="J31" s="40">
        <v>1</v>
      </c>
      <c r="K31" s="40"/>
      <c r="L31" s="40">
        <v>1</v>
      </c>
      <c r="M31" s="48">
        <v>1</v>
      </c>
    </row>
    <row r="32" spans="1:13" x14ac:dyDescent="0.2">
      <c r="A32" s="6" t="str">
        <f>Gesamtueberblick!B33</f>
        <v>Sty15</v>
      </c>
      <c r="B32" s="40">
        <v>0.5</v>
      </c>
      <c r="C32" s="40"/>
      <c r="D32" s="40"/>
      <c r="E32" s="40"/>
      <c r="F32" s="40"/>
      <c r="G32" s="40"/>
      <c r="H32" s="40"/>
      <c r="I32" s="40"/>
      <c r="J32" s="40"/>
      <c r="K32" s="40">
        <v>0.5</v>
      </c>
      <c r="L32" s="40"/>
      <c r="M32" s="48"/>
    </row>
    <row r="33" spans="1:13" x14ac:dyDescent="0.2">
      <c r="A33" s="6" t="str">
        <f>Gesamtueberblick!B34</f>
        <v>Woh20</v>
      </c>
      <c r="B33" s="40"/>
      <c r="C33" s="40"/>
      <c r="D33" s="40"/>
      <c r="E33" s="40"/>
      <c r="F33" s="40"/>
      <c r="G33" s="40"/>
      <c r="H33" s="40"/>
      <c r="I33" s="40"/>
      <c r="J33" s="40"/>
      <c r="K33" s="40"/>
      <c r="L33" s="40"/>
      <c r="M33" s="48"/>
    </row>
    <row r="34" spans="1:13" x14ac:dyDescent="0.2">
      <c r="A34" s="6" t="s">
        <v>853</v>
      </c>
      <c r="B34" s="56">
        <f>SUM(B2:B33)</f>
        <v>8.5</v>
      </c>
      <c r="C34" s="56">
        <f t="shared" ref="C34:M34" si="0">SUM(C2:C33)</f>
        <v>2</v>
      </c>
      <c r="D34" s="56">
        <f t="shared" si="0"/>
        <v>7</v>
      </c>
      <c r="E34" s="56">
        <f t="shared" si="0"/>
        <v>3</v>
      </c>
      <c r="F34" s="56">
        <f t="shared" si="0"/>
        <v>10</v>
      </c>
      <c r="G34" s="56">
        <f t="shared" si="0"/>
        <v>4</v>
      </c>
      <c r="H34" s="56">
        <f t="shared" si="0"/>
        <v>4</v>
      </c>
      <c r="I34" s="56">
        <f t="shared" si="0"/>
        <v>1</v>
      </c>
      <c r="J34" s="56">
        <f t="shared" si="0"/>
        <v>2</v>
      </c>
      <c r="K34" s="56">
        <f t="shared" si="0"/>
        <v>0.5</v>
      </c>
      <c r="L34" s="56">
        <f t="shared" si="0"/>
        <v>4.5</v>
      </c>
      <c r="M34" s="56">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5" customWidth="1"/>
    <col min="4" max="19" width="11" style="85"/>
    <col min="20" max="20" width="5.625" style="85" customWidth="1"/>
    <col min="21" max="16384" width="11" style="85"/>
  </cols>
  <sheetData>
    <row r="2" spans="2:20" x14ac:dyDescent="0.2">
      <c r="B2" s="89"/>
      <c r="C2" s="90"/>
      <c r="D2" s="90"/>
      <c r="E2" s="90"/>
      <c r="F2" s="90"/>
      <c r="G2" s="90"/>
      <c r="H2" s="90"/>
      <c r="I2" s="90"/>
      <c r="J2" s="90"/>
      <c r="K2" s="90"/>
      <c r="L2" s="90"/>
      <c r="M2" s="90"/>
      <c r="N2" s="90"/>
      <c r="O2" s="90"/>
      <c r="P2" s="90"/>
      <c r="Q2" s="90"/>
      <c r="R2" s="90"/>
      <c r="S2" s="90"/>
      <c r="T2" s="91"/>
    </row>
    <row r="3" spans="2:20" ht="18" x14ac:dyDescent="0.25">
      <c r="B3" s="92"/>
      <c r="C3" s="110" t="s">
        <v>968</v>
      </c>
      <c r="D3" s="94"/>
      <c r="E3" s="94"/>
      <c r="F3" s="94"/>
      <c r="G3" s="94"/>
      <c r="H3" s="94"/>
      <c r="I3" s="94"/>
      <c r="J3" s="94"/>
      <c r="K3" s="94"/>
      <c r="L3" s="94"/>
      <c r="M3" s="94"/>
      <c r="N3" s="94"/>
      <c r="O3" s="94"/>
      <c r="P3" s="94"/>
      <c r="Q3" s="94"/>
      <c r="R3" s="94"/>
      <c r="S3" s="94"/>
      <c r="T3" s="95"/>
    </row>
    <row r="4" spans="2:20" x14ac:dyDescent="0.2">
      <c r="B4" s="92"/>
      <c r="C4" s="94"/>
      <c r="D4" s="94"/>
      <c r="E4" s="94"/>
      <c r="F4" s="94"/>
      <c r="G4" s="94"/>
      <c r="H4" s="94"/>
      <c r="I4" s="94"/>
      <c r="J4" s="94"/>
      <c r="K4" s="94"/>
      <c r="L4" s="94"/>
      <c r="M4" s="94"/>
      <c r="N4" s="94"/>
      <c r="O4" s="94"/>
      <c r="P4" s="94"/>
      <c r="Q4" s="94"/>
      <c r="R4" s="94"/>
      <c r="S4" s="94"/>
      <c r="T4" s="95"/>
    </row>
    <row r="5" spans="2:20" ht="15" x14ac:dyDescent="0.25">
      <c r="B5" s="92"/>
      <c r="C5" s="93" t="s">
        <v>969</v>
      </c>
      <c r="D5" s="93" t="s">
        <v>972</v>
      </c>
      <c r="E5" s="94"/>
      <c r="F5" s="94"/>
      <c r="G5" s="94"/>
      <c r="H5" s="94"/>
      <c r="I5" s="94"/>
      <c r="J5" s="94"/>
      <c r="K5" s="94"/>
      <c r="L5" s="94"/>
      <c r="M5" s="94"/>
      <c r="N5" s="94"/>
      <c r="O5" s="94"/>
      <c r="P5" s="94"/>
      <c r="Q5" s="94"/>
      <c r="R5" s="94"/>
      <c r="S5" s="94"/>
      <c r="T5" s="95"/>
    </row>
    <row r="6" spans="2:20" x14ac:dyDescent="0.2">
      <c r="B6" s="92"/>
      <c r="C6" s="94"/>
      <c r="D6" s="97" t="s">
        <v>1672</v>
      </c>
      <c r="E6" s="94"/>
      <c r="F6" s="94"/>
      <c r="G6" s="94"/>
      <c r="H6" s="94"/>
      <c r="I6" s="94"/>
      <c r="J6" s="94"/>
      <c r="K6" s="94"/>
      <c r="L6" s="94"/>
      <c r="M6" s="94"/>
      <c r="N6" s="94"/>
      <c r="O6" s="94"/>
      <c r="P6" s="94"/>
      <c r="Q6" s="94"/>
      <c r="R6" s="94"/>
      <c r="S6" s="94"/>
      <c r="T6" s="95"/>
    </row>
    <row r="7" spans="2:20" x14ac:dyDescent="0.2">
      <c r="B7" s="92"/>
      <c r="C7" s="94"/>
      <c r="D7" s="97" t="s">
        <v>971</v>
      </c>
      <c r="E7" s="94"/>
      <c r="F7" s="94"/>
      <c r="G7" s="94"/>
      <c r="H7" s="94"/>
      <c r="I7" s="94"/>
      <c r="J7" s="94"/>
      <c r="K7" s="94"/>
      <c r="L7" s="94"/>
      <c r="M7" s="94"/>
      <c r="N7" s="94"/>
      <c r="O7" s="94"/>
      <c r="P7" s="94"/>
      <c r="Q7" s="94"/>
      <c r="R7" s="94"/>
      <c r="S7" s="94"/>
      <c r="T7" s="95"/>
    </row>
    <row r="8" spans="2:20" x14ac:dyDescent="0.2">
      <c r="B8" s="92"/>
      <c r="C8" s="94"/>
      <c r="D8" s="97" t="s">
        <v>975</v>
      </c>
      <c r="E8" s="94"/>
      <c r="F8" s="94"/>
      <c r="G8" s="94"/>
      <c r="H8" s="94"/>
      <c r="I8" s="94"/>
      <c r="J8" s="94"/>
      <c r="K8" s="94"/>
      <c r="L8" s="94"/>
      <c r="M8" s="94"/>
      <c r="N8" s="94"/>
      <c r="O8" s="94"/>
      <c r="P8" s="94"/>
      <c r="Q8" s="94"/>
      <c r="R8" s="94"/>
      <c r="S8" s="94"/>
      <c r="T8" s="95"/>
    </row>
    <row r="9" spans="2:20" x14ac:dyDescent="0.2">
      <c r="B9" s="92"/>
      <c r="C9" s="94"/>
      <c r="D9" s="94"/>
      <c r="E9" s="94"/>
      <c r="F9" s="94"/>
      <c r="G9" s="94"/>
      <c r="H9" s="94"/>
      <c r="I9" s="94"/>
      <c r="J9" s="94"/>
      <c r="K9" s="94"/>
      <c r="L9" s="94"/>
      <c r="M9" s="94"/>
      <c r="N9" s="94"/>
      <c r="O9" s="94"/>
      <c r="P9" s="94"/>
      <c r="Q9" s="94"/>
      <c r="R9" s="94"/>
      <c r="S9" s="94"/>
      <c r="T9" s="95"/>
    </row>
    <row r="10" spans="2:20" ht="15" x14ac:dyDescent="0.25">
      <c r="B10" s="92"/>
      <c r="C10" s="93" t="s">
        <v>970</v>
      </c>
      <c r="D10" s="93" t="s">
        <v>973</v>
      </c>
      <c r="E10" s="94"/>
      <c r="F10" s="94"/>
      <c r="G10" s="94"/>
      <c r="H10" s="94"/>
      <c r="I10" s="94"/>
      <c r="J10" s="94"/>
      <c r="K10" s="94"/>
      <c r="L10" s="94"/>
      <c r="M10" s="94"/>
      <c r="N10" s="94"/>
      <c r="O10" s="94"/>
      <c r="P10" s="94"/>
      <c r="Q10" s="94"/>
      <c r="R10" s="94"/>
      <c r="S10" s="94"/>
      <c r="T10" s="95"/>
    </row>
    <row r="11" spans="2:20" x14ac:dyDescent="0.2">
      <c r="B11" s="92"/>
      <c r="C11" s="94"/>
      <c r="D11" s="97" t="s">
        <v>974</v>
      </c>
      <c r="E11" s="94"/>
      <c r="F11" s="94"/>
      <c r="G11" s="94"/>
      <c r="H11" s="94"/>
      <c r="I11" s="94"/>
      <c r="J11" s="94"/>
      <c r="K11" s="94"/>
      <c r="L11" s="94"/>
      <c r="M11" s="94"/>
      <c r="N11" s="94"/>
      <c r="O11" s="94"/>
      <c r="P11" s="94"/>
      <c r="Q11" s="94"/>
      <c r="R11" s="94"/>
      <c r="S11" s="94"/>
      <c r="T11" s="95"/>
    </row>
    <row r="12" spans="2:20" x14ac:dyDescent="0.2">
      <c r="B12" s="92"/>
      <c r="C12" s="94"/>
      <c r="D12" s="94"/>
      <c r="E12" s="94"/>
      <c r="F12" s="94"/>
      <c r="G12" s="94"/>
      <c r="H12" s="94"/>
      <c r="I12" s="94"/>
      <c r="J12" s="94"/>
      <c r="K12" s="94"/>
      <c r="L12" s="94"/>
      <c r="M12" s="94"/>
      <c r="N12" s="94"/>
      <c r="O12" s="94"/>
      <c r="P12" s="94"/>
      <c r="Q12" s="94"/>
      <c r="R12" s="94"/>
      <c r="S12" s="94"/>
      <c r="T12" s="95"/>
    </row>
    <row r="13" spans="2:20" ht="15" x14ac:dyDescent="0.25">
      <c r="B13" s="92"/>
      <c r="C13" s="93" t="s">
        <v>976</v>
      </c>
      <c r="D13" s="93" t="s">
        <v>1270</v>
      </c>
      <c r="E13" s="94"/>
      <c r="F13" s="94"/>
      <c r="G13" s="94"/>
      <c r="H13" s="94"/>
      <c r="I13" s="94"/>
      <c r="J13" s="94"/>
      <c r="K13" s="94"/>
      <c r="L13" s="94"/>
      <c r="M13" s="94"/>
      <c r="N13" s="94"/>
      <c r="O13" s="94"/>
      <c r="P13" s="94"/>
      <c r="Q13" s="94"/>
      <c r="R13" s="94"/>
      <c r="S13" s="94"/>
      <c r="T13" s="95"/>
    </row>
    <row r="14" spans="2:20" x14ac:dyDescent="0.2">
      <c r="B14" s="92"/>
      <c r="C14" s="94"/>
      <c r="D14" s="97" t="s">
        <v>977</v>
      </c>
      <c r="E14" s="94"/>
      <c r="F14" s="94"/>
      <c r="G14" s="94"/>
      <c r="H14" s="94"/>
      <c r="I14" s="94"/>
      <c r="J14" s="94"/>
      <c r="K14" s="94"/>
      <c r="L14" s="94"/>
      <c r="M14" s="94"/>
      <c r="N14" s="94"/>
      <c r="O14" s="94"/>
      <c r="P14" s="94"/>
      <c r="Q14" s="94"/>
      <c r="R14" s="94"/>
      <c r="S14" s="94"/>
      <c r="T14" s="95"/>
    </row>
    <row r="15" spans="2:20" x14ac:dyDescent="0.2">
      <c r="B15" s="92"/>
      <c r="C15" s="94"/>
      <c r="D15" s="97" t="s">
        <v>978</v>
      </c>
      <c r="E15" s="94"/>
      <c r="F15" s="94"/>
      <c r="G15" s="94"/>
      <c r="H15" s="94"/>
      <c r="I15" s="94"/>
      <c r="J15" s="94"/>
      <c r="K15" s="94"/>
      <c r="L15" s="94"/>
      <c r="M15" s="94"/>
      <c r="N15" s="94"/>
      <c r="O15" s="94"/>
      <c r="P15" s="94"/>
      <c r="Q15" s="94"/>
      <c r="R15" s="94"/>
      <c r="S15" s="94"/>
      <c r="T15" s="95"/>
    </row>
    <row r="16" spans="2:20" x14ac:dyDescent="0.2">
      <c r="B16" s="92"/>
      <c r="C16" s="94"/>
      <c r="D16" s="94"/>
      <c r="E16" s="94"/>
      <c r="F16" s="94"/>
      <c r="G16" s="94"/>
      <c r="H16" s="94"/>
      <c r="I16" s="94"/>
      <c r="J16" s="94"/>
      <c r="K16" s="94"/>
      <c r="L16" s="94"/>
      <c r="M16" s="94"/>
      <c r="N16" s="94"/>
      <c r="O16" s="94"/>
      <c r="P16" s="94"/>
      <c r="Q16" s="94"/>
      <c r="R16" s="94"/>
      <c r="S16" s="94"/>
      <c r="T16" s="95"/>
    </row>
    <row r="17" spans="2:20" ht="15" x14ac:dyDescent="0.25">
      <c r="B17" s="92"/>
      <c r="C17" s="93" t="s">
        <v>979</v>
      </c>
      <c r="D17" s="93" t="s">
        <v>1269</v>
      </c>
      <c r="E17" s="94"/>
      <c r="F17" s="94"/>
      <c r="G17" s="94"/>
      <c r="H17" s="94"/>
      <c r="I17" s="94"/>
      <c r="J17" s="94"/>
      <c r="K17" s="94"/>
      <c r="L17" s="94"/>
      <c r="M17" s="94"/>
      <c r="N17" s="94"/>
      <c r="O17" s="94"/>
      <c r="P17" s="94"/>
      <c r="Q17" s="94"/>
      <c r="R17" s="94"/>
      <c r="S17" s="94"/>
      <c r="T17" s="95"/>
    </row>
    <row r="18" spans="2:20" x14ac:dyDescent="0.2">
      <c r="B18" s="92"/>
      <c r="C18" s="94"/>
      <c r="D18" s="97" t="s">
        <v>1271</v>
      </c>
      <c r="E18" s="94"/>
      <c r="F18" s="94"/>
      <c r="G18" s="94"/>
      <c r="H18" s="94"/>
      <c r="I18" s="94"/>
      <c r="J18" s="94"/>
      <c r="K18" s="94"/>
      <c r="L18" s="94"/>
      <c r="M18" s="94"/>
      <c r="N18" s="94"/>
      <c r="O18" s="94"/>
      <c r="P18" s="94"/>
      <c r="Q18" s="94"/>
      <c r="R18" s="94"/>
      <c r="S18" s="94"/>
      <c r="T18" s="95"/>
    </row>
    <row r="19" spans="2:20" x14ac:dyDescent="0.2">
      <c r="B19" s="92"/>
      <c r="C19" s="94"/>
      <c r="D19" s="97" t="s">
        <v>1272</v>
      </c>
      <c r="E19" s="94"/>
      <c r="F19" s="94"/>
      <c r="G19" s="94"/>
      <c r="H19" s="94"/>
      <c r="I19" s="94"/>
      <c r="J19" s="94"/>
      <c r="K19" s="94"/>
      <c r="L19" s="94"/>
      <c r="M19" s="94"/>
      <c r="N19" s="94"/>
      <c r="O19" s="94"/>
      <c r="P19" s="94"/>
      <c r="Q19" s="94"/>
      <c r="R19" s="94"/>
      <c r="S19" s="94"/>
      <c r="T19" s="95"/>
    </row>
    <row r="20" spans="2:20" x14ac:dyDescent="0.2">
      <c r="B20" s="92"/>
      <c r="C20" s="94"/>
      <c r="D20" s="97" t="s">
        <v>982</v>
      </c>
      <c r="E20" s="94"/>
      <c r="F20" s="94"/>
      <c r="G20" s="94"/>
      <c r="H20" s="94"/>
      <c r="I20" s="94"/>
      <c r="J20" s="94"/>
      <c r="K20" s="94"/>
      <c r="L20" s="94"/>
      <c r="M20" s="94"/>
      <c r="N20" s="94"/>
      <c r="O20" s="94"/>
      <c r="P20" s="94"/>
      <c r="Q20" s="94"/>
      <c r="R20" s="94"/>
      <c r="S20" s="94"/>
      <c r="T20" s="95"/>
    </row>
    <row r="21" spans="2:20" x14ac:dyDescent="0.2">
      <c r="B21" s="92"/>
      <c r="C21" s="94"/>
      <c r="D21" s="97" t="s">
        <v>1275</v>
      </c>
      <c r="E21" s="94"/>
      <c r="F21" s="94"/>
      <c r="G21" s="94"/>
      <c r="H21" s="94"/>
      <c r="I21" s="94"/>
      <c r="J21" s="94"/>
      <c r="K21" s="94"/>
      <c r="L21" s="94"/>
      <c r="M21" s="94"/>
      <c r="N21" s="94"/>
      <c r="O21" s="94"/>
      <c r="P21" s="94"/>
      <c r="Q21" s="94"/>
      <c r="R21" s="94"/>
      <c r="S21" s="94"/>
      <c r="T21" s="95"/>
    </row>
    <row r="22" spans="2:20" x14ac:dyDescent="0.2">
      <c r="B22" s="92"/>
      <c r="C22" s="94"/>
      <c r="D22" s="97"/>
      <c r="E22" s="94"/>
      <c r="F22" s="94"/>
      <c r="G22" s="94"/>
      <c r="H22" s="94"/>
      <c r="I22" s="94"/>
      <c r="J22" s="94"/>
      <c r="K22" s="94"/>
      <c r="L22" s="94"/>
      <c r="M22" s="94"/>
      <c r="N22" s="94"/>
      <c r="O22" s="94"/>
      <c r="P22" s="94"/>
      <c r="Q22" s="94"/>
      <c r="R22" s="94"/>
      <c r="S22" s="94"/>
      <c r="T22" s="95"/>
    </row>
    <row r="23" spans="2:20" ht="15" x14ac:dyDescent="0.25">
      <c r="B23" s="92"/>
      <c r="C23" s="93" t="s">
        <v>1268</v>
      </c>
      <c r="D23" s="93" t="s">
        <v>980</v>
      </c>
      <c r="E23" s="94"/>
      <c r="F23" s="94"/>
      <c r="G23" s="94"/>
      <c r="H23" s="94"/>
      <c r="I23" s="94"/>
      <c r="J23" s="94"/>
      <c r="K23" s="94"/>
      <c r="L23" s="94"/>
      <c r="M23" s="94"/>
      <c r="N23" s="94"/>
      <c r="O23" s="94"/>
      <c r="P23" s="94"/>
      <c r="Q23" s="94"/>
      <c r="R23" s="94"/>
      <c r="S23" s="94"/>
      <c r="T23" s="95"/>
    </row>
    <row r="24" spans="2:20" x14ac:dyDescent="0.2">
      <c r="B24" s="92"/>
      <c r="C24" s="94"/>
      <c r="D24" s="97" t="s">
        <v>981</v>
      </c>
      <c r="E24" s="94"/>
      <c r="F24" s="94"/>
      <c r="G24" s="94"/>
      <c r="H24" s="94"/>
      <c r="I24" s="94"/>
      <c r="J24" s="94"/>
      <c r="K24" s="94"/>
      <c r="L24" s="94"/>
      <c r="M24" s="94"/>
      <c r="N24" s="94"/>
      <c r="O24" s="94"/>
      <c r="P24" s="94"/>
      <c r="Q24" s="94"/>
      <c r="R24" s="94"/>
      <c r="S24" s="94"/>
      <c r="T24" s="95"/>
    </row>
    <row r="25" spans="2:20" x14ac:dyDescent="0.2">
      <c r="B25" s="92"/>
      <c r="C25" s="94"/>
      <c r="D25" s="97" t="s">
        <v>982</v>
      </c>
      <c r="E25" s="94"/>
      <c r="F25" s="94"/>
      <c r="G25" s="94"/>
      <c r="H25" s="94"/>
      <c r="I25" s="94"/>
      <c r="J25" s="94"/>
      <c r="K25" s="94"/>
      <c r="L25" s="94"/>
      <c r="M25" s="94"/>
      <c r="N25" s="94"/>
      <c r="O25" s="94"/>
      <c r="P25" s="94"/>
      <c r="Q25" s="94"/>
      <c r="R25" s="94"/>
      <c r="S25" s="94"/>
      <c r="T25" s="95"/>
    </row>
    <row r="26" spans="2:20" x14ac:dyDescent="0.2">
      <c r="B26" s="92"/>
      <c r="C26" s="94"/>
      <c r="D26" s="97" t="s">
        <v>1159</v>
      </c>
      <c r="E26" s="94"/>
      <c r="F26" s="94"/>
      <c r="G26" s="94"/>
      <c r="H26" s="94"/>
      <c r="I26" s="94"/>
      <c r="J26" s="94"/>
      <c r="K26" s="94"/>
      <c r="L26" s="94"/>
      <c r="M26" s="94"/>
      <c r="N26" s="94"/>
      <c r="O26" s="94"/>
      <c r="P26" s="94"/>
      <c r="Q26" s="94"/>
      <c r="R26" s="94"/>
      <c r="S26" s="94"/>
      <c r="T26" s="95"/>
    </row>
    <row r="27" spans="2:20" x14ac:dyDescent="0.2">
      <c r="B27" s="92"/>
      <c r="C27" s="94"/>
      <c r="D27" s="97" t="s">
        <v>1158</v>
      </c>
      <c r="E27" s="94"/>
      <c r="F27" s="94"/>
      <c r="G27" s="94"/>
      <c r="H27" s="94"/>
      <c r="I27" s="94"/>
      <c r="J27" s="94"/>
      <c r="K27" s="94"/>
      <c r="L27" s="94"/>
      <c r="M27" s="94"/>
      <c r="N27" s="94"/>
      <c r="O27" s="94"/>
      <c r="P27" s="94"/>
      <c r="Q27" s="94"/>
      <c r="R27" s="94"/>
      <c r="S27" s="94"/>
      <c r="T27" s="95"/>
    </row>
    <row r="28" spans="2:20" x14ac:dyDescent="0.2">
      <c r="B28" s="92"/>
      <c r="C28" s="94"/>
      <c r="D28" s="97" t="s">
        <v>983</v>
      </c>
      <c r="E28" s="94"/>
      <c r="F28" s="94"/>
      <c r="G28" s="94"/>
      <c r="H28" s="94"/>
      <c r="I28" s="94"/>
      <c r="J28" s="94"/>
      <c r="K28" s="94"/>
      <c r="L28" s="94"/>
      <c r="M28" s="94"/>
      <c r="N28" s="94"/>
      <c r="O28" s="94"/>
      <c r="P28" s="94"/>
      <c r="Q28" s="94"/>
      <c r="R28" s="94"/>
      <c r="S28" s="94"/>
      <c r="T28" s="95"/>
    </row>
    <row r="29" spans="2:20" x14ac:dyDescent="0.2">
      <c r="B29" s="92"/>
      <c r="C29" s="94"/>
      <c r="D29" s="97" t="s">
        <v>984</v>
      </c>
      <c r="E29" s="94"/>
      <c r="F29" s="94"/>
      <c r="G29" s="94"/>
      <c r="H29" s="94"/>
      <c r="I29" s="94"/>
      <c r="J29" s="94"/>
      <c r="K29" s="94"/>
      <c r="L29" s="94"/>
      <c r="M29" s="94"/>
      <c r="N29" s="94"/>
      <c r="O29" s="94"/>
      <c r="P29" s="94"/>
      <c r="Q29" s="94"/>
      <c r="R29" s="94"/>
      <c r="S29" s="94"/>
      <c r="T29" s="95"/>
    </row>
    <row r="30" spans="2:20" x14ac:dyDescent="0.2">
      <c r="B30" s="107"/>
      <c r="C30" s="108"/>
      <c r="D30" s="108"/>
      <c r="E30" s="108"/>
      <c r="F30" s="108"/>
      <c r="G30" s="108"/>
      <c r="H30" s="108"/>
      <c r="I30" s="108"/>
      <c r="J30" s="108"/>
      <c r="K30" s="108"/>
      <c r="L30" s="108"/>
      <c r="M30" s="108"/>
      <c r="N30" s="108"/>
      <c r="O30" s="108"/>
      <c r="P30" s="108"/>
      <c r="Q30" s="108"/>
      <c r="R30" s="108"/>
      <c r="S30" s="108"/>
      <c r="T30" s="109"/>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N19" sqref="N19"/>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1043</v>
      </c>
      <c r="D1" s="49" t="s">
        <v>1032</v>
      </c>
      <c r="E1" s="49" t="s">
        <v>1046</v>
      </c>
      <c r="F1" s="49" t="s">
        <v>1033</v>
      </c>
      <c r="G1" s="49" t="s">
        <v>1024</v>
      </c>
      <c r="H1" s="49" t="s">
        <v>1044</v>
      </c>
      <c r="I1" s="49" t="s">
        <v>388</v>
      </c>
      <c r="J1" s="49" t="s">
        <v>1026</v>
      </c>
      <c r="K1" s="49" t="s">
        <v>930</v>
      </c>
      <c r="L1" s="49" t="s">
        <v>1045</v>
      </c>
      <c r="M1" s="50" t="s">
        <v>1038</v>
      </c>
    </row>
    <row r="2" spans="1:13" x14ac:dyDescent="0.2">
      <c r="A2" s="6" t="str">
        <f>Tabelle1521[[#This Row],[Kurzbeleg]]</f>
        <v>Ape12</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Ary17</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Aus18</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Blu13</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Foc11</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Gil15</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Gob12</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Gro13</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Gru17</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Haa17</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Hei21</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Hen15</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Jet21</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Klo09</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Klo13</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Krz13</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Lad18</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Lan15</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Lie15</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Mae18</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Mol10</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Mue19</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Pau11</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Pel16</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r2b14</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Roo10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Sau19</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Sch14</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Sta06</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Ste17</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Sty15</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Woh20</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9">
        <f>Tabelle1521[[#This Row],[Druckluftanwendungen]]</f>
        <v>8.5</v>
      </c>
      <c r="C34" s="139">
        <f>Tabelle1521[[#This Row],[Prozessdampf mittels 
KWK-Eigenerzeugung]]</f>
        <v>2</v>
      </c>
      <c r="D34" s="139">
        <f>Tabelle1521[[#This Row],[Prozesskälte]]</f>
        <v>7</v>
      </c>
      <c r="E34" s="139">
        <f>Tabelle1521[[#This Row],[Kühlung 
(Lebensmittelindustrie)]]</f>
        <v>3</v>
      </c>
      <c r="F34" s="139">
        <f>Tabelle1521[[#This Row],[Belüftung]]</f>
        <v>10</v>
      </c>
      <c r="G34" s="139">
        <f>Tabelle1521[[#This Row],[Beleuchtung]]</f>
        <v>4</v>
      </c>
      <c r="H34" s="139">
        <f>Tabelle1521[[#This Row],[Pumpenanwendungen]]</f>
        <v>4</v>
      </c>
      <c r="I34" s="139">
        <f>Tabelle1521[[#This Row],[Elektrodenheizkessel]]</f>
        <v>1</v>
      </c>
      <c r="J34" s="139">
        <f>Tabelle1521[[#This Row],[Zerkleinerer]]</f>
        <v>2</v>
      </c>
      <c r="K34" s="139">
        <f>Tabelle1521[[#This Row],[Fördertechnik]]</f>
        <v>0.5</v>
      </c>
      <c r="L34" s="139">
        <f>Tabelle1521[[#This Row],[Klimakälte]]</f>
        <v>4.5</v>
      </c>
      <c r="M34" s="139">
        <f>Tabelle1521[[#This Row],[Elektrische 
Wärmeerzeugung]]</f>
        <v>3</v>
      </c>
    </row>
  </sheetData>
  <pageMargins left="0.7" right="0.7" top="0.78740157499999996" bottom="0.78740157499999996" header="0.3" footer="0.3"/>
  <pageSetup paperSize="9"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workbookViewId="0">
      <selection activeCell="B2" sqref="B2:AC34"/>
    </sheetView>
  </sheetViews>
  <sheetFormatPr baseColWidth="10" defaultColWidth="11" defaultRowHeight="12.75" x14ac:dyDescent="0.2"/>
  <cols>
    <col min="1" max="1" width="17.625" style="51" customWidth="1"/>
    <col min="2" max="19" width="5.875" style="51" customWidth="1"/>
    <col min="20" max="20" width="7" style="51" customWidth="1"/>
    <col min="21" max="29" width="5.875" style="51" customWidth="1"/>
    <col min="30" max="16384" width="11" style="51"/>
  </cols>
  <sheetData>
    <row r="1" spans="1:29"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1591</v>
      </c>
      <c r="N1" s="49" t="s">
        <v>1592</v>
      </c>
      <c r="O1" s="49" t="s">
        <v>1045</v>
      </c>
      <c r="P1" s="49" t="s">
        <v>1065</v>
      </c>
      <c r="Q1" s="49" t="s">
        <v>1593</v>
      </c>
      <c r="R1" s="49" t="s">
        <v>1070</v>
      </c>
      <c r="S1" s="49" t="s">
        <v>1077</v>
      </c>
      <c r="T1" s="49" t="s">
        <v>1432</v>
      </c>
      <c r="U1" s="49" t="s">
        <v>1044</v>
      </c>
      <c r="V1" s="49" t="s">
        <v>1594</v>
      </c>
      <c r="W1" s="49" t="s">
        <v>1083</v>
      </c>
      <c r="X1" s="49" t="s">
        <v>1033</v>
      </c>
      <c r="Y1" s="49" t="s">
        <v>1050</v>
      </c>
      <c r="Z1" s="49" t="s">
        <v>1595</v>
      </c>
      <c r="AA1" s="49" t="s">
        <v>1078</v>
      </c>
      <c r="AB1" s="49" t="s">
        <v>798</v>
      </c>
      <c r="AC1" s="49" t="s">
        <v>1797</v>
      </c>
    </row>
    <row r="2" spans="1:29" x14ac:dyDescent="0.2">
      <c r="A2" s="6" t="str">
        <f>Gesamtueberblick!B3</f>
        <v>Ape12</v>
      </c>
      <c r="B2" s="75">
        <v>1</v>
      </c>
      <c r="C2" s="75">
        <v>1</v>
      </c>
      <c r="D2" s="75">
        <v>1</v>
      </c>
      <c r="E2" s="75">
        <v>1</v>
      </c>
      <c r="F2" s="75">
        <v>1</v>
      </c>
      <c r="G2" s="75">
        <v>1</v>
      </c>
      <c r="H2" s="75">
        <v>1</v>
      </c>
      <c r="I2" s="75">
        <v>1</v>
      </c>
      <c r="J2" s="75">
        <v>1</v>
      </c>
      <c r="K2" s="75"/>
      <c r="L2" s="75"/>
      <c r="M2" s="75"/>
      <c r="N2" s="75"/>
      <c r="O2" s="75"/>
      <c r="P2" s="75"/>
      <c r="Q2" s="75"/>
      <c r="R2" s="75"/>
      <c r="S2" s="75"/>
      <c r="T2" s="75"/>
      <c r="U2" s="75"/>
      <c r="V2" s="75"/>
      <c r="W2" s="75"/>
      <c r="X2" s="75"/>
      <c r="Y2" s="75"/>
      <c r="Z2" s="75"/>
      <c r="AA2" s="75"/>
      <c r="AB2" s="75"/>
      <c r="AC2" s="142"/>
    </row>
    <row r="3" spans="1:29" x14ac:dyDescent="0.2">
      <c r="A3" s="6" t="str">
        <f>Gesamtueberblick!B4</f>
        <v>Ary17</v>
      </c>
      <c r="B3" s="75"/>
      <c r="C3" s="75"/>
      <c r="D3" s="75"/>
      <c r="E3" s="75"/>
      <c r="F3" s="75"/>
      <c r="G3" s="75"/>
      <c r="H3" s="75"/>
      <c r="I3" s="75"/>
      <c r="J3" s="75"/>
      <c r="K3" s="75">
        <v>1</v>
      </c>
      <c r="L3" s="75"/>
      <c r="M3" s="75"/>
      <c r="N3" s="75"/>
      <c r="O3" s="75">
        <v>1</v>
      </c>
      <c r="P3" s="75">
        <v>1</v>
      </c>
      <c r="Q3" s="75">
        <v>1</v>
      </c>
      <c r="R3" s="75"/>
      <c r="S3" s="75"/>
      <c r="T3" s="75"/>
      <c r="U3" s="75"/>
      <c r="V3" s="75"/>
      <c r="W3" s="75"/>
      <c r="X3" s="75">
        <v>1</v>
      </c>
      <c r="Y3" s="75"/>
      <c r="Z3" s="75"/>
      <c r="AA3" s="75"/>
      <c r="AB3" s="75"/>
      <c r="AC3" s="75"/>
    </row>
    <row r="4" spans="1:29" x14ac:dyDescent="0.2">
      <c r="A4" s="6" t="str">
        <f>Gesamtueberblick!B5</f>
        <v>Aus18</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row>
    <row r="5" spans="1:29" x14ac:dyDescent="0.2">
      <c r="A5" s="6" t="str">
        <f>Gesamtueberblick!B6</f>
        <v>Blu13</v>
      </c>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row>
    <row r="6" spans="1:29" x14ac:dyDescent="0.2">
      <c r="A6" s="6" t="str">
        <f>Gesamtueberblick!B7</f>
        <v>Foc11</v>
      </c>
      <c r="B6" s="75"/>
      <c r="C6" s="75"/>
      <c r="D6" s="75"/>
      <c r="E6" s="75"/>
      <c r="F6" s="75"/>
      <c r="G6" s="75"/>
      <c r="H6" s="75"/>
      <c r="I6" s="75"/>
      <c r="J6" s="75"/>
      <c r="K6" s="75">
        <v>1</v>
      </c>
      <c r="L6" s="75">
        <v>1</v>
      </c>
      <c r="M6" s="75"/>
      <c r="N6" s="75"/>
      <c r="O6" s="75"/>
      <c r="P6" s="75"/>
      <c r="Q6" s="75">
        <v>1</v>
      </c>
      <c r="R6" s="75"/>
      <c r="S6" s="75"/>
      <c r="T6" s="75"/>
      <c r="U6" s="75"/>
      <c r="V6" s="75">
        <v>1</v>
      </c>
      <c r="W6" s="75">
        <v>1</v>
      </c>
      <c r="X6" s="75"/>
      <c r="Y6" s="75"/>
      <c r="Z6" s="75"/>
      <c r="AA6" s="75"/>
      <c r="AB6" s="75"/>
      <c r="AC6" s="75"/>
    </row>
    <row r="7" spans="1:29" x14ac:dyDescent="0.2">
      <c r="A7" s="6" t="str">
        <f>Gesamtueberblick!B8</f>
        <v>Gil15</v>
      </c>
      <c r="B7" s="75"/>
      <c r="C7" s="75"/>
      <c r="D7" s="75"/>
      <c r="E7" s="75"/>
      <c r="F7" s="75"/>
      <c r="G7" s="75"/>
      <c r="H7" s="75"/>
      <c r="I7" s="75"/>
      <c r="J7" s="75"/>
      <c r="K7" s="75"/>
      <c r="L7" s="75">
        <v>1</v>
      </c>
      <c r="M7" s="75">
        <v>1</v>
      </c>
      <c r="N7" s="75">
        <v>1</v>
      </c>
      <c r="O7" s="75">
        <v>1</v>
      </c>
      <c r="P7" s="75">
        <v>1</v>
      </c>
      <c r="Q7" s="75"/>
      <c r="R7" s="75">
        <v>1</v>
      </c>
      <c r="S7" s="75"/>
      <c r="T7" s="75"/>
      <c r="U7" s="75"/>
      <c r="V7" s="75">
        <v>1</v>
      </c>
      <c r="W7" s="75"/>
      <c r="X7" s="75">
        <v>1</v>
      </c>
      <c r="Y7" s="75">
        <v>1</v>
      </c>
      <c r="Z7" s="75"/>
      <c r="AA7" s="75"/>
      <c r="AB7" s="75"/>
      <c r="AC7" s="75"/>
    </row>
    <row r="8" spans="1:29" x14ac:dyDescent="0.2">
      <c r="A8" s="6" t="str">
        <f>Gesamtueberblick!B9</f>
        <v>Gob12</v>
      </c>
      <c r="B8" s="75"/>
      <c r="C8" s="75"/>
      <c r="D8" s="75"/>
      <c r="E8" s="75"/>
      <c r="F8" s="75"/>
      <c r="G8" s="75"/>
      <c r="H8" s="75"/>
      <c r="I8" s="75"/>
      <c r="J8" s="75"/>
      <c r="K8" s="75">
        <v>1</v>
      </c>
      <c r="L8" s="75"/>
      <c r="M8" s="75"/>
      <c r="N8" s="75"/>
      <c r="O8" s="75">
        <v>1</v>
      </c>
      <c r="P8" s="75"/>
      <c r="Q8" s="75"/>
      <c r="R8" s="75"/>
      <c r="S8" s="75"/>
      <c r="T8" s="75"/>
      <c r="U8" s="75"/>
      <c r="V8" s="75"/>
      <c r="W8" s="75"/>
      <c r="X8" s="75"/>
      <c r="Y8" s="75"/>
      <c r="Z8" s="75"/>
      <c r="AA8" s="75"/>
      <c r="AB8" s="75"/>
      <c r="AC8" s="75"/>
    </row>
    <row r="9" spans="1:29" x14ac:dyDescent="0.2">
      <c r="A9" s="6" t="str">
        <f>Gesamtueberblick!B10</f>
        <v>Gro13</v>
      </c>
      <c r="B9" s="75"/>
      <c r="C9" s="75"/>
      <c r="D9" s="75"/>
      <c r="E9" s="75"/>
      <c r="F9" s="75"/>
      <c r="G9" s="75"/>
      <c r="H9" s="75"/>
      <c r="I9" s="75"/>
      <c r="J9" s="75"/>
      <c r="K9" s="75">
        <v>1</v>
      </c>
      <c r="L9" s="75">
        <v>1</v>
      </c>
      <c r="M9" s="75">
        <v>1</v>
      </c>
      <c r="N9" s="75"/>
      <c r="O9" s="75">
        <v>1</v>
      </c>
      <c r="P9" s="75">
        <v>1</v>
      </c>
      <c r="Q9" s="75"/>
      <c r="R9" s="75">
        <v>1</v>
      </c>
      <c r="S9" s="75"/>
      <c r="T9" s="75"/>
      <c r="U9" s="75"/>
      <c r="V9" s="75"/>
      <c r="W9" s="75"/>
      <c r="X9" s="75"/>
      <c r="Y9" s="75"/>
      <c r="Z9" s="75"/>
      <c r="AA9" s="75"/>
      <c r="AB9" s="75"/>
      <c r="AC9" s="75"/>
    </row>
    <row r="10" spans="1:29" x14ac:dyDescent="0.2">
      <c r="A10" s="6" t="str">
        <f>Gesamtueberblick!B11</f>
        <v>Gru17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row>
    <row r="11" spans="1:29" x14ac:dyDescent="0.2">
      <c r="A11" s="6" t="str">
        <f>Gesamtueberblick!B12</f>
        <v>Haa17</v>
      </c>
      <c r="B11" s="75"/>
      <c r="C11" s="75"/>
      <c r="D11" s="75"/>
      <c r="E11" s="75"/>
      <c r="F11" s="75"/>
      <c r="G11" s="75"/>
      <c r="H11" s="75"/>
      <c r="I11" s="75"/>
      <c r="J11" s="75"/>
      <c r="K11" s="75"/>
      <c r="L11" s="75"/>
      <c r="M11" s="75"/>
      <c r="N11" s="75"/>
      <c r="O11" s="75"/>
      <c r="P11" s="75"/>
      <c r="Q11" s="75"/>
      <c r="R11" s="75"/>
      <c r="S11" s="75"/>
      <c r="T11" s="75">
        <v>1</v>
      </c>
      <c r="U11" s="75"/>
      <c r="V11" s="75"/>
      <c r="W11" s="75"/>
      <c r="X11" s="75"/>
      <c r="Y11" s="75"/>
      <c r="Z11" s="75"/>
      <c r="AA11" s="75"/>
      <c r="AB11" s="75"/>
      <c r="AC11" s="75"/>
    </row>
    <row r="12" spans="1:29" x14ac:dyDescent="0.2">
      <c r="A12" s="6" t="str">
        <f>Gesamtueberblick!B13</f>
        <v>Hei21</v>
      </c>
      <c r="B12" s="75"/>
      <c r="C12" s="75"/>
      <c r="D12" s="75"/>
      <c r="E12" s="75"/>
      <c r="F12" s="75"/>
      <c r="G12" s="75"/>
      <c r="H12" s="75"/>
      <c r="I12" s="75"/>
      <c r="J12" s="75"/>
      <c r="K12" s="75"/>
      <c r="L12" s="75">
        <v>1</v>
      </c>
      <c r="M12" s="75">
        <v>1</v>
      </c>
      <c r="N12" s="75"/>
      <c r="O12" s="75">
        <v>1</v>
      </c>
      <c r="P12" s="75"/>
      <c r="Q12" s="75"/>
      <c r="R12" s="75"/>
      <c r="S12" s="75"/>
      <c r="T12" s="75"/>
      <c r="U12" s="75"/>
      <c r="V12" s="75"/>
      <c r="W12" s="75"/>
      <c r="X12" s="75">
        <v>1</v>
      </c>
      <c r="Y12" s="75"/>
      <c r="Z12" s="75"/>
      <c r="AA12" s="75"/>
      <c r="AB12" s="75"/>
      <c r="AC12" s="75"/>
    </row>
    <row r="13" spans="1:29" x14ac:dyDescent="0.2">
      <c r="A13" s="6" t="str">
        <f>Gesamtueberblick!B14</f>
        <v>Hen15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row>
    <row r="14" spans="1:29" x14ac:dyDescent="0.2">
      <c r="A14" s="6" t="str">
        <f>Gesamtueberblick!B15</f>
        <v>Jet21</v>
      </c>
      <c r="B14" s="75"/>
      <c r="C14" s="75"/>
      <c r="D14" s="75"/>
      <c r="E14" s="75"/>
      <c r="F14" s="75"/>
      <c r="G14" s="75"/>
      <c r="H14" s="75"/>
      <c r="I14" s="75"/>
      <c r="J14" s="75"/>
      <c r="K14" s="75">
        <v>1</v>
      </c>
      <c r="L14" s="75"/>
      <c r="M14" s="75">
        <v>1</v>
      </c>
      <c r="N14" s="75"/>
      <c r="O14" s="75"/>
      <c r="P14" s="75"/>
      <c r="Q14" s="75"/>
      <c r="R14" s="75"/>
      <c r="S14" s="75"/>
      <c r="T14" s="75"/>
      <c r="U14" s="75"/>
      <c r="V14" s="75">
        <v>1</v>
      </c>
      <c r="W14" s="75"/>
      <c r="X14" s="75"/>
      <c r="Y14" s="75">
        <v>1</v>
      </c>
      <c r="Z14" s="75"/>
      <c r="AA14" s="75"/>
      <c r="AB14" s="75"/>
      <c r="AC14" s="75">
        <v>1</v>
      </c>
    </row>
    <row r="15" spans="1:29" x14ac:dyDescent="0.2">
      <c r="A15" s="6" t="str">
        <f>Gesamtueberblick!B16</f>
        <v>Klo09</v>
      </c>
      <c r="B15" s="75"/>
      <c r="C15" s="75"/>
      <c r="D15" s="75"/>
      <c r="E15" s="75"/>
      <c r="F15" s="75"/>
      <c r="G15" s="75"/>
      <c r="H15" s="75"/>
      <c r="I15" s="75"/>
      <c r="J15" s="75"/>
      <c r="K15" s="75">
        <v>1</v>
      </c>
      <c r="L15" s="75">
        <v>1</v>
      </c>
      <c r="M15" s="75">
        <v>1</v>
      </c>
      <c r="N15" s="75"/>
      <c r="O15" s="75">
        <v>1</v>
      </c>
      <c r="P15" s="75">
        <v>1</v>
      </c>
      <c r="Q15" s="75"/>
      <c r="R15" s="75">
        <v>1</v>
      </c>
      <c r="S15" s="75"/>
      <c r="T15" s="75"/>
      <c r="U15" s="75"/>
      <c r="V15" s="75"/>
      <c r="W15" s="75"/>
      <c r="X15" s="75">
        <v>1</v>
      </c>
      <c r="Y15" s="75"/>
      <c r="Z15" s="75">
        <v>1</v>
      </c>
      <c r="AA15" s="75"/>
      <c r="AB15" s="75"/>
      <c r="AC15" s="75"/>
    </row>
    <row r="16" spans="1:29" x14ac:dyDescent="0.2">
      <c r="A16" s="6" t="str">
        <f>Gesamtueberblick!B17</f>
        <v>Klo13</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row>
    <row r="17" spans="1:29" x14ac:dyDescent="0.2">
      <c r="A17" s="6" t="str">
        <f>Gesamtueberblick!B18</f>
        <v>Krz13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row>
    <row r="18" spans="1:29" x14ac:dyDescent="0.2">
      <c r="A18" s="6" t="str">
        <f>Gesamtueberblick!B19</f>
        <v>Lad18</v>
      </c>
      <c r="B18" s="75"/>
      <c r="C18" s="75"/>
      <c r="D18" s="75"/>
      <c r="E18" s="75"/>
      <c r="F18" s="75"/>
      <c r="G18" s="75"/>
      <c r="H18" s="75"/>
      <c r="I18" s="75"/>
      <c r="J18" s="75"/>
      <c r="K18" s="75">
        <v>1</v>
      </c>
      <c r="L18" s="75"/>
      <c r="M18" s="75"/>
      <c r="N18" s="75"/>
      <c r="O18" s="75">
        <v>1</v>
      </c>
      <c r="P18" s="75"/>
      <c r="Q18" s="75"/>
      <c r="R18" s="75">
        <v>1</v>
      </c>
      <c r="S18" s="75">
        <v>1</v>
      </c>
      <c r="T18" s="75"/>
      <c r="U18" s="75"/>
      <c r="V18" s="75"/>
      <c r="W18" s="75"/>
      <c r="X18" s="75">
        <v>1</v>
      </c>
      <c r="Y18" s="75"/>
      <c r="Z18" s="75"/>
      <c r="AA18" s="75"/>
      <c r="AB18" s="75"/>
      <c r="AC18" s="75"/>
    </row>
    <row r="19" spans="1:29" x14ac:dyDescent="0.2">
      <c r="A19" s="6" t="str">
        <f>Gesamtueberblick!B20</f>
        <v>Lan15</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row>
    <row r="20" spans="1:29" x14ac:dyDescent="0.2">
      <c r="A20" s="6" t="str">
        <f>Gesamtueberblick!B21</f>
        <v>Lie15</v>
      </c>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row>
    <row r="21" spans="1:29" x14ac:dyDescent="0.2">
      <c r="A21" s="6" t="str">
        <f>Gesamtueberblick!B22</f>
        <v>Mae18</v>
      </c>
      <c r="B21" s="75"/>
      <c r="C21" s="75"/>
      <c r="D21" s="75"/>
      <c r="E21" s="75"/>
      <c r="F21" s="75"/>
      <c r="G21" s="75"/>
      <c r="H21" s="75"/>
      <c r="I21" s="75"/>
      <c r="J21" s="75"/>
      <c r="K21" s="75"/>
      <c r="L21" s="75"/>
      <c r="M21" s="75">
        <v>1</v>
      </c>
      <c r="N21" s="75"/>
      <c r="O21" s="75"/>
      <c r="P21" s="75"/>
      <c r="Q21" s="75"/>
      <c r="R21" s="75"/>
      <c r="S21" s="75"/>
      <c r="T21" s="75"/>
      <c r="U21" s="75"/>
      <c r="V21" s="75"/>
      <c r="W21" s="75"/>
      <c r="X21" s="75"/>
      <c r="Y21" s="75"/>
      <c r="Z21" s="75"/>
      <c r="AA21" s="75"/>
      <c r="AB21" s="75"/>
      <c r="AC21" s="75"/>
    </row>
    <row r="22" spans="1:29" x14ac:dyDescent="0.2">
      <c r="A22" s="6" t="str">
        <f>Gesamtueberblick!B23</f>
        <v>Mol10</v>
      </c>
      <c r="B22" s="75"/>
      <c r="C22" s="75"/>
      <c r="D22" s="75"/>
      <c r="E22" s="75"/>
      <c r="F22" s="75"/>
      <c r="G22" s="75"/>
      <c r="H22" s="75"/>
      <c r="I22" s="75"/>
      <c r="J22" s="75"/>
      <c r="K22" s="75">
        <v>1</v>
      </c>
      <c r="L22" s="75"/>
      <c r="M22" s="75"/>
      <c r="N22" s="75"/>
      <c r="O22" s="75">
        <v>1</v>
      </c>
      <c r="P22" s="75"/>
      <c r="Q22" s="75">
        <v>1</v>
      </c>
      <c r="R22" s="75"/>
      <c r="S22" s="75"/>
      <c r="T22" s="75"/>
      <c r="U22" s="75"/>
      <c r="V22" s="75"/>
      <c r="W22" s="75"/>
      <c r="X22" s="75">
        <v>1</v>
      </c>
      <c r="Y22" s="75"/>
      <c r="Z22" s="75"/>
      <c r="AA22" s="75">
        <v>1</v>
      </c>
      <c r="AB22" s="75"/>
      <c r="AC22" s="75"/>
    </row>
    <row r="23" spans="1:29" x14ac:dyDescent="0.2">
      <c r="A23" s="6" t="str">
        <f>Gesamtueberblick!B24</f>
        <v>Mue19</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row>
    <row r="24" spans="1:29" x14ac:dyDescent="0.2">
      <c r="A24" s="6" t="str">
        <f>Gesamtueberblick!B25</f>
        <v>Pau11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row>
    <row r="25" spans="1:29" x14ac:dyDescent="0.2">
      <c r="A25" s="6" t="str">
        <f>Gesamtueberblick!B26</f>
        <v>Pel16</v>
      </c>
      <c r="B25" s="75"/>
      <c r="C25" s="75"/>
      <c r="D25" s="75"/>
      <c r="E25" s="75"/>
      <c r="F25" s="75"/>
      <c r="G25" s="75"/>
      <c r="H25" s="75"/>
      <c r="I25" s="75"/>
      <c r="J25" s="75"/>
      <c r="K25" s="75"/>
      <c r="L25" s="75"/>
      <c r="M25" s="75"/>
      <c r="N25" s="75"/>
      <c r="O25" s="75"/>
      <c r="P25" s="75"/>
      <c r="Q25" s="75"/>
      <c r="R25" s="75"/>
      <c r="S25" s="75"/>
      <c r="T25" s="75"/>
      <c r="U25" s="75">
        <v>1</v>
      </c>
      <c r="V25" s="75"/>
      <c r="W25" s="75">
        <v>1</v>
      </c>
      <c r="X25" s="75">
        <v>1</v>
      </c>
      <c r="Y25" s="75"/>
      <c r="Z25" s="75"/>
      <c r="AA25" s="75"/>
      <c r="AB25" s="75">
        <v>1</v>
      </c>
      <c r="AC25" s="75"/>
    </row>
    <row r="26" spans="1:29" x14ac:dyDescent="0.2">
      <c r="A26" s="6" t="str">
        <f>Gesamtueberblick!B27</f>
        <v>r2b14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row>
    <row r="27" spans="1:29" x14ac:dyDescent="0.2">
      <c r="A27" s="6" t="str">
        <f>Gesamtueberblick!B28</f>
        <v>Roo10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row>
    <row r="28" spans="1:29" x14ac:dyDescent="0.2">
      <c r="A28" s="6" t="str">
        <f>Gesamtueberblick!B29</f>
        <v>Sau19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row>
    <row r="29" spans="1:29" x14ac:dyDescent="0.2">
      <c r="A29" s="6" t="str">
        <f>Gesamtueberblick!B30</f>
        <v>Sch14</v>
      </c>
      <c r="B29" s="75"/>
      <c r="C29" s="75"/>
      <c r="D29" s="75"/>
      <c r="E29" s="75"/>
      <c r="F29" s="75"/>
      <c r="G29" s="75"/>
      <c r="H29" s="75"/>
      <c r="I29" s="75"/>
      <c r="J29" s="75"/>
      <c r="K29" s="75"/>
      <c r="L29" s="75">
        <v>1</v>
      </c>
      <c r="M29" s="75">
        <v>1</v>
      </c>
      <c r="N29" s="75">
        <v>1</v>
      </c>
      <c r="O29" s="75">
        <v>1</v>
      </c>
      <c r="P29" s="75">
        <v>1</v>
      </c>
      <c r="Q29" s="75"/>
      <c r="R29" s="75">
        <v>1</v>
      </c>
      <c r="S29" s="75"/>
      <c r="T29" s="75"/>
      <c r="U29" s="75"/>
      <c r="V29" s="75">
        <v>1</v>
      </c>
      <c r="W29" s="75"/>
      <c r="X29" s="75">
        <v>1</v>
      </c>
      <c r="Y29" s="75">
        <v>1</v>
      </c>
      <c r="Z29" s="75"/>
      <c r="AA29" s="75"/>
      <c r="AB29" s="75"/>
      <c r="AC29" s="75"/>
    </row>
    <row r="30" spans="1:29" x14ac:dyDescent="0.2">
      <c r="A30" s="6" t="str">
        <f>Gesamtueberblick!B31</f>
        <v>Sta06</v>
      </c>
      <c r="B30" s="75"/>
      <c r="C30" s="75"/>
      <c r="D30" s="75"/>
      <c r="E30" s="75"/>
      <c r="F30" s="75"/>
      <c r="G30" s="75"/>
      <c r="H30" s="75"/>
      <c r="I30" s="75"/>
      <c r="J30" s="75"/>
      <c r="K30" s="75"/>
      <c r="L30" s="75">
        <v>1</v>
      </c>
      <c r="M30" s="75"/>
      <c r="N30" s="75"/>
      <c r="O30" s="75"/>
      <c r="P30" s="75"/>
      <c r="Q30" s="75"/>
      <c r="R30" s="75"/>
      <c r="S30" s="75"/>
      <c r="T30" s="75"/>
      <c r="U30" s="75"/>
      <c r="V30" s="75"/>
      <c r="W30" s="75"/>
      <c r="X30" s="75">
        <v>1</v>
      </c>
      <c r="Y30" s="75"/>
      <c r="Z30" s="75"/>
      <c r="AA30" s="75"/>
      <c r="AB30" s="75"/>
      <c r="AC30" s="75"/>
    </row>
    <row r="31" spans="1:29" x14ac:dyDescent="0.2">
      <c r="A31" s="6" t="str">
        <f>Gesamtueberblick!B32</f>
        <v>Ste17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row>
    <row r="32" spans="1:29" x14ac:dyDescent="0.2">
      <c r="A32" s="6" t="str">
        <f>Gesamtueberblick!B33</f>
        <v>Sty15</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row>
    <row r="33" spans="1:29" x14ac:dyDescent="0.2">
      <c r="A33" s="6" t="str">
        <f>Gesamtueberblick!B34</f>
        <v>Woh20</v>
      </c>
      <c r="B33" s="75"/>
      <c r="C33" s="75"/>
      <c r="D33" s="75"/>
      <c r="E33" s="75"/>
      <c r="F33" s="75"/>
      <c r="G33" s="75"/>
      <c r="H33" s="75"/>
      <c r="I33" s="75"/>
      <c r="J33" s="75"/>
      <c r="K33" s="75"/>
      <c r="L33" s="75">
        <v>1</v>
      </c>
      <c r="M33" s="75">
        <v>1</v>
      </c>
      <c r="N33" s="75">
        <v>1</v>
      </c>
      <c r="O33" s="75">
        <v>1</v>
      </c>
      <c r="P33" s="75"/>
      <c r="Q33" s="75"/>
      <c r="R33" s="75"/>
      <c r="S33" s="75"/>
      <c r="T33" s="75"/>
      <c r="U33" s="75"/>
      <c r="V33" s="75"/>
      <c r="W33" s="75"/>
      <c r="X33" s="75">
        <v>1</v>
      </c>
      <c r="Y33" s="75"/>
      <c r="Z33" s="75"/>
      <c r="AA33" s="75"/>
      <c r="AB33" s="75"/>
      <c r="AC33" s="75"/>
    </row>
    <row r="34" spans="1:29" x14ac:dyDescent="0.2">
      <c r="A34" s="55" t="s">
        <v>853</v>
      </c>
      <c r="B34" s="141">
        <f>SUM(B2:B33)</f>
        <v>1</v>
      </c>
      <c r="C34" s="141">
        <f t="shared" ref="C34:AC34" si="0">SUM(C2:C33)</f>
        <v>1</v>
      </c>
      <c r="D34" s="141">
        <f t="shared" si="0"/>
        <v>1</v>
      </c>
      <c r="E34" s="141">
        <f t="shared" si="0"/>
        <v>1</v>
      </c>
      <c r="F34" s="141">
        <f t="shared" si="0"/>
        <v>1</v>
      </c>
      <c r="G34" s="141">
        <f t="shared" si="0"/>
        <v>1</v>
      </c>
      <c r="H34" s="141">
        <f t="shared" si="0"/>
        <v>1</v>
      </c>
      <c r="I34" s="141">
        <f t="shared" si="0"/>
        <v>1</v>
      </c>
      <c r="J34" s="141">
        <f t="shared" si="0"/>
        <v>1</v>
      </c>
      <c r="K34" s="141">
        <f t="shared" si="0"/>
        <v>8</v>
      </c>
      <c r="L34" s="141">
        <f t="shared" si="0"/>
        <v>8</v>
      </c>
      <c r="M34" s="141">
        <f t="shared" si="0"/>
        <v>8</v>
      </c>
      <c r="N34" s="141">
        <f t="shared" si="0"/>
        <v>3</v>
      </c>
      <c r="O34" s="141">
        <f t="shared" si="0"/>
        <v>10</v>
      </c>
      <c r="P34" s="141">
        <f t="shared" si="0"/>
        <v>5</v>
      </c>
      <c r="Q34" s="141">
        <f t="shared" si="0"/>
        <v>3</v>
      </c>
      <c r="R34" s="141">
        <f t="shared" si="0"/>
        <v>5</v>
      </c>
      <c r="S34" s="141">
        <f t="shared" si="0"/>
        <v>1</v>
      </c>
      <c r="T34" s="141">
        <f t="shared" si="0"/>
        <v>1</v>
      </c>
      <c r="U34" s="141">
        <f t="shared" si="0"/>
        <v>1</v>
      </c>
      <c r="V34" s="141">
        <f t="shared" si="0"/>
        <v>4</v>
      </c>
      <c r="W34" s="141">
        <f t="shared" si="0"/>
        <v>2</v>
      </c>
      <c r="X34" s="141">
        <f t="shared" si="0"/>
        <v>10</v>
      </c>
      <c r="Y34" s="141">
        <f t="shared" si="0"/>
        <v>3</v>
      </c>
      <c r="Z34" s="141">
        <f t="shared" si="0"/>
        <v>1</v>
      </c>
      <c r="AA34" s="141">
        <f t="shared" si="0"/>
        <v>1</v>
      </c>
      <c r="AB34" s="141">
        <f t="shared" si="0"/>
        <v>1</v>
      </c>
      <c r="AC34" s="141">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34" sqref="B34:AC34"/>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9"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1066</v>
      </c>
      <c r="N1" s="49" t="s">
        <v>1084</v>
      </c>
      <c r="O1" s="49" t="s">
        <v>1045</v>
      </c>
      <c r="P1" s="49" t="s">
        <v>1065</v>
      </c>
      <c r="Q1" s="49" t="s">
        <v>1161</v>
      </c>
      <c r="R1" s="49" t="s">
        <v>1070</v>
      </c>
      <c r="S1" s="49" t="s">
        <v>1077</v>
      </c>
      <c r="T1" s="49" t="s">
        <v>1432</v>
      </c>
      <c r="U1" s="49" t="s">
        <v>1044</v>
      </c>
      <c r="V1" s="49" t="s">
        <v>1105</v>
      </c>
      <c r="W1" s="49" t="s">
        <v>1083</v>
      </c>
      <c r="X1" s="49" t="s">
        <v>1033</v>
      </c>
      <c r="Y1" s="49" t="s">
        <v>1050</v>
      </c>
      <c r="Z1" s="49" t="s">
        <v>1163</v>
      </c>
      <c r="AA1" s="49" t="s">
        <v>1078</v>
      </c>
      <c r="AB1" s="49" t="s">
        <v>798</v>
      </c>
      <c r="AC1" s="49" t="s">
        <v>1797</v>
      </c>
    </row>
    <row r="2" spans="1:29" x14ac:dyDescent="0.2">
      <c r="A2" s="6" t="str">
        <f>Tabelle1722[[#This Row],[Kurzbeleg]]</f>
        <v>Ape12</v>
      </c>
      <c r="B2" s="57" t="str">
        <f>VLOOKUP(Tabelle1722[[#This Row],[Büros und Textilbetriebe gesamt]],Dropdown!$A$2:$D$4,4,FALSE)</f>
        <v>X</v>
      </c>
      <c r="C2" s="57" t="str">
        <f>VLOOKUP(Tabelle1722[[#This Row],[Handel gesamt]],Dropdown!$A$2:$D$4,4,FALSE)</f>
        <v>X</v>
      </c>
      <c r="D2" s="57" t="str">
        <f>VLOOKUP(Tabelle1722[[#This Row],[Gastgewerbe gesamt]],Dropdown!$A$2:$D$4,4,FALSE)</f>
        <v>X</v>
      </c>
      <c r="E2" s="57" t="str">
        <f>VLOOKUP(Tabelle1722[[#This Row],[Landwirtschaft gesamt]],Dropdown!$A$2:$D$4,4,FALSE)</f>
        <v>X</v>
      </c>
      <c r="F2" s="57" t="str">
        <f>VLOOKUP(Tabelle1722[[#This Row],[Gartenbau gesamt]],Dropdown!$A$2:$D$4,4,FALSE)</f>
        <v>X</v>
      </c>
      <c r="G2" s="57" t="str">
        <f>VLOOKUP(Tabelle1722[[#This Row],[Bäder gesamt]],Dropdown!$A$2:$D$4,4,FALSE)</f>
        <v>X</v>
      </c>
      <c r="H2" s="57" t="str">
        <f>VLOOKUP(Tabelle1722[[#This Row],[Wäschereien gesamt]],Dropdown!$A$2:$D$4,4,FALSE)</f>
        <v>X</v>
      </c>
      <c r="I2" s="57" t="str">
        <f>VLOOKUP(Tabelle1722[[#This Row],[produzierendes Gewerbe gesamt]],Dropdown!$A$2:$D$4,4,FALSE)</f>
        <v>X</v>
      </c>
      <c r="J2" s="57" t="str">
        <f>VLOOKUP(Tabelle1722[[#This Row],[Baugewerbe gesamt]],Dropdown!$A$2:$D$4,4,FALSE)</f>
        <v>X</v>
      </c>
      <c r="K2" s="57" t="str">
        <f>VLOOKUP(Tabelle1722[[#This Row],[Prozesskälte]],Dropdown!$A$2:$D$4,4,FALSE)</f>
        <v>-</v>
      </c>
      <c r="L2" s="57" t="str">
        <f>VLOOKUP(Tabelle1722[[#This Row],[Kühlhäuser]],Dropdown!$A$2:$D$4,4,FALSE)</f>
        <v>-</v>
      </c>
      <c r="M2" s="57" t="str">
        <f>VLOOKUP(Tabelle1722[[#This Row],[Kühlung im 
Lebensmitteleinzelhandel]],Dropdown!$A$2:$D$4,4,FALSE)</f>
        <v>-</v>
      </c>
      <c r="N2" s="57" t="str">
        <f>VLOOKUP(Tabelle1722[[#This Row],[Kühlung im Gastronomiebereich 
(Hotels, Restaurants)]],Dropdown!$A$2:$D$4,4,FALSE)</f>
        <v>-</v>
      </c>
      <c r="O2" s="57" t="str">
        <f>VLOOKUP(Tabelle1722[[#This Row],[Klimakälte]],Dropdown!$A$2:$D$4,4,FALSE)</f>
        <v>-</v>
      </c>
      <c r="P2" s="57" t="str">
        <f>VLOOKUP(Tabelle1722[[#This Row],[Warmwasserbereitstellung]],Dropdown!$A$2:$D$4,4,FALSE)</f>
        <v>-</v>
      </c>
      <c r="Q2" s="57" t="str">
        <f>VLOOKUP(Tabelle1722[[#This Row],[Raumwärme 
(elektrische Raumheizung)]],Dropdown!$A$2:$D$4,4,FALSE)</f>
        <v>-</v>
      </c>
      <c r="R2" s="57" t="str">
        <f>VLOOKUP(Tabelle1722[[#This Row],[Nachtspeicherheizungen]],Dropdown!$A$2:$D$4,4,FALSE)</f>
        <v>-</v>
      </c>
      <c r="S2" s="57" t="str">
        <f>VLOOKUP(Tabelle1722[[#This Row],[Wärmepumpen]],Dropdown!$A$2:$D$4,4,FALSE)</f>
        <v>-</v>
      </c>
      <c r="T2" s="57" t="str">
        <f>VLOOKUP(Tabelle1722[[#This Row],[Hybrid-Wärmeerzeugungssysteme]],Dropdown!$A$2:$D$4,4,FALSE)</f>
        <v>-</v>
      </c>
      <c r="U2" s="57" t="str">
        <f>VLOOKUP(Tabelle1722[[#This Row],[Pumpenanwendungen]],Dropdown!$A$2:$D$4,4,FALSE)</f>
        <v>-</v>
      </c>
      <c r="V2" s="57" t="str">
        <f>VLOOKUP(Tabelle1722[[#This Row],[Pumpenanwendungen in der 
Wasserversorgung]],Dropdown!$A$2:$D$4,4,FALSE)</f>
        <v>-</v>
      </c>
      <c r="W2" s="57" t="str">
        <f>VLOOKUP(Tabelle1722[[#This Row],[Beleuchtung im Gartenbau]],Dropdown!$A$2:$D$4,4,FALSE)</f>
        <v>-</v>
      </c>
      <c r="X2" s="57" t="str">
        <f>VLOOKUP(Tabelle1722[[#This Row],[Belüftung]],Dropdown!$A$2:$D$4,4,FALSE)</f>
        <v>-</v>
      </c>
      <c r="Y2" s="57" t="str">
        <f>VLOOKUP(Tabelle1722[[#This Row],[Abwasserbehandlung]],Dropdown!$A$2:$D$4,4,FALSE)</f>
        <v>-</v>
      </c>
      <c r="Z2" s="57" t="str">
        <f>VLOOKUP(Tabelle1722[[#This Row],[Notstromaggregate, Back-Up-
Server und Mobilfunkstationen]],Dropdown!$A$2:$D$4,4,FALSE)</f>
        <v>-</v>
      </c>
      <c r="AA2" s="57" t="str">
        <f>VLOOKUP(Tabelle1722[[#This Row],[Prozesswärme]],Dropdown!$A$2:$D$4,4,FALSE)</f>
        <v>-</v>
      </c>
      <c r="AB2" s="57" t="str">
        <f>VLOOKUP(Tabelle1722[[#This Row],[Druckluft]],Dropdown!$A$2:$D$4,4,FALSE)</f>
        <v>-</v>
      </c>
      <c r="AC2" s="57" t="str">
        <f>VLOOKUP(Tabelle1722[[#This Row],[Rechenzentren]],Dropdown!$A$2:$D$4,4,FALSE)</f>
        <v>-</v>
      </c>
    </row>
    <row r="3" spans="1:29" x14ac:dyDescent="0.2">
      <c r="A3" s="6" t="str">
        <f>Tabelle1722[[#This Row],[Kurzbeleg]]</f>
        <v>Ary17</v>
      </c>
      <c r="B3" s="57" t="str">
        <f>VLOOKUP(Tabelle1722[[#This Row],[Büros und Textilbetriebe gesamt]],Dropdown!$A$2:$D$4,4,FALSE)</f>
        <v>-</v>
      </c>
      <c r="C3" s="57" t="str">
        <f>VLOOKUP(Tabelle1722[[#This Row],[Handel gesamt]],Dropdown!$A$2:$D$4,4,FALSE)</f>
        <v>-</v>
      </c>
      <c r="D3" s="57" t="str">
        <f>VLOOKUP(Tabelle1722[[#This Row],[Gastgewerbe gesamt]],Dropdown!$A$2:$D$4,4,FALSE)</f>
        <v>-</v>
      </c>
      <c r="E3" s="57" t="str">
        <f>VLOOKUP(Tabelle1722[[#This Row],[Landwirtschaft gesamt]],Dropdown!$A$2:$D$4,4,FALSE)</f>
        <v>-</v>
      </c>
      <c r="F3" s="57" t="str">
        <f>VLOOKUP(Tabelle1722[[#This Row],[Gartenbau gesamt]],Dropdown!$A$2:$D$4,4,FALSE)</f>
        <v>-</v>
      </c>
      <c r="G3" s="57" t="str">
        <f>VLOOKUP(Tabelle1722[[#This Row],[Bäder gesamt]],Dropdown!$A$2:$D$4,4,FALSE)</f>
        <v>-</v>
      </c>
      <c r="H3" s="57" t="str">
        <f>VLOOKUP(Tabelle1722[[#This Row],[Wäschereien gesamt]],Dropdown!$A$2:$D$4,4,FALSE)</f>
        <v>-</v>
      </c>
      <c r="I3" s="57" t="str">
        <f>VLOOKUP(Tabelle1722[[#This Row],[produzierendes Gewerbe gesamt]],Dropdown!$A$2:$D$4,4,FALSE)</f>
        <v>-</v>
      </c>
      <c r="J3" s="57" t="str">
        <f>VLOOKUP(Tabelle1722[[#This Row],[Baugewerbe gesamt]],Dropdown!$A$2:$D$4,4,FALSE)</f>
        <v>-</v>
      </c>
      <c r="K3" s="57" t="str">
        <f>VLOOKUP(Tabelle1722[[#This Row],[Prozesskälte]],Dropdown!$A$2:$D$4,4,FALSE)</f>
        <v>X</v>
      </c>
      <c r="L3" s="57" t="str">
        <f>VLOOKUP(Tabelle1722[[#This Row],[Kühlhäuser]],Dropdown!$A$2:$D$4,4,FALSE)</f>
        <v>-</v>
      </c>
      <c r="M3" s="57" t="str">
        <f>VLOOKUP(Tabelle1722[[#This Row],[Kühlung im 
Lebensmitteleinzelhandel]],Dropdown!$A$2:$D$4,4,FALSE)</f>
        <v>-</v>
      </c>
      <c r="N3" s="57" t="str">
        <f>VLOOKUP(Tabelle1722[[#This Row],[Kühlung im Gastronomiebereich 
(Hotels, Restaurants)]],Dropdown!$A$2:$D$4,4,FALSE)</f>
        <v>-</v>
      </c>
      <c r="O3" s="57" t="str">
        <f>VLOOKUP(Tabelle1722[[#This Row],[Klimakälte]],Dropdown!$A$2:$D$4,4,FALSE)</f>
        <v>X</v>
      </c>
      <c r="P3" s="57" t="str">
        <f>VLOOKUP(Tabelle1722[[#This Row],[Warmwasserbereitstellung]],Dropdown!$A$2:$D$4,4,FALSE)</f>
        <v>X</v>
      </c>
      <c r="Q3" s="57" t="str">
        <f>VLOOKUP(Tabelle1722[[#This Row],[Raumwärme 
(elektrische Raumheizung)]],Dropdown!$A$2:$D$4,4,FALSE)</f>
        <v>X</v>
      </c>
      <c r="R3" s="57" t="str">
        <f>VLOOKUP(Tabelle1722[[#This Row],[Nachtspeicherheizungen]],Dropdown!$A$2:$D$4,4,FALSE)</f>
        <v>-</v>
      </c>
      <c r="S3" s="57" t="str">
        <f>VLOOKUP(Tabelle1722[[#This Row],[Wärmepumpen]],Dropdown!$A$2:$D$4,4,FALSE)</f>
        <v>-</v>
      </c>
      <c r="T3" s="57" t="str">
        <f>VLOOKUP(Tabelle1722[[#This Row],[Hybrid-Wärmeerzeugungssysteme]],Dropdown!$A$2:$D$4,4,FALSE)</f>
        <v>-</v>
      </c>
      <c r="U3" s="57" t="str">
        <f>VLOOKUP(Tabelle1722[[#This Row],[Pumpenanwendungen]],Dropdown!$A$2:$D$4,4,FALSE)</f>
        <v>-</v>
      </c>
      <c r="V3" s="57" t="str">
        <f>VLOOKUP(Tabelle1722[[#This Row],[Pumpenanwendungen in der 
Wasserversorgung]],Dropdown!$A$2:$D$4,4,FALSE)</f>
        <v>-</v>
      </c>
      <c r="W3" s="57" t="str">
        <f>VLOOKUP(Tabelle1722[[#This Row],[Beleuchtung im Gartenbau]],Dropdown!$A$2:$D$4,4,FALSE)</f>
        <v>-</v>
      </c>
      <c r="X3" s="57" t="str">
        <f>VLOOKUP(Tabelle1722[[#This Row],[Belüftung]],Dropdown!$A$2:$D$4,4,FALSE)</f>
        <v>X</v>
      </c>
      <c r="Y3" s="57" t="str">
        <f>VLOOKUP(Tabelle1722[[#This Row],[Abwasserbehandlung]],Dropdown!$A$2:$D$4,4,FALSE)</f>
        <v>-</v>
      </c>
      <c r="Z3" s="57" t="str">
        <f>VLOOKUP(Tabelle1722[[#This Row],[Notstromaggregate, Back-Up-
Server und Mobilfunkstationen]],Dropdown!$A$2:$D$4,4,FALSE)</f>
        <v>-</v>
      </c>
      <c r="AA3" s="57" t="str">
        <f>VLOOKUP(Tabelle1722[[#This Row],[Prozesswärme]],Dropdown!$A$2:$D$4,4,FALSE)</f>
        <v>-</v>
      </c>
      <c r="AB3" s="57" t="str">
        <f>VLOOKUP(Tabelle1722[[#This Row],[Druckluft]],Dropdown!$A$2:$D$4,4,FALSE)</f>
        <v>-</v>
      </c>
      <c r="AC3" s="57" t="str">
        <f>VLOOKUP(Tabelle1722[[#This Row],[Rechenzentren]],Dropdown!$A$2:$D$4,4,FALSE)</f>
        <v>-</v>
      </c>
    </row>
    <row r="4" spans="1:29" x14ac:dyDescent="0.2">
      <c r="A4" s="6" t="str">
        <f>Tabelle1722[[#This Row],[Kurzbeleg]]</f>
        <v>Aus18</v>
      </c>
      <c r="B4" s="57" t="str">
        <f>VLOOKUP(Tabelle1722[[#This Row],[Büros und Textilbetriebe gesamt]],Dropdown!$A$2:$D$4,4,FALSE)</f>
        <v>-</v>
      </c>
      <c r="C4" s="57" t="str">
        <f>VLOOKUP(Tabelle1722[[#This Row],[Handel gesamt]],Dropdown!$A$2:$D$4,4,FALSE)</f>
        <v>-</v>
      </c>
      <c r="D4" s="57" t="str">
        <f>VLOOKUP(Tabelle1722[[#This Row],[Gastgewerbe gesamt]],Dropdown!$A$2:$D$4,4,FALSE)</f>
        <v>-</v>
      </c>
      <c r="E4" s="57" t="str">
        <f>VLOOKUP(Tabelle1722[[#This Row],[Landwirtschaft gesamt]],Dropdown!$A$2:$D$4,4,FALSE)</f>
        <v>-</v>
      </c>
      <c r="F4" s="57" t="str">
        <f>VLOOKUP(Tabelle1722[[#This Row],[Gartenbau gesamt]],Dropdown!$A$2:$D$4,4,FALSE)</f>
        <v>-</v>
      </c>
      <c r="G4" s="57" t="str">
        <f>VLOOKUP(Tabelle1722[[#This Row],[Bäder gesamt]],Dropdown!$A$2:$D$4,4,FALSE)</f>
        <v>-</v>
      </c>
      <c r="H4" s="57" t="str">
        <f>VLOOKUP(Tabelle1722[[#This Row],[Wäschereien gesamt]],Dropdown!$A$2:$D$4,4,FALSE)</f>
        <v>-</v>
      </c>
      <c r="I4" s="57" t="str">
        <f>VLOOKUP(Tabelle1722[[#This Row],[produzierendes Gewerbe gesamt]],Dropdown!$A$2:$D$4,4,FALSE)</f>
        <v>-</v>
      </c>
      <c r="J4" s="57" t="str">
        <f>VLOOKUP(Tabelle1722[[#This Row],[Baugewerbe gesamt]],Dropdown!$A$2:$D$4,4,FALSE)</f>
        <v>-</v>
      </c>
      <c r="K4" s="57" t="str">
        <f>VLOOKUP(Tabelle1722[[#This Row],[Prozesskälte]],Dropdown!$A$2:$D$4,4,FALSE)</f>
        <v>-</v>
      </c>
      <c r="L4" s="57" t="str">
        <f>VLOOKUP(Tabelle1722[[#This Row],[Kühlhäuser]],Dropdown!$A$2:$D$4,4,FALSE)</f>
        <v>-</v>
      </c>
      <c r="M4" s="57" t="str">
        <f>VLOOKUP(Tabelle1722[[#This Row],[Kühlung im 
Lebensmitteleinzelhandel]],Dropdown!$A$2:$D$4,4,FALSE)</f>
        <v>-</v>
      </c>
      <c r="N4" s="57" t="str">
        <f>VLOOKUP(Tabelle1722[[#This Row],[Kühlung im Gastronomiebereich 
(Hotels, Restaurants)]],Dropdown!$A$2:$D$4,4,FALSE)</f>
        <v>-</v>
      </c>
      <c r="O4" s="57" t="str">
        <f>VLOOKUP(Tabelle1722[[#This Row],[Klimakälte]],Dropdown!$A$2:$D$4,4,FALSE)</f>
        <v>-</v>
      </c>
      <c r="P4" s="57" t="str">
        <f>VLOOKUP(Tabelle1722[[#This Row],[Warmwasserbereitstellung]],Dropdown!$A$2:$D$4,4,FALSE)</f>
        <v>-</v>
      </c>
      <c r="Q4" s="57" t="str">
        <f>VLOOKUP(Tabelle1722[[#This Row],[Raumwärme 
(elektrische Raumheizung)]],Dropdown!$A$2:$D$4,4,FALSE)</f>
        <v>-</v>
      </c>
      <c r="R4" s="57" t="str">
        <f>VLOOKUP(Tabelle1722[[#This Row],[Nachtspeicherheizungen]],Dropdown!$A$2:$D$4,4,FALSE)</f>
        <v>-</v>
      </c>
      <c r="S4" s="57" t="str">
        <f>VLOOKUP(Tabelle1722[[#This Row],[Wärmepumpen]],Dropdown!$A$2:$D$4,4,FALSE)</f>
        <v>-</v>
      </c>
      <c r="T4" s="57" t="str">
        <f>VLOOKUP(Tabelle1722[[#This Row],[Hybrid-Wärmeerzeugungssysteme]],Dropdown!$A$2:$D$4,4,FALSE)</f>
        <v>-</v>
      </c>
      <c r="U4" s="57" t="str">
        <f>VLOOKUP(Tabelle1722[[#This Row],[Pumpenanwendungen]],Dropdown!$A$2:$D$4,4,FALSE)</f>
        <v>-</v>
      </c>
      <c r="V4" s="57" t="str">
        <f>VLOOKUP(Tabelle1722[[#This Row],[Pumpenanwendungen in der 
Wasserversorgung]],Dropdown!$A$2:$D$4,4,FALSE)</f>
        <v>-</v>
      </c>
      <c r="W4" s="57" t="str">
        <f>VLOOKUP(Tabelle1722[[#This Row],[Beleuchtung im Gartenbau]],Dropdown!$A$2:$D$4,4,FALSE)</f>
        <v>-</v>
      </c>
      <c r="X4" s="57" t="str">
        <f>VLOOKUP(Tabelle1722[[#This Row],[Belüftung]],Dropdown!$A$2:$D$4,4,FALSE)</f>
        <v>-</v>
      </c>
      <c r="Y4" s="57" t="str">
        <f>VLOOKUP(Tabelle1722[[#This Row],[Abwasserbehandlung]],Dropdown!$A$2:$D$4,4,FALSE)</f>
        <v>-</v>
      </c>
      <c r="Z4" s="57" t="str">
        <f>VLOOKUP(Tabelle1722[[#This Row],[Notstromaggregate, Back-Up-
Server und Mobilfunkstationen]],Dropdown!$A$2:$D$4,4,FALSE)</f>
        <v>-</v>
      </c>
      <c r="AA4" s="57" t="str">
        <f>VLOOKUP(Tabelle1722[[#This Row],[Prozesswärme]],Dropdown!$A$2:$D$4,4,FALSE)</f>
        <v>-</v>
      </c>
      <c r="AB4" s="57" t="str">
        <f>VLOOKUP(Tabelle1722[[#This Row],[Druckluft]],Dropdown!$A$2:$D$4,4,FALSE)</f>
        <v>-</v>
      </c>
      <c r="AC4" s="57" t="str">
        <f>VLOOKUP(Tabelle1722[[#This Row],[Rechenzentren]],Dropdown!$A$2:$D$4,4,FALSE)</f>
        <v>-</v>
      </c>
    </row>
    <row r="5" spans="1:29" x14ac:dyDescent="0.2">
      <c r="A5" s="6" t="str">
        <f>Tabelle1722[[#This Row],[Kurzbeleg]]</f>
        <v>Blu13</v>
      </c>
      <c r="B5" s="57" t="str">
        <f>VLOOKUP(Tabelle1722[[#This Row],[Büros und Textilbetriebe gesamt]],Dropdown!$A$2:$D$4,4,FALSE)</f>
        <v>-</v>
      </c>
      <c r="C5" s="57" t="str">
        <f>VLOOKUP(Tabelle1722[[#This Row],[Handel gesamt]],Dropdown!$A$2:$D$4,4,FALSE)</f>
        <v>-</v>
      </c>
      <c r="D5" s="57" t="str">
        <f>VLOOKUP(Tabelle1722[[#This Row],[Gastgewerbe gesamt]],Dropdown!$A$2:$D$4,4,FALSE)</f>
        <v>-</v>
      </c>
      <c r="E5" s="57" t="str">
        <f>VLOOKUP(Tabelle1722[[#This Row],[Landwirtschaft gesamt]],Dropdown!$A$2:$D$4,4,FALSE)</f>
        <v>-</v>
      </c>
      <c r="F5" s="57" t="str">
        <f>VLOOKUP(Tabelle1722[[#This Row],[Gartenbau gesamt]],Dropdown!$A$2:$D$4,4,FALSE)</f>
        <v>-</v>
      </c>
      <c r="G5" s="57" t="str">
        <f>VLOOKUP(Tabelle1722[[#This Row],[Bäder gesamt]],Dropdown!$A$2:$D$4,4,FALSE)</f>
        <v>-</v>
      </c>
      <c r="H5" s="57" t="str">
        <f>VLOOKUP(Tabelle1722[[#This Row],[Wäschereien gesamt]],Dropdown!$A$2:$D$4,4,FALSE)</f>
        <v>-</v>
      </c>
      <c r="I5" s="57" t="str">
        <f>VLOOKUP(Tabelle1722[[#This Row],[produzierendes Gewerbe gesamt]],Dropdown!$A$2:$D$4,4,FALSE)</f>
        <v>-</v>
      </c>
      <c r="J5" s="57" t="str">
        <f>VLOOKUP(Tabelle1722[[#This Row],[Baugewerbe gesamt]],Dropdown!$A$2:$D$4,4,FALSE)</f>
        <v>-</v>
      </c>
      <c r="K5" s="57" t="str">
        <f>VLOOKUP(Tabelle1722[[#This Row],[Prozesskälte]],Dropdown!$A$2:$D$4,4,FALSE)</f>
        <v>-</v>
      </c>
      <c r="L5" s="57" t="str">
        <f>VLOOKUP(Tabelle1722[[#This Row],[Kühlhäuser]],Dropdown!$A$2:$D$4,4,FALSE)</f>
        <v>-</v>
      </c>
      <c r="M5" s="57" t="str">
        <f>VLOOKUP(Tabelle1722[[#This Row],[Kühlung im 
Lebensmitteleinzelhandel]],Dropdown!$A$2:$D$4,4,FALSE)</f>
        <v>-</v>
      </c>
      <c r="N5" s="57" t="str">
        <f>VLOOKUP(Tabelle1722[[#This Row],[Kühlung im Gastronomiebereich 
(Hotels, Restaurants)]],Dropdown!$A$2:$D$4,4,FALSE)</f>
        <v>-</v>
      </c>
      <c r="O5" s="57" t="str">
        <f>VLOOKUP(Tabelle1722[[#This Row],[Klimakälte]],Dropdown!$A$2:$D$4,4,FALSE)</f>
        <v>-</v>
      </c>
      <c r="P5" s="57" t="str">
        <f>VLOOKUP(Tabelle1722[[#This Row],[Warmwasserbereitstellung]],Dropdown!$A$2:$D$4,4,FALSE)</f>
        <v>-</v>
      </c>
      <c r="Q5" s="57" t="str">
        <f>VLOOKUP(Tabelle1722[[#This Row],[Raumwärme 
(elektrische Raumheizung)]],Dropdown!$A$2:$D$4,4,FALSE)</f>
        <v>-</v>
      </c>
      <c r="R5" s="57" t="str">
        <f>VLOOKUP(Tabelle1722[[#This Row],[Nachtspeicherheizungen]],Dropdown!$A$2:$D$4,4,FALSE)</f>
        <v>-</v>
      </c>
      <c r="S5" s="57" t="str">
        <f>VLOOKUP(Tabelle1722[[#This Row],[Wärmepumpen]],Dropdown!$A$2:$D$4,4,FALSE)</f>
        <v>-</v>
      </c>
      <c r="T5" s="57" t="str">
        <f>VLOOKUP(Tabelle1722[[#This Row],[Hybrid-Wärmeerzeugungssysteme]],Dropdown!$A$2:$D$4,4,FALSE)</f>
        <v>-</v>
      </c>
      <c r="U5" s="57" t="str">
        <f>VLOOKUP(Tabelle1722[[#This Row],[Pumpenanwendungen]],Dropdown!$A$2:$D$4,4,FALSE)</f>
        <v>-</v>
      </c>
      <c r="V5" s="57" t="str">
        <f>VLOOKUP(Tabelle1722[[#This Row],[Pumpenanwendungen in der 
Wasserversorgung]],Dropdown!$A$2:$D$4,4,FALSE)</f>
        <v>-</v>
      </c>
      <c r="W5" s="57" t="str">
        <f>VLOOKUP(Tabelle1722[[#This Row],[Beleuchtung im Gartenbau]],Dropdown!$A$2:$D$4,4,FALSE)</f>
        <v>-</v>
      </c>
      <c r="X5" s="57" t="str">
        <f>VLOOKUP(Tabelle1722[[#This Row],[Belüftung]],Dropdown!$A$2:$D$4,4,FALSE)</f>
        <v>-</v>
      </c>
      <c r="Y5" s="57" t="str">
        <f>VLOOKUP(Tabelle1722[[#This Row],[Abwasserbehandlung]],Dropdown!$A$2:$D$4,4,FALSE)</f>
        <v>-</v>
      </c>
      <c r="Z5" s="57" t="str">
        <f>VLOOKUP(Tabelle1722[[#This Row],[Notstromaggregate, Back-Up-
Server und Mobilfunkstationen]],Dropdown!$A$2:$D$4,4,FALSE)</f>
        <v>-</v>
      </c>
      <c r="AA5" s="57" t="str">
        <f>VLOOKUP(Tabelle1722[[#This Row],[Prozesswärme]],Dropdown!$A$2:$D$4,4,FALSE)</f>
        <v>-</v>
      </c>
      <c r="AB5" s="57" t="str">
        <f>VLOOKUP(Tabelle1722[[#This Row],[Druckluft]],Dropdown!$A$2:$D$4,4,FALSE)</f>
        <v>-</v>
      </c>
      <c r="AC5" s="57" t="str">
        <f>VLOOKUP(Tabelle1722[[#This Row],[Rechenzentren]],Dropdown!$A$2:$D$4,4,FALSE)</f>
        <v>-</v>
      </c>
    </row>
    <row r="6" spans="1:29" x14ac:dyDescent="0.2">
      <c r="A6" s="6" t="str">
        <f>Tabelle1722[[#This Row],[Kurzbeleg]]</f>
        <v>Foc11</v>
      </c>
      <c r="B6" s="57" t="str">
        <f>VLOOKUP(Tabelle1722[[#This Row],[Büros und Textilbetriebe gesamt]],Dropdown!$A$2:$D$4,4,FALSE)</f>
        <v>-</v>
      </c>
      <c r="C6" s="57" t="str">
        <f>VLOOKUP(Tabelle1722[[#This Row],[Handel gesamt]],Dropdown!$A$2:$D$4,4,FALSE)</f>
        <v>-</v>
      </c>
      <c r="D6" s="57" t="str">
        <f>VLOOKUP(Tabelle1722[[#This Row],[Gastgewerbe gesamt]],Dropdown!$A$2:$D$4,4,FALSE)</f>
        <v>-</v>
      </c>
      <c r="E6" s="57" t="str">
        <f>VLOOKUP(Tabelle1722[[#This Row],[Landwirtschaft gesamt]],Dropdown!$A$2:$D$4,4,FALSE)</f>
        <v>-</v>
      </c>
      <c r="F6" s="57" t="str">
        <f>VLOOKUP(Tabelle1722[[#This Row],[Gartenbau gesamt]],Dropdown!$A$2:$D$4,4,FALSE)</f>
        <v>-</v>
      </c>
      <c r="G6" s="57" t="str">
        <f>VLOOKUP(Tabelle1722[[#This Row],[Bäder gesamt]],Dropdown!$A$2:$D$4,4,FALSE)</f>
        <v>-</v>
      </c>
      <c r="H6" s="57" t="str">
        <f>VLOOKUP(Tabelle1722[[#This Row],[Wäschereien gesamt]],Dropdown!$A$2:$D$4,4,FALSE)</f>
        <v>-</v>
      </c>
      <c r="I6" s="57" t="str">
        <f>VLOOKUP(Tabelle1722[[#This Row],[produzierendes Gewerbe gesamt]],Dropdown!$A$2:$D$4,4,FALSE)</f>
        <v>-</v>
      </c>
      <c r="J6" s="57" t="str">
        <f>VLOOKUP(Tabelle1722[[#This Row],[Baugewerbe gesamt]],Dropdown!$A$2:$D$4,4,FALSE)</f>
        <v>-</v>
      </c>
      <c r="K6" s="57" t="str">
        <f>VLOOKUP(Tabelle1722[[#This Row],[Prozesskälte]],Dropdown!$A$2:$D$4,4,FALSE)</f>
        <v>X</v>
      </c>
      <c r="L6" s="57" t="str">
        <f>VLOOKUP(Tabelle1722[[#This Row],[Kühlhäuser]],Dropdown!$A$2:$D$4,4,FALSE)</f>
        <v>X</v>
      </c>
      <c r="M6" s="57" t="str">
        <f>VLOOKUP(Tabelle1722[[#This Row],[Kühlung im 
Lebensmitteleinzelhandel]],Dropdown!$A$2:$D$4,4,FALSE)</f>
        <v>-</v>
      </c>
      <c r="N6" s="57" t="str">
        <f>VLOOKUP(Tabelle1722[[#This Row],[Kühlung im Gastronomiebereich 
(Hotels, Restaurants)]],Dropdown!$A$2:$D$4,4,FALSE)</f>
        <v>-</v>
      </c>
      <c r="O6" s="57" t="str">
        <f>VLOOKUP(Tabelle1722[[#This Row],[Klimakälte]],Dropdown!$A$2:$D$4,4,FALSE)</f>
        <v>-</v>
      </c>
      <c r="P6" s="57" t="str">
        <f>VLOOKUP(Tabelle1722[[#This Row],[Warmwasserbereitstellung]],Dropdown!$A$2:$D$4,4,FALSE)</f>
        <v>-</v>
      </c>
      <c r="Q6" s="57" t="str">
        <f>VLOOKUP(Tabelle1722[[#This Row],[Raumwärme 
(elektrische Raumheizung)]],Dropdown!$A$2:$D$4,4,FALSE)</f>
        <v>X</v>
      </c>
      <c r="R6" s="57" t="str">
        <f>VLOOKUP(Tabelle1722[[#This Row],[Nachtspeicherheizungen]],Dropdown!$A$2:$D$4,4,FALSE)</f>
        <v>-</v>
      </c>
      <c r="S6" s="57" t="str">
        <f>VLOOKUP(Tabelle1722[[#This Row],[Wärmepumpen]],Dropdown!$A$2:$D$4,4,FALSE)</f>
        <v>-</v>
      </c>
      <c r="T6" s="57" t="str">
        <f>VLOOKUP(Tabelle1722[[#This Row],[Hybrid-Wärmeerzeugungssysteme]],Dropdown!$A$2:$D$4,4,FALSE)</f>
        <v>-</v>
      </c>
      <c r="U6" s="57" t="str">
        <f>VLOOKUP(Tabelle1722[[#This Row],[Pumpenanwendungen]],Dropdown!$A$2:$D$4,4,FALSE)</f>
        <v>-</v>
      </c>
      <c r="V6" s="57" t="str">
        <f>VLOOKUP(Tabelle1722[[#This Row],[Pumpenanwendungen in der 
Wasserversorgung]],Dropdown!$A$2:$D$4,4,FALSE)</f>
        <v>X</v>
      </c>
      <c r="W6" s="57" t="str">
        <f>VLOOKUP(Tabelle1722[[#This Row],[Beleuchtung im Gartenbau]],Dropdown!$A$2:$D$4,4,FALSE)</f>
        <v>X</v>
      </c>
      <c r="X6" s="57" t="str">
        <f>VLOOKUP(Tabelle1722[[#This Row],[Belüftung]],Dropdown!$A$2:$D$4,4,FALSE)</f>
        <v>-</v>
      </c>
      <c r="Y6" s="57" t="str">
        <f>VLOOKUP(Tabelle1722[[#This Row],[Abwasserbehandlung]],Dropdown!$A$2:$D$4,4,FALSE)</f>
        <v>-</v>
      </c>
      <c r="Z6" s="57" t="str">
        <f>VLOOKUP(Tabelle1722[[#This Row],[Notstromaggregate, Back-Up-
Server und Mobilfunkstationen]],Dropdown!$A$2:$D$4,4,FALSE)</f>
        <v>-</v>
      </c>
      <c r="AA6" s="57" t="str">
        <f>VLOOKUP(Tabelle1722[[#This Row],[Prozesswärme]],Dropdown!$A$2:$D$4,4,FALSE)</f>
        <v>-</v>
      </c>
      <c r="AB6" s="57" t="str">
        <f>VLOOKUP(Tabelle1722[[#This Row],[Druckluft]],Dropdown!$A$2:$D$4,4,FALSE)</f>
        <v>-</v>
      </c>
      <c r="AC6" s="57" t="str">
        <f>VLOOKUP(Tabelle1722[[#This Row],[Rechenzentren]],Dropdown!$A$2:$D$4,4,FALSE)</f>
        <v>-</v>
      </c>
    </row>
    <row r="7" spans="1:29" x14ac:dyDescent="0.2">
      <c r="A7" s="6" t="str">
        <f>Tabelle1722[[#This Row],[Kurzbeleg]]</f>
        <v>Gil15</v>
      </c>
      <c r="B7" s="57" t="str">
        <f>VLOOKUP(Tabelle1722[[#This Row],[Büros und Textilbetriebe gesamt]],Dropdown!$A$2:$D$4,4,FALSE)</f>
        <v>-</v>
      </c>
      <c r="C7" s="57" t="str">
        <f>VLOOKUP(Tabelle1722[[#This Row],[Handel gesamt]],Dropdown!$A$2:$D$4,4,FALSE)</f>
        <v>-</v>
      </c>
      <c r="D7" s="57" t="str">
        <f>VLOOKUP(Tabelle1722[[#This Row],[Gastgewerbe gesamt]],Dropdown!$A$2:$D$4,4,FALSE)</f>
        <v>-</v>
      </c>
      <c r="E7" s="57" t="str">
        <f>VLOOKUP(Tabelle1722[[#This Row],[Landwirtschaft gesamt]],Dropdown!$A$2:$D$4,4,FALSE)</f>
        <v>-</v>
      </c>
      <c r="F7" s="57" t="str">
        <f>VLOOKUP(Tabelle1722[[#This Row],[Gartenbau gesamt]],Dropdown!$A$2:$D$4,4,FALSE)</f>
        <v>-</v>
      </c>
      <c r="G7" s="57" t="str">
        <f>VLOOKUP(Tabelle1722[[#This Row],[Bäder gesamt]],Dropdown!$A$2:$D$4,4,FALSE)</f>
        <v>-</v>
      </c>
      <c r="H7" s="57" t="str">
        <f>VLOOKUP(Tabelle1722[[#This Row],[Wäschereien gesamt]],Dropdown!$A$2:$D$4,4,FALSE)</f>
        <v>-</v>
      </c>
      <c r="I7" s="57" t="str">
        <f>VLOOKUP(Tabelle1722[[#This Row],[produzierendes Gewerbe gesamt]],Dropdown!$A$2:$D$4,4,FALSE)</f>
        <v>-</v>
      </c>
      <c r="J7" s="57" t="str">
        <f>VLOOKUP(Tabelle1722[[#This Row],[Baugewerbe gesamt]],Dropdown!$A$2:$D$4,4,FALSE)</f>
        <v>-</v>
      </c>
      <c r="K7" s="57" t="str">
        <f>VLOOKUP(Tabelle1722[[#This Row],[Prozesskälte]],Dropdown!$A$2:$D$4,4,FALSE)</f>
        <v>-</v>
      </c>
      <c r="L7" s="57" t="str">
        <f>VLOOKUP(Tabelle1722[[#This Row],[Kühlhäuser]],Dropdown!$A$2:$D$4,4,FALSE)</f>
        <v>X</v>
      </c>
      <c r="M7" s="57" t="str">
        <f>VLOOKUP(Tabelle1722[[#This Row],[Kühlung im 
Lebensmitteleinzelhandel]],Dropdown!$A$2:$D$4,4,FALSE)</f>
        <v>X</v>
      </c>
      <c r="N7" s="57" t="str">
        <f>VLOOKUP(Tabelle1722[[#This Row],[Kühlung im Gastronomiebereich 
(Hotels, Restaurants)]],Dropdown!$A$2:$D$4,4,FALSE)</f>
        <v>X</v>
      </c>
      <c r="O7" s="57" t="str">
        <f>VLOOKUP(Tabelle1722[[#This Row],[Klimakälte]],Dropdown!$A$2:$D$4,4,FALSE)</f>
        <v>X</v>
      </c>
      <c r="P7" s="57" t="str">
        <f>VLOOKUP(Tabelle1722[[#This Row],[Warmwasserbereitstellung]],Dropdown!$A$2:$D$4,4,FALSE)</f>
        <v>X</v>
      </c>
      <c r="Q7" s="57" t="str">
        <f>VLOOKUP(Tabelle1722[[#This Row],[Raumwärme 
(elektrische Raumheizung)]],Dropdown!$A$2:$D$4,4,FALSE)</f>
        <v>-</v>
      </c>
      <c r="R7" s="57" t="str">
        <f>VLOOKUP(Tabelle1722[[#This Row],[Nachtspeicherheizungen]],Dropdown!$A$2:$D$4,4,FALSE)</f>
        <v>X</v>
      </c>
      <c r="S7" s="57" t="str">
        <f>VLOOKUP(Tabelle1722[[#This Row],[Wärmepumpen]],Dropdown!$A$2:$D$4,4,FALSE)</f>
        <v>-</v>
      </c>
      <c r="T7" s="57" t="str">
        <f>VLOOKUP(Tabelle1722[[#This Row],[Hybrid-Wärmeerzeugungssysteme]],Dropdown!$A$2:$D$4,4,FALSE)</f>
        <v>-</v>
      </c>
      <c r="U7" s="57" t="str">
        <f>VLOOKUP(Tabelle1722[[#This Row],[Pumpenanwendungen]],Dropdown!$A$2:$D$4,4,FALSE)</f>
        <v>-</v>
      </c>
      <c r="V7" s="57" t="str">
        <f>VLOOKUP(Tabelle1722[[#This Row],[Pumpenanwendungen in der 
Wasserversorgung]],Dropdown!$A$2:$D$4,4,FALSE)</f>
        <v>X</v>
      </c>
      <c r="W7" s="57" t="str">
        <f>VLOOKUP(Tabelle1722[[#This Row],[Beleuchtung im Gartenbau]],Dropdown!$A$2:$D$4,4,FALSE)</f>
        <v>-</v>
      </c>
      <c r="X7" s="57" t="str">
        <f>VLOOKUP(Tabelle1722[[#This Row],[Belüftung]],Dropdown!$A$2:$D$4,4,FALSE)</f>
        <v>X</v>
      </c>
      <c r="Y7" s="57" t="str">
        <f>VLOOKUP(Tabelle1722[[#This Row],[Abwasserbehandlung]],Dropdown!$A$2:$D$4,4,FALSE)</f>
        <v>X</v>
      </c>
      <c r="Z7" s="57" t="str">
        <f>VLOOKUP(Tabelle1722[[#This Row],[Notstromaggregate, Back-Up-
Server und Mobilfunkstationen]],Dropdown!$A$2:$D$4,4,FALSE)</f>
        <v>-</v>
      </c>
      <c r="AA7" s="57" t="str">
        <f>VLOOKUP(Tabelle1722[[#This Row],[Prozesswärme]],Dropdown!$A$2:$D$4,4,FALSE)</f>
        <v>-</v>
      </c>
      <c r="AB7" s="57" t="str">
        <f>VLOOKUP(Tabelle1722[[#This Row],[Druckluft]],Dropdown!$A$2:$D$4,4,FALSE)</f>
        <v>-</v>
      </c>
      <c r="AC7" s="57" t="str">
        <f>VLOOKUP(Tabelle1722[[#This Row],[Rechenzentren]],Dropdown!$A$2:$D$4,4,FALSE)</f>
        <v>-</v>
      </c>
    </row>
    <row r="8" spans="1:29" x14ac:dyDescent="0.2">
      <c r="A8" s="6" t="str">
        <f>Tabelle1722[[#This Row],[Kurzbeleg]]</f>
        <v>Gob12</v>
      </c>
      <c r="B8" s="57" t="str">
        <f>VLOOKUP(Tabelle1722[[#This Row],[Büros und Textilbetriebe gesamt]],Dropdown!$A$2:$D$4,4,FALSE)</f>
        <v>-</v>
      </c>
      <c r="C8" s="57" t="str">
        <f>VLOOKUP(Tabelle1722[[#This Row],[Handel gesamt]],Dropdown!$A$2:$D$4,4,FALSE)</f>
        <v>-</v>
      </c>
      <c r="D8" s="57" t="str">
        <f>VLOOKUP(Tabelle1722[[#This Row],[Gastgewerbe gesamt]],Dropdown!$A$2:$D$4,4,FALSE)</f>
        <v>-</v>
      </c>
      <c r="E8" s="57" t="str">
        <f>VLOOKUP(Tabelle1722[[#This Row],[Landwirtschaft gesamt]],Dropdown!$A$2:$D$4,4,FALSE)</f>
        <v>-</v>
      </c>
      <c r="F8" s="57" t="str">
        <f>VLOOKUP(Tabelle1722[[#This Row],[Gartenbau gesamt]],Dropdown!$A$2:$D$4,4,FALSE)</f>
        <v>-</v>
      </c>
      <c r="G8" s="57" t="str">
        <f>VLOOKUP(Tabelle1722[[#This Row],[Bäder gesamt]],Dropdown!$A$2:$D$4,4,FALSE)</f>
        <v>-</v>
      </c>
      <c r="H8" s="57" t="str">
        <f>VLOOKUP(Tabelle1722[[#This Row],[Wäschereien gesamt]],Dropdown!$A$2:$D$4,4,FALSE)</f>
        <v>-</v>
      </c>
      <c r="I8" s="57" t="str">
        <f>VLOOKUP(Tabelle1722[[#This Row],[produzierendes Gewerbe gesamt]],Dropdown!$A$2:$D$4,4,FALSE)</f>
        <v>-</v>
      </c>
      <c r="J8" s="57" t="str">
        <f>VLOOKUP(Tabelle1722[[#This Row],[Baugewerbe gesamt]],Dropdown!$A$2:$D$4,4,FALSE)</f>
        <v>-</v>
      </c>
      <c r="K8" s="57" t="str">
        <f>VLOOKUP(Tabelle1722[[#This Row],[Prozesskälte]],Dropdown!$A$2:$D$4,4,FALSE)</f>
        <v>X</v>
      </c>
      <c r="L8" s="57" t="str">
        <f>VLOOKUP(Tabelle1722[[#This Row],[Kühlhäuser]],Dropdown!$A$2:$D$4,4,FALSE)</f>
        <v>-</v>
      </c>
      <c r="M8" s="57" t="str">
        <f>VLOOKUP(Tabelle1722[[#This Row],[Kühlung im 
Lebensmitteleinzelhandel]],Dropdown!$A$2:$D$4,4,FALSE)</f>
        <v>-</v>
      </c>
      <c r="N8" s="57" t="str">
        <f>VLOOKUP(Tabelle1722[[#This Row],[Kühlung im Gastronomiebereich 
(Hotels, Restaurants)]],Dropdown!$A$2:$D$4,4,FALSE)</f>
        <v>-</v>
      </c>
      <c r="O8" s="57" t="str">
        <f>VLOOKUP(Tabelle1722[[#This Row],[Klimakälte]],Dropdown!$A$2:$D$4,4,FALSE)</f>
        <v>X</v>
      </c>
      <c r="P8" s="57" t="str">
        <f>VLOOKUP(Tabelle1722[[#This Row],[Warmwasserbereitstellung]],Dropdown!$A$2:$D$4,4,FALSE)</f>
        <v>-</v>
      </c>
      <c r="Q8" s="57" t="str">
        <f>VLOOKUP(Tabelle1722[[#This Row],[Raumwärme 
(elektrische Raumheizung)]],Dropdown!$A$2:$D$4,4,FALSE)</f>
        <v>-</v>
      </c>
      <c r="R8" s="57" t="str">
        <f>VLOOKUP(Tabelle1722[[#This Row],[Nachtspeicherheizungen]],Dropdown!$A$2:$D$4,4,FALSE)</f>
        <v>-</v>
      </c>
      <c r="S8" s="57" t="str">
        <f>VLOOKUP(Tabelle1722[[#This Row],[Wärmepumpen]],Dropdown!$A$2:$D$4,4,FALSE)</f>
        <v>-</v>
      </c>
      <c r="T8" s="57" t="str">
        <f>VLOOKUP(Tabelle1722[[#This Row],[Hybrid-Wärmeerzeugungssysteme]],Dropdown!$A$2:$D$4,4,FALSE)</f>
        <v>-</v>
      </c>
      <c r="U8" s="57" t="str">
        <f>VLOOKUP(Tabelle1722[[#This Row],[Pumpenanwendungen]],Dropdown!$A$2:$D$4,4,FALSE)</f>
        <v>-</v>
      </c>
      <c r="V8" s="57" t="str">
        <f>VLOOKUP(Tabelle1722[[#This Row],[Pumpenanwendungen in der 
Wasserversorgung]],Dropdown!$A$2:$D$4,4,FALSE)</f>
        <v>-</v>
      </c>
      <c r="W8" s="57" t="str">
        <f>VLOOKUP(Tabelle1722[[#This Row],[Beleuchtung im Gartenbau]],Dropdown!$A$2:$D$4,4,FALSE)</f>
        <v>-</v>
      </c>
      <c r="X8" s="57" t="str">
        <f>VLOOKUP(Tabelle1722[[#This Row],[Belüftung]],Dropdown!$A$2:$D$4,4,FALSE)</f>
        <v>-</v>
      </c>
      <c r="Y8" s="57" t="str">
        <f>VLOOKUP(Tabelle1722[[#This Row],[Abwasserbehandlung]],Dropdown!$A$2:$D$4,4,FALSE)</f>
        <v>-</v>
      </c>
      <c r="Z8" s="57" t="str">
        <f>VLOOKUP(Tabelle1722[[#This Row],[Notstromaggregate, Back-Up-
Server und Mobilfunkstationen]],Dropdown!$A$2:$D$4,4,FALSE)</f>
        <v>-</v>
      </c>
      <c r="AA8" s="57" t="str">
        <f>VLOOKUP(Tabelle1722[[#This Row],[Prozesswärme]],Dropdown!$A$2:$D$4,4,FALSE)</f>
        <v>-</v>
      </c>
      <c r="AB8" s="57" t="str">
        <f>VLOOKUP(Tabelle1722[[#This Row],[Druckluft]],Dropdown!$A$2:$D$4,4,FALSE)</f>
        <v>-</v>
      </c>
      <c r="AC8" s="57" t="str">
        <f>VLOOKUP(Tabelle1722[[#This Row],[Rechenzentren]],Dropdown!$A$2:$D$4,4,FALSE)</f>
        <v>-</v>
      </c>
    </row>
    <row r="9" spans="1:29" x14ac:dyDescent="0.2">
      <c r="A9" s="6" t="str">
        <f>Tabelle1722[[#This Row],[Kurzbeleg]]</f>
        <v>Gro13</v>
      </c>
      <c r="B9" s="57" t="str">
        <f>VLOOKUP(Tabelle1722[[#This Row],[Büros und Textilbetriebe gesamt]],Dropdown!$A$2:$D$4,4,FALSE)</f>
        <v>-</v>
      </c>
      <c r="C9" s="57" t="str">
        <f>VLOOKUP(Tabelle1722[[#This Row],[Handel gesamt]],Dropdown!$A$2:$D$4,4,FALSE)</f>
        <v>-</v>
      </c>
      <c r="D9" s="57" t="str">
        <f>VLOOKUP(Tabelle1722[[#This Row],[Gastgewerbe gesamt]],Dropdown!$A$2:$D$4,4,FALSE)</f>
        <v>-</v>
      </c>
      <c r="E9" s="57" t="str">
        <f>VLOOKUP(Tabelle1722[[#This Row],[Landwirtschaft gesamt]],Dropdown!$A$2:$D$4,4,FALSE)</f>
        <v>-</v>
      </c>
      <c r="F9" s="57" t="str">
        <f>VLOOKUP(Tabelle1722[[#This Row],[Gartenbau gesamt]],Dropdown!$A$2:$D$4,4,FALSE)</f>
        <v>-</v>
      </c>
      <c r="G9" s="57" t="str">
        <f>VLOOKUP(Tabelle1722[[#This Row],[Bäder gesamt]],Dropdown!$A$2:$D$4,4,FALSE)</f>
        <v>-</v>
      </c>
      <c r="H9" s="57" t="str">
        <f>VLOOKUP(Tabelle1722[[#This Row],[Wäschereien gesamt]],Dropdown!$A$2:$D$4,4,FALSE)</f>
        <v>-</v>
      </c>
      <c r="I9" s="57" t="str">
        <f>VLOOKUP(Tabelle1722[[#This Row],[produzierendes Gewerbe gesamt]],Dropdown!$A$2:$D$4,4,FALSE)</f>
        <v>-</v>
      </c>
      <c r="J9" s="57" t="str">
        <f>VLOOKUP(Tabelle1722[[#This Row],[Baugewerbe gesamt]],Dropdown!$A$2:$D$4,4,FALSE)</f>
        <v>-</v>
      </c>
      <c r="K9" s="57" t="str">
        <f>VLOOKUP(Tabelle1722[[#This Row],[Prozesskälte]],Dropdown!$A$2:$D$4,4,FALSE)</f>
        <v>X</v>
      </c>
      <c r="L9" s="57" t="str">
        <f>VLOOKUP(Tabelle1722[[#This Row],[Kühlhäuser]],Dropdown!$A$2:$D$4,4,FALSE)</f>
        <v>X</v>
      </c>
      <c r="M9" s="57" t="str">
        <f>VLOOKUP(Tabelle1722[[#This Row],[Kühlung im 
Lebensmitteleinzelhandel]],Dropdown!$A$2:$D$4,4,FALSE)</f>
        <v>X</v>
      </c>
      <c r="N9" s="57" t="str">
        <f>VLOOKUP(Tabelle1722[[#This Row],[Kühlung im Gastronomiebereich 
(Hotels, Restaurants)]],Dropdown!$A$2:$D$4,4,FALSE)</f>
        <v>-</v>
      </c>
      <c r="O9" s="57" t="str">
        <f>VLOOKUP(Tabelle1722[[#This Row],[Klimakälte]],Dropdown!$A$2:$D$4,4,FALSE)</f>
        <v>X</v>
      </c>
      <c r="P9" s="57" t="str">
        <f>VLOOKUP(Tabelle1722[[#This Row],[Warmwasserbereitstellung]],Dropdown!$A$2:$D$4,4,FALSE)</f>
        <v>X</v>
      </c>
      <c r="Q9" s="57" t="str">
        <f>VLOOKUP(Tabelle1722[[#This Row],[Raumwärme 
(elektrische Raumheizung)]],Dropdown!$A$2:$D$4,4,FALSE)</f>
        <v>-</v>
      </c>
      <c r="R9" s="57" t="str">
        <f>VLOOKUP(Tabelle1722[[#This Row],[Nachtspeicherheizungen]],Dropdown!$A$2:$D$4,4,FALSE)</f>
        <v>X</v>
      </c>
      <c r="S9" s="57" t="str">
        <f>VLOOKUP(Tabelle1722[[#This Row],[Wärmepumpen]],Dropdown!$A$2:$D$4,4,FALSE)</f>
        <v>-</v>
      </c>
      <c r="T9" s="57" t="str">
        <f>VLOOKUP(Tabelle1722[[#This Row],[Hybrid-Wärmeerzeugungssysteme]],Dropdown!$A$2:$D$4,4,FALSE)</f>
        <v>-</v>
      </c>
      <c r="U9" s="57" t="str">
        <f>VLOOKUP(Tabelle1722[[#This Row],[Pumpenanwendungen]],Dropdown!$A$2:$D$4,4,FALSE)</f>
        <v>-</v>
      </c>
      <c r="V9" s="57" t="str">
        <f>VLOOKUP(Tabelle1722[[#This Row],[Pumpenanwendungen in der 
Wasserversorgung]],Dropdown!$A$2:$D$4,4,FALSE)</f>
        <v>-</v>
      </c>
      <c r="W9" s="57" t="str">
        <f>VLOOKUP(Tabelle1722[[#This Row],[Beleuchtung im Gartenbau]],Dropdown!$A$2:$D$4,4,FALSE)</f>
        <v>-</v>
      </c>
      <c r="X9" s="57" t="str">
        <f>VLOOKUP(Tabelle1722[[#This Row],[Belüftung]],Dropdown!$A$2:$D$4,4,FALSE)</f>
        <v>-</v>
      </c>
      <c r="Y9" s="57" t="str">
        <f>VLOOKUP(Tabelle1722[[#This Row],[Abwasserbehandlung]],Dropdown!$A$2:$D$4,4,FALSE)</f>
        <v>-</v>
      </c>
      <c r="Z9" s="57" t="str">
        <f>VLOOKUP(Tabelle1722[[#This Row],[Notstromaggregate, Back-Up-
Server und Mobilfunkstationen]],Dropdown!$A$2:$D$4,4,FALSE)</f>
        <v>-</v>
      </c>
      <c r="AA9" s="57" t="str">
        <f>VLOOKUP(Tabelle1722[[#This Row],[Prozesswärme]],Dropdown!$A$2:$D$4,4,FALSE)</f>
        <v>-</v>
      </c>
      <c r="AB9" s="57" t="str">
        <f>VLOOKUP(Tabelle1722[[#This Row],[Druckluft]],Dropdown!$A$2:$D$4,4,FALSE)</f>
        <v>-</v>
      </c>
      <c r="AC9" s="57" t="str">
        <f>VLOOKUP(Tabelle1722[[#This Row],[Rechenzentren]],Dropdown!$A$2:$D$4,4,FALSE)</f>
        <v>-</v>
      </c>
    </row>
    <row r="10" spans="1:29" x14ac:dyDescent="0.2">
      <c r="A10" s="6" t="str">
        <f>Tabelle1722[[#This Row],[Kurzbeleg]]</f>
        <v>Gru17</v>
      </c>
      <c r="B10" s="57" t="str">
        <f>VLOOKUP(Tabelle1722[[#This Row],[Büros und Textilbetriebe gesamt]],Dropdown!$A$2:$D$4,4,FALSE)</f>
        <v>-</v>
      </c>
      <c r="C10" s="57" t="str">
        <f>VLOOKUP(Tabelle1722[[#This Row],[Handel gesamt]],Dropdown!$A$2:$D$4,4,FALSE)</f>
        <v>-</v>
      </c>
      <c r="D10" s="57" t="str">
        <f>VLOOKUP(Tabelle1722[[#This Row],[Gastgewerbe gesamt]],Dropdown!$A$2:$D$4,4,FALSE)</f>
        <v>-</v>
      </c>
      <c r="E10" s="57" t="str">
        <f>VLOOKUP(Tabelle1722[[#This Row],[Landwirtschaft gesamt]],Dropdown!$A$2:$D$4,4,FALSE)</f>
        <v>-</v>
      </c>
      <c r="F10" s="57" t="str">
        <f>VLOOKUP(Tabelle1722[[#This Row],[Gartenbau gesamt]],Dropdown!$A$2:$D$4,4,FALSE)</f>
        <v>-</v>
      </c>
      <c r="G10" s="57" t="str">
        <f>VLOOKUP(Tabelle1722[[#This Row],[Bäder gesamt]],Dropdown!$A$2:$D$4,4,FALSE)</f>
        <v>-</v>
      </c>
      <c r="H10" s="57" t="str">
        <f>VLOOKUP(Tabelle1722[[#This Row],[Wäschereien gesamt]],Dropdown!$A$2:$D$4,4,FALSE)</f>
        <v>-</v>
      </c>
      <c r="I10" s="57" t="str">
        <f>VLOOKUP(Tabelle1722[[#This Row],[produzierendes Gewerbe gesamt]],Dropdown!$A$2:$D$4,4,FALSE)</f>
        <v>-</v>
      </c>
      <c r="J10" s="57" t="str">
        <f>VLOOKUP(Tabelle1722[[#This Row],[Baugewerbe gesamt]],Dropdown!$A$2:$D$4,4,FALSE)</f>
        <v>-</v>
      </c>
      <c r="K10" s="57" t="str">
        <f>VLOOKUP(Tabelle1722[[#This Row],[Prozesskälte]],Dropdown!$A$2:$D$4,4,FALSE)</f>
        <v>-</v>
      </c>
      <c r="L10" s="57" t="str">
        <f>VLOOKUP(Tabelle1722[[#This Row],[Kühlhäuser]],Dropdown!$A$2:$D$4,4,FALSE)</f>
        <v>-</v>
      </c>
      <c r="M10" s="57" t="str">
        <f>VLOOKUP(Tabelle1722[[#This Row],[Kühlung im 
Lebensmitteleinzelhandel]],Dropdown!$A$2:$D$4,4,FALSE)</f>
        <v>-</v>
      </c>
      <c r="N10" s="57" t="str">
        <f>VLOOKUP(Tabelle1722[[#This Row],[Kühlung im Gastronomiebereich 
(Hotels, Restaurants)]],Dropdown!$A$2:$D$4,4,FALSE)</f>
        <v>-</v>
      </c>
      <c r="O10" s="57" t="str">
        <f>VLOOKUP(Tabelle1722[[#This Row],[Klimakälte]],Dropdown!$A$2:$D$4,4,FALSE)</f>
        <v>-</v>
      </c>
      <c r="P10" s="57" t="str">
        <f>VLOOKUP(Tabelle1722[[#This Row],[Warmwasserbereitstellung]],Dropdown!$A$2:$D$4,4,FALSE)</f>
        <v>-</v>
      </c>
      <c r="Q10" s="57" t="str">
        <f>VLOOKUP(Tabelle1722[[#This Row],[Raumwärme 
(elektrische Raumheizung)]],Dropdown!$A$2:$D$4,4,FALSE)</f>
        <v>-</v>
      </c>
      <c r="R10" s="57" t="str">
        <f>VLOOKUP(Tabelle1722[[#This Row],[Nachtspeicherheizungen]],Dropdown!$A$2:$D$4,4,FALSE)</f>
        <v>-</v>
      </c>
      <c r="S10" s="57" t="str">
        <f>VLOOKUP(Tabelle1722[[#This Row],[Wärmepumpen]],Dropdown!$A$2:$D$4,4,FALSE)</f>
        <v>-</v>
      </c>
      <c r="T10" s="57" t="str">
        <f>VLOOKUP(Tabelle1722[[#This Row],[Hybrid-Wärmeerzeugungssysteme]],Dropdown!$A$2:$D$4,4,FALSE)</f>
        <v>-</v>
      </c>
      <c r="U10" s="57" t="str">
        <f>VLOOKUP(Tabelle1722[[#This Row],[Pumpenanwendungen]],Dropdown!$A$2:$D$4,4,FALSE)</f>
        <v>-</v>
      </c>
      <c r="V10" s="57" t="str">
        <f>VLOOKUP(Tabelle1722[[#This Row],[Pumpenanwendungen in der 
Wasserversorgung]],Dropdown!$A$2:$D$4,4,FALSE)</f>
        <v>-</v>
      </c>
      <c r="W10" s="57" t="str">
        <f>VLOOKUP(Tabelle1722[[#This Row],[Beleuchtung im Gartenbau]],Dropdown!$A$2:$D$4,4,FALSE)</f>
        <v>-</v>
      </c>
      <c r="X10" s="57" t="str">
        <f>VLOOKUP(Tabelle1722[[#This Row],[Belüftung]],Dropdown!$A$2:$D$4,4,FALSE)</f>
        <v>-</v>
      </c>
      <c r="Y10" s="57" t="str">
        <f>VLOOKUP(Tabelle1722[[#This Row],[Abwasserbehandlung]],Dropdown!$A$2:$D$4,4,FALSE)</f>
        <v>-</v>
      </c>
      <c r="Z10" s="57" t="str">
        <f>VLOOKUP(Tabelle1722[[#This Row],[Notstromaggregate, Back-Up-
Server und Mobilfunkstationen]],Dropdown!$A$2:$D$4,4,FALSE)</f>
        <v>-</v>
      </c>
      <c r="AA10" s="57" t="str">
        <f>VLOOKUP(Tabelle1722[[#This Row],[Prozesswärme]],Dropdown!$A$2:$D$4,4,FALSE)</f>
        <v>-</v>
      </c>
      <c r="AB10" s="57" t="str">
        <f>VLOOKUP(Tabelle1722[[#This Row],[Druckluft]],Dropdown!$A$2:$D$4,4,FALSE)</f>
        <v>-</v>
      </c>
      <c r="AC10" s="57" t="str">
        <f>VLOOKUP(Tabelle1722[[#This Row],[Rechenzentren]],Dropdown!$A$2:$D$4,4,FALSE)</f>
        <v>-</v>
      </c>
    </row>
    <row r="11" spans="1:29" x14ac:dyDescent="0.2">
      <c r="A11" s="6" t="str">
        <f>Tabelle1722[[#This Row],[Kurzbeleg]]</f>
        <v>Haa17</v>
      </c>
      <c r="B11" s="57" t="str">
        <f>VLOOKUP(Tabelle1722[[#This Row],[Büros und Textilbetriebe gesamt]],Dropdown!$A$2:$D$4,4,FALSE)</f>
        <v>-</v>
      </c>
      <c r="C11" s="57" t="str">
        <f>VLOOKUP(Tabelle1722[[#This Row],[Handel gesamt]],Dropdown!$A$2:$D$4,4,FALSE)</f>
        <v>-</v>
      </c>
      <c r="D11" s="57" t="str">
        <f>VLOOKUP(Tabelle1722[[#This Row],[Gastgewerbe gesamt]],Dropdown!$A$2:$D$4,4,FALSE)</f>
        <v>-</v>
      </c>
      <c r="E11" s="57" t="str">
        <f>VLOOKUP(Tabelle1722[[#This Row],[Landwirtschaft gesamt]],Dropdown!$A$2:$D$4,4,FALSE)</f>
        <v>-</v>
      </c>
      <c r="F11" s="57" t="str">
        <f>VLOOKUP(Tabelle1722[[#This Row],[Gartenbau gesamt]],Dropdown!$A$2:$D$4,4,FALSE)</f>
        <v>-</v>
      </c>
      <c r="G11" s="57" t="str">
        <f>VLOOKUP(Tabelle1722[[#This Row],[Bäder gesamt]],Dropdown!$A$2:$D$4,4,FALSE)</f>
        <v>-</v>
      </c>
      <c r="H11" s="57" t="str">
        <f>VLOOKUP(Tabelle1722[[#This Row],[Wäschereien gesamt]],Dropdown!$A$2:$D$4,4,FALSE)</f>
        <v>-</v>
      </c>
      <c r="I11" s="57" t="str">
        <f>VLOOKUP(Tabelle1722[[#This Row],[produzierendes Gewerbe gesamt]],Dropdown!$A$2:$D$4,4,FALSE)</f>
        <v>-</v>
      </c>
      <c r="J11" s="57" t="str">
        <f>VLOOKUP(Tabelle1722[[#This Row],[Baugewerbe gesamt]],Dropdown!$A$2:$D$4,4,FALSE)</f>
        <v>-</v>
      </c>
      <c r="K11" s="57" t="str">
        <f>VLOOKUP(Tabelle1722[[#This Row],[Prozesskälte]],Dropdown!$A$2:$D$4,4,FALSE)</f>
        <v>-</v>
      </c>
      <c r="L11" s="57" t="str">
        <f>VLOOKUP(Tabelle1722[[#This Row],[Kühlhäuser]],Dropdown!$A$2:$D$4,4,FALSE)</f>
        <v>-</v>
      </c>
      <c r="M11" s="57" t="str">
        <f>VLOOKUP(Tabelle1722[[#This Row],[Kühlung im 
Lebensmitteleinzelhandel]],Dropdown!$A$2:$D$4,4,FALSE)</f>
        <v>-</v>
      </c>
      <c r="N11" s="57" t="str">
        <f>VLOOKUP(Tabelle1722[[#This Row],[Kühlung im Gastronomiebereich 
(Hotels, Restaurants)]],Dropdown!$A$2:$D$4,4,FALSE)</f>
        <v>-</v>
      </c>
      <c r="O11" s="57" t="str">
        <f>VLOOKUP(Tabelle1722[[#This Row],[Klimakälte]],Dropdown!$A$2:$D$4,4,FALSE)</f>
        <v>-</v>
      </c>
      <c r="P11" s="57" t="str">
        <f>VLOOKUP(Tabelle1722[[#This Row],[Warmwasserbereitstellung]],Dropdown!$A$2:$D$4,4,FALSE)</f>
        <v>-</v>
      </c>
      <c r="Q11" s="57" t="str">
        <f>VLOOKUP(Tabelle1722[[#This Row],[Raumwärme 
(elektrische Raumheizung)]],Dropdown!$A$2:$D$4,4,FALSE)</f>
        <v>-</v>
      </c>
      <c r="R11" s="57" t="str">
        <f>VLOOKUP(Tabelle1722[[#This Row],[Nachtspeicherheizungen]],Dropdown!$A$2:$D$4,4,FALSE)</f>
        <v>-</v>
      </c>
      <c r="S11" s="57" t="str">
        <f>VLOOKUP(Tabelle1722[[#This Row],[Wärmepumpen]],Dropdown!$A$2:$D$4,4,FALSE)</f>
        <v>-</v>
      </c>
      <c r="T11" s="57" t="str">
        <f>VLOOKUP(Tabelle1722[[#This Row],[Hybrid-Wärmeerzeugungssysteme]],Dropdown!$A$2:$D$4,4,FALSE)</f>
        <v>X</v>
      </c>
      <c r="U11" s="57" t="str">
        <f>VLOOKUP(Tabelle1722[[#This Row],[Pumpenanwendungen]],Dropdown!$A$2:$D$4,4,FALSE)</f>
        <v>-</v>
      </c>
      <c r="V11" s="57" t="str">
        <f>VLOOKUP(Tabelle1722[[#This Row],[Pumpenanwendungen in der 
Wasserversorgung]],Dropdown!$A$2:$D$4,4,FALSE)</f>
        <v>-</v>
      </c>
      <c r="W11" s="57" t="str">
        <f>VLOOKUP(Tabelle1722[[#This Row],[Beleuchtung im Gartenbau]],Dropdown!$A$2:$D$4,4,FALSE)</f>
        <v>-</v>
      </c>
      <c r="X11" s="57" t="str">
        <f>VLOOKUP(Tabelle1722[[#This Row],[Belüftung]],Dropdown!$A$2:$D$4,4,FALSE)</f>
        <v>-</v>
      </c>
      <c r="Y11" s="57" t="str">
        <f>VLOOKUP(Tabelle1722[[#This Row],[Abwasserbehandlung]],Dropdown!$A$2:$D$4,4,FALSE)</f>
        <v>-</v>
      </c>
      <c r="Z11" s="57" t="str">
        <f>VLOOKUP(Tabelle1722[[#This Row],[Notstromaggregate, Back-Up-
Server und Mobilfunkstationen]],Dropdown!$A$2:$D$4,4,FALSE)</f>
        <v>-</v>
      </c>
      <c r="AA11" s="57" t="str">
        <f>VLOOKUP(Tabelle1722[[#This Row],[Prozesswärme]],Dropdown!$A$2:$D$4,4,FALSE)</f>
        <v>-</v>
      </c>
      <c r="AB11" s="57" t="str">
        <f>VLOOKUP(Tabelle1722[[#This Row],[Druckluft]],Dropdown!$A$2:$D$4,4,FALSE)</f>
        <v>-</v>
      </c>
      <c r="AC11" s="57" t="str">
        <f>VLOOKUP(Tabelle1722[[#This Row],[Rechenzentren]],Dropdown!$A$2:$D$4,4,FALSE)</f>
        <v>-</v>
      </c>
    </row>
    <row r="12" spans="1:29" x14ac:dyDescent="0.2">
      <c r="A12" s="6" t="str">
        <f>Tabelle1722[[#This Row],[Kurzbeleg]]</f>
        <v>Hei21</v>
      </c>
      <c r="B12" s="57" t="str">
        <f>VLOOKUP(Tabelle1722[[#This Row],[Büros und Textilbetriebe gesamt]],Dropdown!$A$2:$D$4,4,FALSE)</f>
        <v>-</v>
      </c>
      <c r="C12" s="57" t="str">
        <f>VLOOKUP(Tabelle1722[[#This Row],[Handel gesamt]],Dropdown!$A$2:$D$4,4,FALSE)</f>
        <v>-</v>
      </c>
      <c r="D12" s="57" t="str">
        <f>VLOOKUP(Tabelle1722[[#This Row],[Gastgewerbe gesamt]],Dropdown!$A$2:$D$4,4,FALSE)</f>
        <v>-</v>
      </c>
      <c r="E12" s="57" t="str">
        <f>VLOOKUP(Tabelle1722[[#This Row],[Landwirtschaft gesamt]],Dropdown!$A$2:$D$4,4,FALSE)</f>
        <v>-</v>
      </c>
      <c r="F12" s="57" t="str">
        <f>VLOOKUP(Tabelle1722[[#This Row],[Gartenbau gesamt]],Dropdown!$A$2:$D$4,4,FALSE)</f>
        <v>-</v>
      </c>
      <c r="G12" s="57" t="str">
        <f>VLOOKUP(Tabelle1722[[#This Row],[Bäder gesamt]],Dropdown!$A$2:$D$4,4,FALSE)</f>
        <v>-</v>
      </c>
      <c r="H12" s="57" t="str">
        <f>VLOOKUP(Tabelle1722[[#This Row],[Wäschereien gesamt]],Dropdown!$A$2:$D$4,4,FALSE)</f>
        <v>-</v>
      </c>
      <c r="I12" s="57" t="str">
        <f>VLOOKUP(Tabelle1722[[#This Row],[produzierendes Gewerbe gesamt]],Dropdown!$A$2:$D$4,4,FALSE)</f>
        <v>-</v>
      </c>
      <c r="J12" s="57" t="str">
        <f>VLOOKUP(Tabelle1722[[#This Row],[Baugewerbe gesamt]],Dropdown!$A$2:$D$4,4,FALSE)</f>
        <v>-</v>
      </c>
      <c r="K12" s="57" t="str">
        <f>VLOOKUP(Tabelle1722[[#This Row],[Prozesskälte]],Dropdown!$A$2:$D$4,4,FALSE)</f>
        <v>-</v>
      </c>
      <c r="L12" s="57" t="str">
        <f>VLOOKUP(Tabelle1722[[#This Row],[Kühlhäuser]],Dropdown!$A$2:$D$4,4,FALSE)</f>
        <v>X</v>
      </c>
      <c r="M12" s="57" t="str">
        <f>VLOOKUP(Tabelle1722[[#This Row],[Kühlung im 
Lebensmitteleinzelhandel]],Dropdown!$A$2:$D$4,4,FALSE)</f>
        <v>X</v>
      </c>
      <c r="N12" s="57" t="str">
        <f>VLOOKUP(Tabelle1722[[#This Row],[Kühlung im Gastronomiebereich 
(Hotels, Restaurants)]],Dropdown!$A$2:$D$4,4,FALSE)</f>
        <v>-</v>
      </c>
      <c r="O12" s="57" t="str">
        <f>VLOOKUP(Tabelle1722[[#This Row],[Klimakälte]],Dropdown!$A$2:$D$4,4,FALSE)</f>
        <v>X</v>
      </c>
      <c r="P12" s="57" t="str">
        <f>VLOOKUP(Tabelle1722[[#This Row],[Warmwasserbereitstellung]],Dropdown!$A$2:$D$4,4,FALSE)</f>
        <v>-</v>
      </c>
      <c r="Q12" s="57" t="str">
        <f>VLOOKUP(Tabelle1722[[#This Row],[Raumwärme 
(elektrische Raumheizung)]],Dropdown!$A$2:$D$4,4,FALSE)</f>
        <v>-</v>
      </c>
      <c r="R12" s="57" t="str">
        <f>VLOOKUP(Tabelle1722[[#This Row],[Nachtspeicherheizungen]],Dropdown!$A$2:$D$4,4,FALSE)</f>
        <v>-</v>
      </c>
      <c r="S12" s="57" t="str">
        <f>VLOOKUP(Tabelle1722[[#This Row],[Wärmepumpen]],Dropdown!$A$2:$D$4,4,FALSE)</f>
        <v>-</v>
      </c>
      <c r="T12" s="57" t="str">
        <f>VLOOKUP(Tabelle1722[[#This Row],[Hybrid-Wärmeerzeugungssysteme]],Dropdown!$A$2:$D$4,4,FALSE)</f>
        <v>-</v>
      </c>
      <c r="U12" s="57" t="str">
        <f>VLOOKUP(Tabelle1722[[#This Row],[Pumpenanwendungen]],Dropdown!$A$2:$D$4,4,FALSE)</f>
        <v>-</v>
      </c>
      <c r="V12" s="57" t="str">
        <f>VLOOKUP(Tabelle1722[[#This Row],[Pumpenanwendungen in der 
Wasserversorgung]],Dropdown!$A$2:$D$4,4,FALSE)</f>
        <v>-</v>
      </c>
      <c r="W12" s="57" t="str">
        <f>VLOOKUP(Tabelle1722[[#This Row],[Beleuchtung im Gartenbau]],Dropdown!$A$2:$D$4,4,FALSE)</f>
        <v>-</v>
      </c>
      <c r="X12" s="57" t="str">
        <f>VLOOKUP(Tabelle1722[[#This Row],[Belüftung]],Dropdown!$A$2:$D$4,4,FALSE)</f>
        <v>X</v>
      </c>
      <c r="Y12" s="57" t="str">
        <f>VLOOKUP(Tabelle1722[[#This Row],[Abwasserbehandlung]],Dropdown!$A$2:$D$4,4,FALSE)</f>
        <v>-</v>
      </c>
      <c r="Z12" s="57" t="str">
        <f>VLOOKUP(Tabelle1722[[#This Row],[Notstromaggregate, Back-Up-
Server und Mobilfunkstationen]],Dropdown!$A$2:$D$4,4,FALSE)</f>
        <v>-</v>
      </c>
      <c r="AA12" s="57" t="str">
        <f>VLOOKUP(Tabelle1722[[#This Row],[Prozesswärme]],Dropdown!$A$2:$D$4,4,FALSE)</f>
        <v>-</v>
      </c>
      <c r="AB12" s="57" t="str">
        <f>VLOOKUP(Tabelle1722[[#This Row],[Druckluft]],Dropdown!$A$2:$D$4,4,FALSE)</f>
        <v>-</v>
      </c>
      <c r="AC12" s="57" t="str">
        <f>VLOOKUP(Tabelle1722[[#This Row],[Rechenzentren]],Dropdown!$A$2:$D$4,4,FALSE)</f>
        <v>-</v>
      </c>
    </row>
    <row r="13" spans="1:29" x14ac:dyDescent="0.2">
      <c r="A13" s="6" t="str">
        <f>Tabelle1722[[#This Row],[Kurzbeleg]]</f>
        <v>Hen15</v>
      </c>
      <c r="B13" s="57" t="str">
        <f>VLOOKUP(Tabelle1722[[#This Row],[Büros und Textilbetriebe gesamt]],Dropdown!$A$2:$D$4,4,FALSE)</f>
        <v>-</v>
      </c>
      <c r="C13" s="57" t="str">
        <f>VLOOKUP(Tabelle1722[[#This Row],[Handel gesamt]],Dropdown!$A$2:$D$4,4,FALSE)</f>
        <v>-</v>
      </c>
      <c r="D13" s="57" t="str">
        <f>VLOOKUP(Tabelle1722[[#This Row],[Gastgewerbe gesamt]],Dropdown!$A$2:$D$4,4,FALSE)</f>
        <v>-</v>
      </c>
      <c r="E13" s="57" t="str">
        <f>VLOOKUP(Tabelle1722[[#This Row],[Landwirtschaft gesamt]],Dropdown!$A$2:$D$4,4,FALSE)</f>
        <v>-</v>
      </c>
      <c r="F13" s="57" t="str">
        <f>VLOOKUP(Tabelle1722[[#This Row],[Gartenbau gesamt]],Dropdown!$A$2:$D$4,4,FALSE)</f>
        <v>-</v>
      </c>
      <c r="G13" s="57" t="str">
        <f>VLOOKUP(Tabelle1722[[#This Row],[Bäder gesamt]],Dropdown!$A$2:$D$4,4,FALSE)</f>
        <v>-</v>
      </c>
      <c r="H13" s="57" t="str">
        <f>VLOOKUP(Tabelle1722[[#This Row],[Wäschereien gesamt]],Dropdown!$A$2:$D$4,4,FALSE)</f>
        <v>-</v>
      </c>
      <c r="I13" s="57" t="str">
        <f>VLOOKUP(Tabelle1722[[#This Row],[produzierendes Gewerbe gesamt]],Dropdown!$A$2:$D$4,4,FALSE)</f>
        <v>-</v>
      </c>
      <c r="J13" s="57" t="str">
        <f>VLOOKUP(Tabelle1722[[#This Row],[Baugewerbe gesamt]],Dropdown!$A$2:$D$4,4,FALSE)</f>
        <v>-</v>
      </c>
      <c r="K13" s="57" t="str">
        <f>VLOOKUP(Tabelle1722[[#This Row],[Prozesskälte]],Dropdown!$A$2:$D$4,4,FALSE)</f>
        <v>-</v>
      </c>
      <c r="L13" s="57" t="str">
        <f>VLOOKUP(Tabelle1722[[#This Row],[Kühlhäuser]],Dropdown!$A$2:$D$4,4,FALSE)</f>
        <v>-</v>
      </c>
      <c r="M13" s="57" t="str">
        <f>VLOOKUP(Tabelle1722[[#This Row],[Kühlung im 
Lebensmitteleinzelhandel]],Dropdown!$A$2:$D$4,4,FALSE)</f>
        <v>-</v>
      </c>
      <c r="N13" s="57" t="str">
        <f>VLOOKUP(Tabelle1722[[#This Row],[Kühlung im Gastronomiebereich 
(Hotels, Restaurants)]],Dropdown!$A$2:$D$4,4,FALSE)</f>
        <v>-</v>
      </c>
      <c r="O13" s="57" t="str">
        <f>VLOOKUP(Tabelle1722[[#This Row],[Klimakälte]],Dropdown!$A$2:$D$4,4,FALSE)</f>
        <v>-</v>
      </c>
      <c r="P13" s="57" t="str">
        <f>VLOOKUP(Tabelle1722[[#This Row],[Warmwasserbereitstellung]],Dropdown!$A$2:$D$4,4,FALSE)</f>
        <v>-</v>
      </c>
      <c r="Q13" s="57" t="str">
        <f>VLOOKUP(Tabelle1722[[#This Row],[Raumwärme 
(elektrische Raumheizung)]],Dropdown!$A$2:$D$4,4,FALSE)</f>
        <v>-</v>
      </c>
      <c r="R13" s="57" t="str">
        <f>VLOOKUP(Tabelle1722[[#This Row],[Nachtspeicherheizungen]],Dropdown!$A$2:$D$4,4,FALSE)</f>
        <v>-</v>
      </c>
      <c r="S13" s="57" t="str">
        <f>VLOOKUP(Tabelle1722[[#This Row],[Wärmepumpen]],Dropdown!$A$2:$D$4,4,FALSE)</f>
        <v>-</v>
      </c>
      <c r="T13" s="57" t="str">
        <f>VLOOKUP(Tabelle1722[[#This Row],[Hybrid-Wärmeerzeugungssysteme]],Dropdown!$A$2:$D$4,4,FALSE)</f>
        <v>-</v>
      </c>
      <c r="U13" s="57" t="str">
        <f>VLOOKUP(Tabelle1722[[#This Row],[Pumpenanwendungen]],Dropdown!$A$2:$D$4,4,FALSE)</f>
        <v>-</v>
      </c>
      <c r="V13" s="57" t="str">
        <f>VLOOKUP(Tabelle1722[[#This Row],[Pumpenanwendungen in der 
Wasserversorgung]],Dropdown!$A$2:$D$4,4,FALSE)</f>
        <v>-</v>
      </c>
      <c r="W13" s="57" t="str">
        <f>VLOOKUP(Tabelle1722[[#This Row],[Beleuchtung im Gartenbau]],Dropdown!$A$2:$D$4,4,FALSE)</f>
        <v>-</v>
      </c>
      <c r="X13" s="57" t="str">
        <f>VLOOKUP(Tabelle1722[[#This Row],[Belüftung]],Dropdown!$A$2:$D$4,4,FALSE)</f>
        <v>-</v>
      </c>
      <c r="Y13" s="57" t="str">
        <f>VLOOKUP(Tabelle1722[[#This Row],[Abwasserbehandlung]],Dropdown!$A$2:$D$4,4,FALSE)</f>
        <v>-</v>
      </c>
      <c r="Z13" s="57" t="str">
        <f>VLOOKUP(Tabelle1722[[#This Row],[Notstromaggregate, Back-Up-
Server und Mobilfunkstationen]],Dropdown!$A$2:$D$4,4,FALSE)</f>
        <v>-</v>
      </c>
      <c r="AA13" s="57" t="str">
        <f>VLOOKUP(Tabelle1722[[#This Row],[Prozesswärme]],Dropdown!$A$2:$D$4,4,FALSE)</f>
        <v>-</v>
      </c>
      <c r="AB13" s="57" t="str">
        <f>VLOOKUP(Tabelle1722[[#This Row],[Druckluft]],Dropdown!$A$2:$D$4,4,FALSE)</f>
        <v>-</v>
      </c>
      <c r="AC13" s="57" t="str">
        <f>VLOOKUP(Tabelle1722[[#This Row],[Rechenzentren]],Dropdown!$A$2:$D$4,4,FALSE)</f>
        <v>-</v>
      </c>
    </row>
    <row r="14" spans="1:29" x14ac:dyDescent="0.2">
      <c r="A14" s="6" t="str">
        <f>Tabelle1722[[#This Row],[Kurzbeleg]]</f>
        <v>Jet21</v>
      </c>
      <c r="B14" s="57" t="str">
        <f>VLOOKUP(Tabelle1722[[#This Row],[Büros und Textilbetriebe gesamt]],Dropdown!$A$2:$D$4,4,FALSE)</f>
        <v>-</v>
      </c>
      <c r="C14" s="57" t="str">
        <f>VLOOKUP(Tabelle1722[[#This Row],[Handel gesamt]],Dropdown!$A$2:$D$4,4,FALSE)</f>
        <v>-</v>
      </c>
      <c r="D14" s="57" t="str">
        <f>VLOOKUP(Tabelle1722[[#This Row],[Gastgewerbe gesamt]],Dropdown!$A$2:$D$4,4,FALSE)</f>
        <v>-</v>
      </c>
      <c r="E14" s="57" t="str">
        <f>VLOOKUP(Tabelle1722[[#This Row],[Landwirtschaft gesamt]],Dropdown!$A$2:$D$4,4,FALSE)</f>
        <v>-</v>
      </c>
      <c r="F14" s="57" t="str">
        <f>VLOOKUP(Tabelle1722[[#This Row],[Gartenbau gesamt]],Dropdown!$A$2:$D$4,4,FALSE)</f>
        <v>-</v>
      </c>
      <c r="G14" s="57" t="str">
        <f>VLOOKUP(Tabelle1722[[#This Row],[Bäder gesamt]],Dropdown!$A$2:$D$4,4,FALSE)</f>
        <v>-</v>
      </c>
      <c r="H14" s="57" t="str">
        <f>VLOOKUP(Tabelle1722[[#This Row],[Wäschereien gesamt]],Dropdown!$A$2:$D$4,4,FALSE)</f>
        <v>-</v>
      </c>
      <c r="I14" s="57" t="str">
        <f>VLOOKUP(Tabelle1722[[#This Row],[produzierendes Gewerbe gesamt]],Dropdown!$A$2:$D$4,4,FALSE)</f>
        <v>-</v>
      </c>
      <c r="J14" s="57" t="str">
        <f>VLOOKUP(Tabelle1722[[#This Row],[Baugewerbe gesamt]],Dropdown!$A$2:$D$4,4,FALSE)</f>
        <v>-</v>
      </c>
      <c r="K14" s="57" t="str">
        <f>VLOOKUP(Tabelle1722[[#This Row],[Prozesskälte]],Dropdown!$A$2:$D$4,4,FALSE)</f>
        <v>X</v>
      </c>
      <c r="L14" s="57" t="str">
        <f>VLOOKUP(Tabelle1722[[#This Row],[Kühlhäuser]],Dropdown!$A$2:$D$4,4,FALSE)</f>
        <v>-</v>
      </c>
      <c r="M14" s="57" t="str">
        <f>VLOOKUP(Tabelle1722[[#This Row],[Kühlung im 
Lebensmitteleinzelhandel]],Dropdown!$A$2:$D$4,4,FALSE)</f>
        <v>X</v>
      </c>
      <c r="N14" s="57" t="str">
        <f>VLOOKUP(Tabelle1722[[#This Row],[Kühlung im Gastronomiebereich 
(Hotels, Restaurants)]],Dropdown!$A$2:$D$4,4,FALSE)</f>
        <v>-</v>
      </c>
      <c r="O14" s="57" t="str">
        <f>VLOOKUP(Tabelle1722[[#This Row],[Klimakälte]],Dropdown!$A$2:$D$4,4,FALSE)</f>
        <v>-</v>
      </c>
      <c r="P14" s="57" t="str">
        <f>VLOOKUP(Tabelle1722[[#This Row],[Warmwasserbereitstellung]],Dropdown!$A$2:$D$4,4,FALSE)</f>
        <v>-</v>
      </c>
      <c r="Q14" s="57" t="str">
        <f>VLOOKUP(Tabelle1722[[#This Row],[Raumwärme 
(elektrische Raumheizung)]],Dropdown!$A$2:$D$4,4,FALSE)</f>
        <v>-</v>
      </c>
      <c r="R14" s="57" t="str">
        <f>VLOOKUP(Tabelle1722[[#This Row],[Nachtspeicherheizungen]],Dropdown!$A$2:$D$4,4,FALSE)</f>
        <v>-</v>
      </c>
      <c r="S14" s="57" t="str">
        <f>VLOOKUP(Tabelle1722[[#This Row],[Wärmepumpen]],Dropdown!$A$2:$D$4,4,FALSE)</f>
        <v>-</v>
      </c>
      <c r="T14" s="57" t="str">
        <f>VLOOKUP(Tabelle1722[[#This Row],[Hybrid-Wärmeerzeugungssysteme]],Dropdown!$A$2:$D$4,4,FALSE)</f>
        <v>-</v>
      </c>
      <c r="U14" s="57" t="str">
        <f>VLOOKUP(Tabelle1722[[#This Row],[Pumpenanwendungen]],Dropdown!$A$2:$D$4,4,FALSE)</f>
        <v>-</v>
      </c>
      <c r="V14" s="57" t="str">
        <f>VLOOKUP(Tabelle1722[[#This Row],[Pumpenanwendungen in der 
Wasserversorgung]],Dropdown!$A$2:$D$4,4,FALSE)</f>
        <v>X</v>
      </c>
      <c r="W14" s="57" t="str">
        <f>VLOOKUP(Tabelle1722[[#This Row],[Beleuchtung im Gartenbau]],Dropdown!$A$2:$D$4,4,FALSE)</f>
        <v>-</v>
      </c>
      <c r="X14" s="57" t="str">
        <f>VLOOKUP(Tabelle1722[[#This Row],[Belüftung]],Dropdown!$A$2:$D$4,4,FALSE)</f>
        <v>-</v>
      </c>
      <c r="Y14" s="57" t="str">
        <f>VLOOKUP(Tabelle1722[[#This Row],[Abwasserbehandlung]],Dropdown!$A$2:$D$4,4,FALSE)</f>
        <v>X</v>
      </c>
      <c r="Z14" s="57" t="str">
        <f>VLOOKUP(Tabelle1722[[#This Row],[Notstromaggregate, Back-Up-
Server und Mobilfunkstationen]],Dropdown!$A$2:$D$4,4,FALSE)</f>
        <v>-</v>
      </c>
      <c r="AA14" s="57" t="str">
        <f>VLOOKUP(Tabelle1722[[#This Row],[Prozesswärme]],Dropdown!$A$2:$D$4,4,FALSE)</f>
        <v>-</v>
      </c>
      <c r="AB14" s="57" t="str">
        <f>VLOOKUP(Tabelle1722[[#This Row],[Druckluft]],Dropdown!$A$2:$D$4,4,FALSE)</f>
        <v>-</v>
      </c>
      <c r="AC14" s="57" t="str">
        <f>VLOOKUP(Tabelle1722[[#This Row],[Rechenzentren]],Dropdown!$A$2:$D$4,4,FALSE)</f>
        <v>X</v>
      </c>
    </row>
    <row r="15" spans="1:29" x14ac:dyDescent="0.2">
      <c r="A15" s="6" t="str">
        <f>Tabelle1722[[#This Row],[Kurzbeleg]]</f>
        <v>Klo09</v>
      </c>
      <c r="B15" s="57" t="str">
        <f>VLOOKUP(Tabelle1722[[#This Row],[Büros und Textilbetriebe gesamt]],Dropdown!$A$2:$D$4,4,FALSE)</f>
        <v>-</v>
      </c>
      <c r="C15" s="57" t="str">
        <f>VLOOKUP(Tabelle1722[[#This Row],[Handel gesamt]],Dropdown!$A$2:$D$4,4,FALSE)</f>
        <v>-</v>
      </c>
      <c r="D15" s="57" t="str">
        <f>VLOOKUP(Tabelle1722[[#This Row],[Gastgewerbe gesamt]],Dropdown!$A$2:$D$4,4,FALSE)</f>
        <v>-</v>
      </c>
      <c r="E15" s="57" t="str">
        <f>VLOOKUP(Tabelle1722[[#This Row],[Landwirtschaft gesamt]],Dropdown!$A$2:$D$4,4,FALSE)</f>
        <v>-</v>
      </c>
      <c r="F15" s="57" t="str">
        <f>VLOOKUP(Tabelle1722[[#This Row],[Gartenbau gesamt]],Dropdown!$A$2:$D$4,4,FALSE)</f>
        <v>-</v>
      </c>
      <c r="G15" s="57" t="str">
        <f>VLOOKUP(Tabelle1722[[#This Row],[Bäder gesamt]],Dropdown!$A$2:$D$4,4,FALSE)</f>
        <v>-</v>
      </c>
      <c r="H15" s="57" t="str">
        <f>VLOOKUP(Tabelle1722[[#This Row],[Wäschereien gesamt]],Dropdown!$A$2:$D$4,4,FALSE)</f>
        <v>-</v>
      </c>
      <c r="I15" s="57" t="str">
        <f>VLOOKUP(Tabelle1722[[#This Row],[produzierendes Gewerbe gesamt]],Dropdown!$A$2:$D$4,4,FALSE)</f>
        <v>-</v>
      </c>
      <c r="J15" s="57" t="str">
        <f>VLOOKUP(Tabelle1722[[#This Row],[Baugewerbe gesamt]],Dropdown!$A$2:$D$4,4,FALSE)</f>
        <v>-</v>
      </c>
      <c r="K15" s="57" t="str">
        <f>VLOOKUP(Tabelle1722[[#This Row],[Prozesskälte]],Dropdown!$A$2:$D$4,4,FALSE)</f>
        <v>X</v>
      </c>
      <c r="L15" s="57" t="str">
        <f>VLOOKUP(Tabelle1722[[#This Row],[Kühlhäuser]],Dropdown!$A$2:$D$4,4,FALSE)</f>
        <v>X</v>
      </c>
      <c r="M15" s="57" t="str">
        <f>VLOOKUP(Tabelle1722[[#This Row],[Kühlung im 
Lebensmitteleinzelhandel]],Dropdown!$A$2:$D$4,4,FALSE)</f>
        <v>X</v>
      </c>
      <c r="N15" s="57" t="str">
        <f>VLOOKUP(Tabelle1722[[#This Row],[Kühlung im Gastronomiebereich 
(Hotels, Restaurants)]],Dropdown!$A$2:$D$4,4,FALSE)</f>
        <v>-</v>
      </c>
      <c r="O15" s="57" t="str">
        <f>VLOOKUP(Tabelle1722[[#This Row],[Klimakälte]],Dropdown!$A$2:$D$4,4,FALSE)</f>
        <v>X</v>
      </c>
      <c r="P15" s="57" t="str">
        <f>VLOOKUP(Tabelle1722[[#This Row],[Warmwasserbereitstellung]],Dropdown!$A$2:$D$4,4,FALSE)</f>
        <v>X</v>
      </c>
      <c r="Q15" s="57" t="str">
        <f>VLOOKUP(Tabelle1722[[#This Row],[Raumwärme 
(elektrische Raumheizung)]],Dropdown!$A$2:$D$4,4,FALSE)</f>
        <v>-</v>
      </c>
      <c r="R15" s="57" t="str">
        <f>VLOOKUP(Tabelle1722[[#This Row],[Nachtspeicherheizungen]],Dropdown!$A$2:$D$4,4,FALSE)</f>
        <v>X</v>
      </c>
      <c r="S15" s="57" t="str">
        <f>VLOOKUP(Tabelle1722[[#This Row],[Wärmepumpen]],Dropdown!$A$2:$D$4,4,FALSE)</f>
        <v>-</v>
      </c>
      <c r="T15" s="57" t="str">
        <f>VLOOKUP(Tabelle1722[[#This Row],[Hybrid-Wärmeerzeugungssysteme]],Dropdown!$A$2:$D$4,4,FALSE)</f>
        <v>-</v>
      </c>
      <c r="U15" s="57" t="str">
        <f>VLOOKUP(Tabelle1722[[#This Row],[Pumpenanwendungen]],Dropdown!$A$2:$D$4,4,FALSE)</f>
        <v>-</v>
      </c>
      <c r="V15" s="57" t="str">
        <f>VLOOKUP(Tabelle1722[[#This Row],[Pumpenanwendungen in der 
Wasserversorgung]],Dropdown!$A$2:$D$4,4,FALSE)</f>
        <v>-</v>
      </c>
      <c r="W15" s="57" t="str">
        <f>VLOOKUP(Tabelle1722[[#This Row],[Beleuchtung im Gartenbau]],Dropdown!$A$2:$D$4,4,FALSE)</f>
        <v>-</v>
      </c>
      <c r="X15" s="57" t="str">
        <f>VLOOKUP(Tabelle1722[[#This Row],[Belüftung]],Dropdown!$A$2:$D$4,4,FALSE)</f>
        <v>X</v>
      </c>
      <c r="Y15" s="57" t="str">
        <f>VLOOKUP(Tabelle1722[[#This Row],[Abwasserbehandlung]],Dropdown!$A$2:$D$4,4,FALSE)</f>
        <v>-</v>
      </c>
      <c r="Z15" s="57" t="str">
        <f>VLOOKUP(Tabelle1722[[#This Row],[Notstromaggregate, Back-Up-
Server und Mobilfunkstationen]],Dropdown!$A$2:$D$4,4,FALSE)</f>
        <v>X</v>
      </c>
      <c r="AA15" s="57" t="str">
        <f>VLOOKUP(Tabelle1722[[#This Row],[Prozesswärme]],Dropdown!$A$2:$D$4,4,FALSE)</f>
        <v>-</v>
      </c>
      <c r="AB15" s="57" t="str">
        <f>VLOOKUP(Tabelle1722[[#This Row],[Druckluft]],Dropdown!$A$2:$D$4,4,FALSE)</f>
        <v>-</v>
      </c>
      <c r="AC15" s="57" t="str">
        <f>VLOOKUP(Tabelle1722[[#This Row],[Rechenzentren]],Dropdown!$A$2:$D$4,4,FALSE)</f>
        <v>-</v>
      </c>
    </row>
    <row r="16" spans="1:29" x14ac:dyDescent="0.2">
      <c r="A16" s="6" t="str">
        <f>Tabelle1722[[#This Row],[Kurzbeleg]]</f>
        <v>Klo13</v>
      </c>
      <c r="B16" s="57" t="str">
        <f>VLOOKUP(Tabelle1722[[#This Row],[Büros und Textilbetriebe gesamt]],Dropdown!$A$2:$D$4,4,FALSE)</f>
        <v>-</v>
      </c>
      <c r="C16" s="57" t="str">
        <f>VLOOKUP(Tabelle1722[[#This Row],[Handel gesamt]],Dropdown!$A$2:$D$4,4,FALSE)</f>
        <v>-</v>
      </c>
      <c r="D16" s="57" t="str">
        <f>VLOOKUP(Tabelle1722[[#This Row],[Gastgewerbe gesamt]],Dropdown!$A$2:$D$4,4,FALSE)</f>
        <v>-</v>
      </c>
      <c r="E16" s="57" t="str">
        <f>VLOOKUP(Tabelle1722[[#This Row],[Landwirtschaft gesamt]],Dropdown!$A$2:$D$4,4,FALSE)</f>
        <v>-</v>
      </c>
      <c r="F16" s="57" t="str">
        <f>VLOOKUP(Tabelle1722[[#This Row],[Gartenbau gesamt]],Dropdown!$A$2:$D$4,4,FALSE)</f>
        <v>-</v>
      </c>
      <c r="G16" s="57" t="str">
        <f>VLOOKUP(Tabelle1722[[#This Row],[Bäder gesamt]],Dropdown!$A$2:$D$4,4,FALSE)</f>
        <v>-</v>
      </c>
      <c r="H16" s="57" t="str">
        <f>VLOOKUP(Tabelle1722[[#This Row],[Wäschereien gesamt]],Dropdown!$A$2:$D$4,4,FALSE)</f>
        <v>-</v>
      </c>
      <c r="I16" s="57" t="str">
        <f>VLOOKUP(Tabelle1722[[#This Row],[produzierendes Gewerbe gesamt]],Dropdown!$A$2:$D$4,4,FALSE)</f>
        <v>-</v>
      </c>
      <c r="J16" s="57" t="str">
        <f>VLOOKUP(Tabelle1722[[#This Row],[Baugewerbe gesamt]],Dropdown!$A$2:$D$4,4,FALSE)</f>
        <v>-</v>
      </c>
      <c r="K16" s="57" t="str">
        <f>VLOOKUP(Tabelle1722[[#This Row],[Prozesskälte]],Dropdown!$A$2:$D$4,4,FALSE)</f>
        <v>-</v>
      </c>
      <c r="L16" s="57" t="str">
        <f>VLOOKUP(Tabelle1722[[#This Row],[Kühlhäuser]],Dropdown!$A$2:$D$4,4,FALSE)</f>
        <v>-</v>
      </c>
      <c r="M16" s="57" t="str">
        <f>VLOOKUP(Tabelle1722[[#This Row],[Kühlung im 
Lebensmitteleinzelhandel]],Dropdown!$A$2:$D$4,4,FALSE)</f>
        <v>-</v>
      </c>
      <c r="N16" s="57" t="str">
        <f>VLOOKUP(Tabelle1722[[#This Row],[Kühlung im Gastronomiebereich 
(Hotels, Restaurants)]],Dropdown!$A$2:$D$4,4,FALSE)</f>
        <v>-</v>
      </c>
      <c r="O16" s="57" t="str">
        <f>VLOOKUP(Tabelle1722[[#This Row],[Klimakälte]],Dropdown!$A$2:$D$4,4,FALSE)</f>
        <v>-</v>
      </c>
      <c r="P16" s="57" t="str">
        <f>VLOOKUP(Tabelle1722[[#This Row],[Warmwasserbereitstellung]],Dropdown!$A$2:$D$4,4,FALSE)</f>
        <v>-</v>
      </c>
      <c r="Q16" s="57" t="str">
        <f>VLOOKUP(Tabelle1722[[#This Row],[Raumwärme 
(elektrische Raumheizung)]],Dropdown!$A$2:$D$4,4,FALSE)</f>
        <v>-</v>
      </c>
      <c r="R16" s="57" t="str">
        <f>VLOOKUP(Tabelle1722[[#This Row],[Nachtspeicherheizungen]],Dropdown!$A$2:$D$4,4,FALSE)</f>
        <v>-</v>
      </c>
      <c r="S16" s="57" t="str">
        <f>VLOOKUP(Tabelle1722[[#This Row],[Wärmepumpen]],Dropdown!$A$2:$D$4,4,FALSE)</f>
        <v>-</v>
      </c>
      <c r="T16" s="57" t="str">
        <f>VLOOKUP(Tabelle1722[[#This Row],[Hybrid-Wärmeerzeugungssysteme]],Dropdown!$A$2:$D$4,4,FALSE)</f>
        <v>-</v>
      </c>
      <c r="U16" s="57" t="str">
        <f>VLOOKUP(Tabelle1722[[#This Row],[Pumpenanwendungen]],Dropdown!$A$2:$D$4,4,FALSE)</f>
        <v>-</v>
      </c>
      <c r="V16" s="57" t="str">
        <f>VLOOKUP(Tabelle1722[[#This Row],[Pumpenanwendungen in der 
Wasserversorgung]],Dropdown!$A$2:$D$4,4,FALSE)</f>
        <v>-</v>
      </c>
      <c r="W16" s="57" t="str">
        <f>VLOOKUP(Tabelle1722[[#This Row],[Beleuchtung im Gartenbau]],Dropdown!$A$2:$D$4,4,FALSE)</f>
        <v>-</v>
      </c>
      <c r="X16" s="57" t="str">
        <f>VLOOKUP(Tabelle1722[[#This Row],[Belüftung]],Dropdown!$A$2:$D$4,4,FALSE)</f>
        <v>-</v>
      </c>
      <c r="Y16" s="57" t="str">
        <f>VLOOKUP(Tabelle1722[[#This Row],[Abwasserbehandlung]],Dropdown!$A$2:$D$4,4,FALSE)</f>
        <v>-</v>
      </c>
      <c r="Z16" s="57" t="str">
        <f>VLOOKUP(Tabelle1722[[#This Row],[Notstromaggregate, Back-Up-
Server und Mobilfunkstationen]],Dropdown!$A$2:$D$4,4,FALSE)</f>
        <v>-</v>
      </c>
      <c r="AA16" s="57" t="str">
        <f>VLOOKUP(Tabelle1722[[#This Row],[Prozesswärme]],Dropdown!$A$2:$D$4,4,FALSE)</f>
        <v>-</v>
      </c>
      <c r="AB16" s="57" t="str">
        <f>VLOOKUP(Tabelle1722[[#This Row],[Druckluft]],Dropdown!$A$2:$D$4,4,FALSE)</f>
        <v>-</v>
      </c>
      <c r="AC16" s="57" t="str">
        <f>VLOOKUP(Tabelle1722[[#This Row],[Rechenzentren]],Dropdown!$A$2:$D$4,4,FALSE)</f>
        <v>-</v>
      </c>
    </row>
    <row r="17" spans="1:29" x14ac:dyDescent="0.2">
      <c r="A17" s="6" t="str">
        <f>Tabelle1722[[#This Row],[Kurzbeleg]]</f>
        <v>Krz13</v>
      </c>
      <c r="B17" s="57" t="str">
        <f>VLOOKUP(Tabelle1722[[#This Row],[Büros und Textilbetriebe gesamt]],Dropdown!$A$2:$D$4,4,FALSE)</f>
        <v>-</v>
      </c>
      <c r="C17" s="57" t="str">
        <f>VLOOKUP(Tabelle1722[[#This Row],[Handel gesamt]],Dropdown!$A$2:$D$4,4,FALSE)</f>
        <v>-</v>
      </c>
      <c r="D17" s="57" t="str">
        <f>VLOOKUP(Tabelle1722[[#This Row],[Gastgewerbe gesamt]],Dropdown!$A$2:$D$4,4,FALSE)</f>
        <v>-</v>
      </c>
      <c r="E17" s="57" t="str">
        <f>VLOOKUP(Tabelle1722[[#This Row],[Landwirtschaft gesamt]],Dropdown!$A$2:$D$4,4,FALSE)</f>
        <v>-</v>
      </c>
      <c r="F17" s="57" t="str">
        <f>VLOOKUP(Tabelle1722[[#This Row],[Gartenbau gesamt]],Dropdown!$A$2:$D$4,4,FALSE)</f>
        <v>-</v>
      </c>
      <c r="G17" s="57" t="str">
        <f>VLOOKUP(Tabelle1722[[#This Row],[Bäder gesamt]],Dropdown!$A$2:$D$4,4,FALSE)</f>
        <v>-</v>
      </c>
      <c r="H17" s="57" t="str">
        <f>VLOOKUP(Tabelle1722[[#This Row],[Wäschereien gesamt]],Dropdown!$A$2:$D$4,4,FALSE)</f>
        <v>-</v>
      </c>
      <c r="I17" s="57" t="str">
        <f>VLOOKUP(Tabelle1722[[#This Row],[produzierendes Gewerbe gesamt]],Dropdown!$A$2:$D$4,4,FALSE)</f>
        <v>-</v>
      </c>
      <c r="J17" s="57" t="str">
        <f>VLOOKUP(Tabelle1722[[#This Row],[Baugewerbe gesamt]],Dropdown!$A$2:$D$4,4,FALSE)</f>
        <v>-</v>
      </c>
      <c r="K17" s="57" t="str">
        <f>VLOOKUP(Tabelle1722[[#This Row],[Prozesskälte]],Dropdown!$A$2:$D$4,4,FALSE)</f>
        <v>-</v>
      </c>
      <c r="L17" s="57" t="str">
        <f>VLOOKUP(Tabelle1722[[#This Row],[Kühlhäuser]],Dropdown!$A$2:$D$4,4,FALSE)</f>
        <v>-</v>
      </c>
      <c r="M17" s="57" t="str">
        <f>VLOOKUP(Tabelle1722[[#This Row],[Kühlung im 
Lebensmitteleinzelhandel]],Dropdown!$A$2:$D$4,4,FALSE)</f>
        <v>-</v>
      </c>
      <c r="N17" s="57" t="str">
        <f>VLOOKUP(Tabelle1722[[#This Row],[Kühlung im Gastronomiebereich 
(Hotels, Restaurants)]],Dropdown!$A$2:$D$4,4,FALSE)</f>
        <v>-</v>
      </c>
      <c r="O17" s="57" t="str">
        <f>VLOOKUP(Tabelle1722[[#This Row],[Klimakälte]],Dropdown!$A$2:$D$4,4,FALSE)</f>
        <v>-</v>
      </c>
      <c r="P17" s="57" t="str">
        <f>VLOOKUP(Tabelle1722[[#This Row],[Warmwasserbereitstellung]],Dropdown!$A$2:$D$4,4,FALSE)</f>
        <v>-</v>
      </c>
      <c r="Q17" s="57" t="str">
        <f>VLOOKUP(Tabelle1722[[#This Row],[Raumwärme 
(elektrische Raumheizung)]],Dropdown!$A$2:$D$4,4,FALSE)</f>
        <v>-</v>
      </c>
      <c r="R17" s="57" t="str">
        <f>VLOOKUP(Tabelle1722[[#This Row],[Nachtspeicherheizungen]],Dropdown!$A$2:$D$4,4,FALSE)</f>
        <v>-</v>
      </c>
      <c r="S17" s="57" t="str">
        <f>VLOOKUP(Tabelle1722[[#This Row],[Wärmepumpen]],Dropdown!$A$2:$D$4,4,FALSE)</f>
        <v>-</v>
      </c>
      <c r="T17" s="57" t="str">
        <f>VLOOKUP(Tabelle1722[[#This Row],[Hybrid-Wärmeerzeugungssysteme]],Dropdown!$A$2:$D$4,4,FALSE)</f>
        <v>-</v>
      </c>
      <c r="U17" s="57" t="str">
        <f>VLOOKUP(Tabelle1722[[#This Row],[Pumpenanwendungen]],Dropdown!$A$2:$D$4,4,FALSE)</f>
        <v>-</v>
      </c>
      <c r="V17" s="57" t="str">
        <f>VLOOKUP(Tabelle1722[[#This Row],[Pumpenanwendungen in der 
Wasserversorgung]],Dropdown!$A$2:$D$4,4,FALSE)</f>
        <v>-</v>
      </c>
      <c r="W17" s="57" t="str">
        <f>VLOOKUP(Tabelle1722[[#This Row],[Beleuchtung im Gartenbau]],Dropdown!$A$2:$D$4,4,FALSE)</f>
        <v>-</v>
      </c>
      <c r="X17" s="57" t="str">
        <f>VLOOKUP(Tabelle1722[[#This Row],[Belüftung]],Dropdown!$A$2:$D$4,4,FALSE)</f>
        <v>-</v>
      </c>
      <c r="Y17" s="57" t="str">
        <f>VLOOKUP(Tabelle1722[[#This Row],[Abwasserbehandlung]],Dropdown!$A$2:$D$4,4,FALSE)</f>
        <v>-</v>
      </c>
      <c r="Z17" s="57" t="str">
        <f>VLOOKUP(Tabelle1722[[#This Row],[Notstromaggregate, Back-Up-
Server und Mobilfunkstationen]],Dropdown!$A$2:$D$4,4,FALSE)</f>
        <v>-</v>
      </c>
      <c r="AA17" s="57" t="str">
        <f>VLOOKUP(Tabelle1722[[#This Row],[Prozesswärme]],Dropdown!$A$2:$D$4,4,FALSE)</f>
        <v>-</v>
      </c>
      <c r="AB17" s="57" t="str">
        <f>VLOOKUP(Tabelle1722[[#This Row],[Druckluft]],Dropdown!$A$2:$D$4,4,FALSE)</f>
        <v>-</v>
      </c>
      <c r="AC17" s="57" t="str">
        <f>VLOOKUP(Tabelle1722[[#This Row],[Rechenzentren]],Dropdown!$A$2:$D$4,4,FALSE)</f>
        <v>-</v>
      </c>
    </row>
    <row r="18" spans="1:29" x14ac:dyDescent="0.2">
      <c r="A18" s="6" t="str">
        <f>Tabelle1722[[#This Row],[Kurzbeleg]]</f>
        <v>Lad18</v>
      </c>
      <c r="B18" s="57" t="str">
        <f>VLOOKUP(Tabelle1722[[#This Row],[Büros und Textilbetriebe gesamt]],Dropdown!$A$2:$D$4,4,FALSE)</f>
        <v>-</v>
      </c>
      <c r="C18" s="57" t="str">
        <f>VLOOKUP(Tabelle1722[[#This Row],[Handel gesamt]],Dropdown!$A$2:$D$4,4,FALSE)</f>
        <v>-</v>
      </c>
      <c r="D18" s="57" t="str">
        <f>VLOOKUP(Tabelle1722[[#This Row],[Gastgewerbe gesamt]],Dropdown!$A$2:$D$4,4,FALSE)</f>
        <v>-</v>
      </c>
      <c r="E18" s="57" t="str">
        <f>VLOOKUP(Tabelle1722[[#This Row],[Landwirtschaft gesamt]],Dropdown!$A$2:$D$4,4,FALSE)</f>
        <v>-</v>
      </c>
      <c r="F18" s="57" t="str">
        <f>VLOOKUP(Tabelle1722[[#This Row],[Gartenbau gesamt]],Dropdown!$A$2:$D$4,4,FALSE)</f>
        <v>-</v>
      </c>
      <c r="G18" s="57" t="str">
        <f>VLOOKUP(Tabelle1722[[#This Row],[Bäder gesamt]],Dropdown!$A$2:$D$4,4,FALSE)</f>
        <v>-</v>
      </c>
      <c r="H18" s="57" t="str">
        <f>VLOOKUP(Tabelle1722[[#This Row],[Wäschereien gesamt]],Dropdown!$A$2:$D$4,4,FALSE)</f>
        <v>-</v>
      </c>
      <c r="I18" s="57" t="str">
        <f>VLOOKUP(Tabelle1722[[#This Row],[produzierendes Gewerbe gesamt]],Dropdown!$A$2:$D$4,4,FALSE)</f>
        <v>-</v>
      </c>
      <c r="J18" s="57" t="str">
        <f>VLOOKUP(Tabelle1722[[#This Row],[Baugewerbe gesamt]],Dropdown!$A$2:$D$4,4,FALSE)</f>
        <v>-</v>
      </c>
      <c r="K18" s="57" t="str">
        <f>VLOOKUP(Tabelle1722[[#This Row],[Prozesskälte]],Dropdown!$A$2:$D$4,4,FALSE)</f>
        <v>X</v>
      </c>
      <c r="L18" s="57" t="str">
        <f>VLOOKUP(Tabelle1722[[#This Row],[Kühlhäuser]],Dropdown!$A$2:$D$4,4,FALSE)</f>
        <v>-</v>
      </c>
      <c r="M18" s="57" t="str">
        <f>VLOOKUP(Tabelle1722[[#This Row],[Kühlung im 
Lebensmitteleinzelhandel]],Dropdown!$A$2:$D$4,4,FALSE)</f>
        <v>-</v>
      </c>
      <c r="N18" s="57" t="str">
        <f>VLOOKUP(Tabelle1722[[#This Row],[Kühlung im Gastronomiebereich 
(Hotels, Restaurants)]],Dropdown!$A$2:$D$4,4,FALSE)</f>
        <v>-</v>
      </c>
      <c r="O18" s="57" t="str">
        <f>VLOOKUP(Tabelle1722[[#This Row],[Klimakälte]],Dropdown!$A$2:$D$4,4,FALSE)</f>
        <v>X</v>
      </c>
      <c r="P18" s="57" t="str">
        <f>VLOOKUP(Tabelle1722[[#This Row],[Warmwasserbereitstellung]],Dropdown!$A$2:$D$4,4,FALSE)</f>
        <v>-</v>
      </c>
      <c r="Q18" s="57" t="str">
        <f>VLOOKUP(Tabelle1722[[#This Row],[Raumwärme 
(elektrische Raumheizung)]],Dropdown!$A$2:$D$4,4,FALSE)</f>
        <v>-</v>
      </c>
      <c r="R18" s="57" t="str">
        <f>VLOOKUP(Tabelle1722[[#This Row],[Nachtspeicherheizungen]],Dropdown!$A$2:$D$4,4,FALSE)</f>
        <v>X</v>
      </c>
      <c r="S18" s="57" t="str">
        <f>VLOOKUP(Tabelle1722[[#This Row],[Wärmepumpen]],Dropdown!$A$2:$D$4,4,FALSE)</f>
        <v>X</v>
      </c>
      <c r="T18" s="57" t="str">
        <f>VLOOKUP(Tabelle1722[[#This Row],[Hybrid-Wärmeerzeugungssysteme]],Dropdown!$A$2:$D$4,4,FALSE)</f>
        <v>-</v>
      </c>
      <c r="U18" s="57" t="str">
        <f>VLOOKUP(Tabelle1722[[#This Row],[Pumpenanwendungen]],Dropdown!$A$2:$D$4,4,FALSE)</f>
        <v>-</v>
      </c>
      <c r="V18" s="57" t="str">
        <f>VLOOKUP(Tabelle1722[[#This Row],[Pumpenanwendungen in der 
Wasserversorgung]],Dropdown!$A$2:$D$4,4,FALSE)</f>
        <v>-</v>
      </c>
      <c r="W18" s="57" t="str">
        <f>VLOOKUP(Tabelle1722[[#This Row],[Beleuchtung im Gartenbau]],Dropdown!$A$2:$D$4,4,FALSE)</f>
        <v>-</v>
      </c>
      <c r="X18" s="57" t="str">
        <f>VLOOKUP(Tabelle1722[[#This Row],[Belüftung]],Dropdown!$A$2:$D$4,4,FALSE)</f>
        <v>X</v>
      </c>
      <c r="Y18" s="57" t="str">
        <f>VLOOKUP(Tabelle1722[[#This Row],[Abwasserbehandlung]],Dropdown!$A$2:$D$4,4,FALSE)</f>
        <v>-</v>
      </c>
      <c r="Z18" s="57" t="str">
        <f>VLOOKUP(Tabelle1722[[#This Row],[Notstromaggregate, Back-Up-
Server und Mobilfunkstationen]],Dropdown!$A$2:$D$4,4,FALSE)</f>
        <v>-</v>
      </c>
      <c r="AA18" s="57" t="str">
        <f>VLOOKUP(Tabelle1722[[#This Row],[Prozesswärme]],Dropdown!$A$2:$D$4,4,FALSE)</f>
        <v>-</v>
      </c>
      <c r="AB18" s="57" t="str">
        <f>VLOOKUP(Tabelle1722[[#This Row],[Druckluft]],Dropdown!$A$2:$D$4,4,FALSE)</f>
        <v>-</v>
      </c>
      <c r="AC18" s="57" t="str">
        <f>VLOOKUP(Tabelle1722[[#This Row],[Rechenzentren]],Dropdown!$A$2:$D$4,4,FALSE)</f>
        <v>-</v>
      </c>
    </row>
    <row r="19" spans="1:29" x14ac:dyDescent="0.2">
      <c r="A19" s="6" t="str">
        <f>Tabelle1722[[#This Row],[Kurzbeleg]]</f>
        <v>Lan15</v>
      </c>
      <c r="B19" s="57" t="str">
        <f>VLOOKUP(Tabelle1722[[#This Row],[Büros und Textilbetriebe gesamt]],Dropdown!$A$2:$D$4,4,FALSE)</f>
        <v>-</v>
      </c>
      <c r="C19" s="57" t="str">
        <f>VLOOKUP(Tabelle1722[[#This Row],[Handel gesamt]],Dropdown!$A$2:$D$4,4,FALSE)</f>
        <v>-</v>
      </c>
      <c r="D19" s="57" t="str">
        <f>VLOOKUP(Tabelle1722[[#This Row],[Gastgewerbe gesamt]],Dropdown!$A$2:$D$4,4,FALSE)</f>
        <v>-</v>
      </c>
      <c r="E19" s="57" t="str">
        <f>VLOOKUP(Tabelle1722[[#This Row],[Landwirtschaft gesamt]],Dropdown!$A$2:$D$4,4,FALSE)</f>
        <v>-</v>
      </c>
      <c r="F19" s="57" t="str">
        <f>VLOOKUP(Tabelle1722[[#This Row],[Gartenbau gesamt]],Dropdown!$A$2:$D$4,4,FALSE)</f>
        <v>-</v>
      </c>
      <c r="G19" s="57" t="str">
        <f>VLOOKUP(Tabelle1722[[#This Row],[Bäder gesamt]],Dropdown!$A$2:$D$4,4,FALSE)</f>
        <v>-</v>
      </c>
      <c r="H19" s="57" t="str">
        <f>VLOOKUP(Tabelle1722[[#This Row],[Wäschereien gesamt]],Dropdown!$A$2:$D$4,4,FALSE)</f>
        <v>-</v>
      </c>
      <c r="I19" s="57" t="str">
        <f>VLOOKUP(Tabelle1722[[#This Row],[produzierendes Gewerbe gesamt]],Dropdown!$A$2:$D$4,4,FALSE)</f>
        <v>-</v>
      </c>
      <c r="J19" s="57" t="str">
        <f>VLOOKUP(Tabelle1722[[#This Row],[Baugewerbe gesamt]],Dropdown!$A$2:$D$4,4,FALSE)</f>
        <v>-</v>
      </c>
      <c r="K19" s="57" t="str">
        <f>VLOOKUP(Tabelle1722[[#This Row],[Prozesskälte]],Dropdown!$A$2:$D$4,4,FALSE)</f>
        <v>-</v>
      </c>
      <c r="L19" s="57" t="str">
        <f>VLOOKUP(Tabelle1722[[#This Row],[Kühlhäuser]],Dropdown!$A$2:$D$4,4,FALSE)</f>
        <v>-</v>
      </c>
      <c r="M19" s="57" t="str">
        <f>VLOOKUP(Tabelle1722[[#This Row],[Kühlung im 
Lebensmitteleinzelhandel]],Dropdown!$A$2:$D$4,4,FALSE)</f>
        <v>-</v>
      </c>
      <c r="N19" s="57" t="str">
        <f>VLOOKUP(Tabelle1722[[#This Row],[Kühlung im Gastronomiebereich 
(Hotels, Restaurants)]],Dropdown!$A$2:$D$4,4,FALSE)</f>
        <v>-</v>
      </c>
      <c r="O19" s="57" t="str">
        <f>VLOOKUP(Tabelle1722[[#This Row],[Klimakälte]],Dropdown!$A$2:$D$4,4,FALSE)</f>
        <v>-</v>
      </c>
      <c r="P19" s="57" t="str">
        <f>VLOOKUP(Tabelle1722[[#This Row],[Warmwasserbereitstellung]],Dropdown!$A$2:$D$4,4,FALSE)</f>
        <v>-</v>
      </c>
      <c r="Q19" s="57" t="str">
        <f>VLOOKUP(Tabelle1722[[#This Row],[Raumwärme 
(elektrische Raumheizung)]],Dropdown!$A$2:$D$4,4,FALSE)</f>
        <v>-</v>
      </c>
      <c r="R19" s="57" t="str">
        <f>VLOOKUP(Tabelle1722[[#This Row],[Nachtspeicherheizungen]],Dropdown!$A$2:$D$4,4,FALSE)</f>
        <v>-</v>
      </c>
      <c r="S19" s="57" t="str">
        <f>VLOOKUP(Tabelle1722[[#This Row],[Wärmepumpen]],Dropdown!$A$2:$D$4,4,FALSE)</f>
        <v>-</v>
      </c>
      <c r="T19" s="57" t="str">
        <f>VLOOKUP(Tabelle1722[[#This Row],[Hybrid-Wärmeerzeugungssysteme]],Dropdown!$A$2:$D$4,4,FALSE)</f>
        <v>-</v>
      </c>
      <c r="U19" s="57" t="str">
        <f>VLOOKUP(Tabelle1722[[#This Row],[Pumpenanwendungen]],Dropdown!$A$2:$D$4,4,FALSE)</f>
        <v>-</v>
      </c>
      <c r="V19" s="57" t="str">
        <f>VLOOKUP(Tabelle1722[[#This Row],[Pumpenanwendungen in der 
Wasserversorgung]],Dropdown!$A$2:$D$4,4,FALSE)</f>
        <v>-</v>
      </c>
      <c r="W19" s="57" t="str">
        <f>VLOOKUP(Tabelle1722[[#This Row],[Beleuchtung im Gartenbau]],Dropdown!$A$2:$D$4,4,FALSE)</f>
        <v>-</v>
      </c>
      <c r="X19" s="57" t="str">
        <f>VLOOKUP(Tabelle1722[[#This Row],[Belüftung]],Dropdown!$A$2:$D$4,4,FALSE)</f>
        <v>-</v>
      </c>
      <c r="Y19" s="57" t="str">
        <f>VLOOKUP(Tabelle1722[[#This Row],[Abwasserbehandlung]],Dropdown!$A$2:$D$4,4,FALSE)</f>
        <v>-</v>
      </c>
      <c r="Z19" s="57" t="str">
        <f>VLOOKUP(Tabelle1722[[#This Row],[Notstromaggregate, Back-Up-
Server und Mobilfunkstationen]],Dropdown!$A$2:$D$4,4,FALSE)</f>
        <v>-</v>
      </c>
      <c r="AA19" s="57" t="str">
        <f>VLOOKUP(Tabelle1722[[#This Row],[Prozesswärme]],Dropdown!$A$2:$D$4,4,FALSE)</f>
        <v>-</v>
      </c>
      <c r="AB19" s="57" t="str">
        <f>VLOOKUP(Tabelle1722[[#This Row],[Druckluft]],Dropdown!$A$2:$D$4,4,FALSE)</f>
        <v>-</v>
      </c>
      <c r="AC19" s="57" t="str">
        <f>VLOOKUP(Tabelle1722[[#This Row],[Rechenzentren]],Dropdown!$A$2:$D$4,4,FALSE)</f>
        <v>-</v>
      </c>
    </row>
    <row r="20" spans="1:29" x14ac:dyDescent="0.2">
      <c r="A20" s="6" t="str">
        <f>Tabelle1722[[#This Row],[Kurzbeleg]]</f>
        <v>Lie15</v>
      </c>
      <c r="B20" s="57" t="str">
        <f>VLOOKUP(Tabelle1722[[#This Row],[Büros und Textilbetriebe gesamt]],Dropdown!$A$2:$D$4,4,FALSE)</f>
        <v>-</v>
      </c>
      <c r="C20" s="57" t="str">
        <f>VLOOKUP(Tabelle1722[[#This Row],[Handel gesamt]],Dropdown!$A$2:$D$4,4,FALSE)</f>
        <v>-</v>
      </c>
      <c r="D20" s="57" t="str">
        <f>VLOOKUP(Tabelle1722[[#This Row],[Gastgewerbe gesamt]],Dropdown!$A$2:$D$4,4,FALSE)</f>
        <v>-</v>
      </c>
      <c r="E20" s="57" t="str">
        <f>VLOOKUP(Tabelle1722[[#This Row],[Landwirtschaft gesamt]],Dropdown!$A$2:$D$4,4,FALSE)</f>
        <v>-</v>
      </c>
      <c r="F20" s="57" t="str">
        <f>VLOOKUP(Tabelle1722[[#This Row],[Gartenbau gesamt]],Dropdown!$A$2:$D$4,4,FALSE)</f>
        <v>-</v>
      </c>
      <c r="G20" s="57" t="str">
        <f>VLOOKUP(Tabelle1722[[#This Row],[Bäder gesamt]],Dropdown!$A$2:$D$4,4,FALSE)</f>
        <v>-</v>
      </c>
      <c r="H20" s="57" t="str">
        <f>VLOOKUP(Tabelle1722[[#This Row],[Wäschereien gesamt]],Dropdown!$A$2:$D$4,4,FALSE)</f>
        <v>-</v>
      </c>
      <c r="I20" s="57" t="str">
        <f>VLOOKUP(Tabelle1722[[#This Row],[produzierendes Gewerbe gesamt]],Dropdown!$A$2:$D$4,4,FALSE)</f>
        <v>-</v>
      </c>
      <c r="J20" s="57" t="str">
        <f>VLOOKUP(Tabelle1722[[#This Row],[Baugewerbe gesamt]],Dropdown!$A$2:$D$4,4,FALSE)</f>
        <v>-</v>
      </c>
      <c r="K20" s="57" t="str">
        <f>VLOOKUP(Tabelle1722[[#This Row],[Prozesskälte]],Dropdown!$A$2:$D$4,4,FALSE)</f>
        <v>-</v>
      </c>
      <c r="L20" s="57" t="str">
        <f>VLOOKUP(Tabelle1722[[#This Row],[Kühlhäuser]],Dropdown!$A$2:$D$4,4,FALSE)</f>
        <v>-</v>
      </c>
      <c r="M20" s="57" t="str">
        <f>VLOOKUP(Tabelle1722[[#This Row],[Kühlung im 
Lebensmitteleinzelhandel]],Dropdown!$A$2:$D$4,4,FALSE)</f>
        <v>-</v>
      </c>
      <c r="N20" s="57" t="str">
        <f>VLOOKUP(Tabelle1722[[#This Row],[Kühlung im Gastronomiebereich 
(Hotels, Restaurants)]],Dropdown!$A$2:$D$4,4,FALSE)</f>
        <v>-</v>
      </c>
      <c r="O20" s="57" t="str">
        <f>VLOOKUP(Tabelle1722[[#This Row],[Klimakälte]],Dropdown!$A$2:$D$4,4,FALSE)</f>
        <v>-</v>
      </c>
      <c r="P20" s="57" t="str">
        <f>VLOOKUP(Tabelle1722[[#This Row],[Warmwasserbereitstellung]],Dropdown!$A$2:$D$4,4,FALSE)</f>
        <v>-</v>
      </c>
      <c r="Q20" s="57" t="str">
        <f>VLOOKUP(Tabelle1722[[#This Row],[Raumwärme 
(elektrische Raumheizung)]],Dropdown!$A$2:$D$4,4,FALSE)</f>
        <v>-</v>
      </c>
      <c r="R20" s="57" t="str">
        <f>VLOOKUP(Tabelle1722[[#This Row],[Nachtspeicherheizungen]],Dropdown!$A$2:$D$4,4,FALSE)</f>
        <v>-</v>
      </c>
      <c r="S20" s="57" t="str">
        <f>VLOOKUP(Tabelle1722[[#This Row],[Wärmepumpen]],Dropdown!$A$2:$D$4,4,FALSE)</f>
        <v>-</v>
      </c>
      <c r="T20" s="57" t="str">
        <f>VLOOKUP(Tabelle1722[[#This Row],[Hybrid-Wärmeerzeugungssysteme]],Dropdown!$A$2:$D$4,4,FALSE)</f>
        <v>-</v>
      </c>
      <c r="U20" s="57" t="str">
        <f>VLOOKUP(Tabelle1722[[#This Row],[Pumpenanwendungen]],Dropdown!$A$2:$D$4,4,FALSE)</f>
        <v>-</v>
      </c>
      <c r="V20" s="57" t="str">
        <f>VLOOKUP(Tabelle1722[[#This Row],[Pumpenanwendungen in der 
Wasserversorgung]],Dropdown!$A$2:$D$4,4,FALSE)</f>
        <v>-</v>
      </c>
      <c r="W20" s="57" t="str">
        <f>VLOOKUP(Tabelle1722[[#This Row],[Beleuchtung im Gartenbau]],Dropdown!$A$2:$D$4,4,FALSE)</f>
        <v>-</v>
      </c>
      <c r="X20" s="57" t="str">
        <f>VLOOKUP(Tabelle1722[[#This Row],[Belüftung]],Dropdown!$A$2:$D$4,4,FALSE)</f>
        <v>-</v>
      </c>
      <c r="Y20" s="57" t="str">
        <f>VLOOKUP(Tabelle1722[[#This Row],[Abwasserbehandlung]],Dropdown!$A$2:$D$4,4,FALSE)</f>
        <v>-</v>
      </c>
      <c r="Z20" s="57" t="str">
        <f>VLOOKUP(Tabelle1722[[#This Row],[Notstromaggregate, Back-Up-
Server und Mobilfunkstationen]],Dropdown!$A$2:$D$4,4,FALSE)</f>
        <v>-</v>
      </c>
      <c r="AA20" s="57" t="str">
        <f>VLOOKUP(Tabelle1722[[#This Row],[Prozesswärme]],Dropdown!$A$2:$D$4,4,FALSE)</f>
        <v>-</v>
      </c>
      <c r="AB20" s="57" t="str">
        <f>VLOOKUP(Tabelle1722[[#This Row],[Druckluft]],Dropdown!$A$2:$D$4,4,FALSE)</f>
        <v>-</v>
      </c>
      <c r="AC20" s="57" t="str">
        <f>VLOOKUP(Tabelle1722[[#This Row],[Rechenzentren]],Dropdown!$A$2:$D$4,4,FALSE)</f>
        <v>-</v>
      </c>
    </row>
    <row r="21" spans="1:29" x14ac:dyDescent="0.2">
      <c r="A21" s="6" t="str">
        <f>Tabelle1722[[#This Row],[Kurzbeleg]]</f>
        <v>Mae18</v>
      </c>
      <c r="B21" s="57" t="str">
        <f>VLOOKUP(Tabelle1722[[#This Row],[Büros und Textilbetriebe gesamt]],Dropdown!$A$2:$D$4,4,FALSE)</f>
        <v>-</v>
      </c>
      <c r="C21" s="57" t="str">
        <f>VLOOKUP(Tabelle1722[[#This Row],[Handel gesamt]],Dropdown!$A$2:$D$4,4,FALSE)</f>
        <v>-</v>
      </c>
      <c r="D21" s="57" t="str">
        <f>VLOOKUP(Tabelle1722[[#This Row],[Gastgewerbe gesamt]],Dropdown!$A$2:$D$4,4,FALSE)</f>
        <v>-</v>
      </c>
      <c r="E21" s="57" t="str">
        <f>VLOOKUP(Tabelle1722[[#This Row],[Landwirtschaft gesamt]],Dropdown!$A$2:$D$4,4,FALSE)</f>
        <v>-</v>
      </c>
      <c r="F21" s="57" t="str">
        <f>VLOOKUP(Tabelle1722[[#This Row],[Gartenbau gesamt]],Dropdown!$A$2:$D$4,4,FALSE)</f>
        <v>-</v>
      </c>
      <c r="G21" s="57" t="str">
        <f>VLOOKUP(Tabelle1722[[#This Row],[Bäder gesamt]],Dropdown!$A$2:$D$4,4,FALSE)</f>
        <v>-</v>
      </c>
      <c r="H21" s="57" t="str">
        <f>VLOOKUP(Tabelle1722[[#This Row],[Wäschereien gesamt]],Dropdown!$A$2:$D$4,4,FALSE)</f>
        <v>-</v>
      </c>
      <c r="I21" s="57" t="str">
        <f>VLOOKUP(Tabelle1722[[#This Row],[produzierendes Gewerbe gesamt]],Dropdown!$A$2:$D$4,4,FALSE)</f>
        <v>-</v>
      </c>
      <c r="J21" s="57" t="str">
        <f>VLOOKUP(Tabelle1722[[#This Row],[Baugewerbe gesamt]],Dropdown!$A$2:$D$4,4,FALSE)</f>
        <v>-</v>
      </c>
      <c r="K21" s="57" t="str">
        <f>VLOOKUP(Tabelle1722[[#This Row],[Prozesskälte]],Dropdown!$A$2:$D$4,4,FALSE)</f>
        <v>-</v>
      </c>
      <c r="L21" s="57" t="str">
        <f>VLOOKUP(Tabelle1722[[#This Row],[Kühlhäuser]],Dropdown!$A$2:$D$4,4,FALSE)</f>
        <v>-</v>
      </c>
      <c r="M21" s="57" t="str">
        <f>VLOOKUP(Tabelle1722[[#This Row],[Kühlung im 
Lebensmitteleinzelhandel]],Dropdown!$A$2:$D$4,4,FALSE)</f>
        <v>X</v>
      </c>
      <c r="N21" s="57" t="str">
        <f>VLOOKUP(Tabelle1722[[#This Row],[Kühlung im Gastronomiebereich 
(Hotels, Restaurants)]],Dropdown!$A$2:$D$4,4,FALSE)</f>
        <v>-</v>
      </c>
      <c r="O21" s="57" t="str">
        <f>VLOOKUP(Tabelle1722[[#This Row],[Klimakälte]],Dropdown!$A$2:$D$4,4,FALSE)</f>
        <v>-</v>
      </c>
      <c r="P21" s="57" t="str">
        <f>VLOOKUP(Tabelle1722[[#This Row],[Warmwasserbereitstellung]],Dropdown!$A$2:$D$4,4,FALSE)</f>
        <v>-</v>
      </c>
      <c r="Q21" s="57" t="str">
        <f>VLOOKUP(Tabelle1722[[#This Row],[Raumwärme 
(elektrische Raumheizung)]],Dropdown!$A$2:$D$4,4,FALSE)</f>
        <v>-</v>
      </c>
      <c r="R21" s="57" t="str">
        <f>VLOOKUP(Tabelle1722[[#This Row],[Nachtspeicherheizungen]],Dropdown!$A$2:$D$4,4,FALSE)</f>
        <v>-</v>
      </c>
      <c r="S21" s="57" t="str">
        <f>VLOOKUP(Tabelle1722[[#This Row],[Wärmepumpen]],Dropdown!$A$2:$D$4,4,FALSE)</f>
        <v>-</v>
      </c>
      <c r="T21" s="57" t="str">
        <f>VLOOKUP(Tabelle1722[[#This Row],[Hybrid-Wärmeerzeugungssysteme]],Dropdown!$A$2:$D$4,4,FALSE)</f>
        <v>-</v>
      </c>
      <c r="U21" s="57" t="str">
        <f>VLOOKUP(Tabelle1722[[#This Row],[Pumpenanwendungen]],Dropdown!$A$2:$D$4,4,FALSE)</f>
        <v>-</v>
      </c>
      <c r="V21" s="57" t="str">
        <f>VLOOKUP(Tabelle1722[[#This Row],[Pumpenanwendungen in der 
Wasserversorgung]],Dropdown!$A$2:$D$4,4,FALSE)</f>
        <v>-</v>
      </c>
      <c r="W21" s="57" t="str">
        <f>VLOOKUP(Tabelle1722[[#This Row],[Beleuchtung im Gartenbau]],Dropdown!$A$2:$D$4,4,FALSE)</f>
        <v>-</v>
      </c>
      <c r="X21" s="57" t="str">
        <f>VLOOKUP(Tabelle1722[[#This Row],[Belüftung]],Dropdown!$A$2:$D$4,4,FALSE)</f>
        <v>-</v>
      </c>
      <c r="Y21" s="57" t="str">
        <f>VLOOKUP(Tabelle1722[[#This Row],[Abwasserbehandlung]],Dropdown!$A$2:$D$4,4,FALSE)</f>
        <v>-</v>
      </c>
      <c r="Z21" s="57" t="str">
        <f>VLOOKUP(Tabelle1722[[#This Row],[Notstromaggregate, Back-Up-
Server und Mobilfunkstationen]],Dropdown!$A$2:$D$4,4,FALSE)</f>
        <v>-</v>
      </c>
      <c r="AA21" s="57" t="str">
        <f>VLOOKUP(Tabelle1722[[#This Row],[Prozesswärme]],Dropdown!$A$2:$D$4,4,FALSE)</f>
        <v>-</v>
      </c>
      <c r="AB21" s="57" t="str">
        <f>VLOOKUP(Tabelle1722[[#This Row],[Druckluft]],Dropdown!$A$2:$D$4,4,FALSE)</f>
        <v>-</v>
      </c>
      <c r="AC21" s="57" t="str">
        <f>VLOOKUP(Tabelle1722[[#This Row],[Rechenzentren]],Dropdown!$A$2:$D$4,4,FALSE)</f>
        <v>-</v>
      </c>
    </row>
    <row r="22" spans="1:29" x14ac:dyDescent="0.2">
      <c r="A22" s="6" t="str">
        <f>Tabelle1722[[#This Row],[Kurzbeleg]]</f>
        <v>Mol10</v>
      </c>
      <c r="B22" s="57" t="str">
        <f>VLOOKUP(Tabelle1722[[#This Row],[Büros und Textilbetriebe gesamt]],Dropdown!$A$2:$D$4,4,FALSE)</f>
        <v>-</v>
      </c>
      <c r="C22" s="57" t="str">
        <f>VLOOKUP(Tabelle1722[[#This Row],[Handel gesamt]],Dropdown!$A$2:$D$4,4,FALSE)</f>
        <v>-</v>
      </c>
      <c r="D22" s="57" t="str">
        <f>VLOOKUP(Tabelle1722[[#This Row],[Gastgewerbe gesamt]],Dropdown!$A$2:$D$4,4,FALSE)</f>
        <v>-</v>
      </c>
      <c r="E22" s="57" t="str">
        <f>VLOOKUP(Tabelle1722[[#This Row],[Landwirtschaft gesamt]],Dropdown!$A$2:$D$4,4,FALSE)</f>
        <v>-</v>
      </c>
      <c r="F22" s="57" t="str">
        <f>VLOOKUP(Tabelle1722[[#This Row],[Gartenbau gesamt]],Dropdown!$A$2:$D$4,4,FALSE)</f>
        <v>-</v>
      </c>
      <c r="G22" s="57" t="str">
        <f>VLOOKUP(Tabelle1722[[#This Row],[Bäder gesamt]],Dropdown!$A$2:$D$4,4,FALSE)</f>
        <v>-</v>
      </c>
      <c r="H22" s="57" t="str">
        <f>VLOOKUP(Tabelle1722[[#This Row],[Wäschereien gesamt]],Dropdown!$A$2:$D$4,4,FALSE)</f>
        <v>-</v>
      </c>
      <c r="I22" s="57" t="str">
        <f>VLOOKUP(Tabelle1722[[#This Row],[produzierendes Gewerbe gesamt]],Dropdown!$A$2:$D$4,4,FALSE)</f>
        <v>-</v>
      </c>
      <c r="J22" s="57" t="str">
        <f>VLOOKUP(Tabelle1722[[#This Row],[Baugewerbe gesamt]],Dropdown!$A$2:$D$4,4,FALSE)</f>
        <v>-</v>
      </c>
      <c r="K22" s="57" t="str">
        <f>VLOOKUP(Tabelle1722[[#This Row],[Prozesskälte]],Dropdown!$A$2:$D$4,4,FALSE)</f>
        <v>X</v>
      </c>
      <c r="L22" s="57" t="str">
        <f>VLOOKUP(Tabelle1722[[#This Row],[Kühlhäuser]],Dropdown!$A$2:$D$4,4,FALSE)</f>
        <v>-</v>
      </c>
      <c r="M22" s="57" t="str">
        <f>VLOOKUP(Tabelle1722[[#This Row],[Kühlung im 
Lebensmitteleinzelhandel]],Dropdown!$A$2:$D$4,4,FALSE)</f>
        <v>-</v>
      </c>
      <c r="N22" s="57" t="str">
        <f>VLOOKUP(Tabelle1722[[#This Row],[Kühlung im Gastronomiebereich 
(Hotels, Restaurants)]],Dropdown!$A$2:$D$4,4,FALSE)</f>
        <v>-</v>
      </c>
      <c r="O22" s="57" t="str">
        <f>VLOOKUP(Tabelle1722[[#This Row],[Klimakälte]],Dropdown!$A$2:$D$4,4,FALSE)</f>
        <v>X</v>
      </c>
      <c r="P22" s="57" t="str">
        <f>VLOOKUP(Tabelle1722[[#This Row],[Warmwasserbereitstellung]],Dropdown!$A$2:$D$4,4,FALSE)</f>
        <v>-</v>
      </c>
      <c r="Q22" s="57" t="str">
        <f>VLOOKUP(Tabelle1722[[#This Row],[Raumwärme 
(elektrische Raumheizung)]],Dropdown!$A$2:$D$4,4,FALSE)</f>
        <v>X</v>
      </c>
      <c r="R22" s="57" t="str">
        <f>VLOOKUP(Tabelle1722[[#This Row],[Nachtspeicherheizungen]],Dropdown!$A$2:$D$4,4,FALSE)</f>
        <v>-</v>
      </c>
      <c r="S22" s="57" t="str">
        <f>VLOOKUP(Tabelle1722[[#This Row],[Wärmepumpen]],Dropdown!$A$2:$D$4,4,FALSE)</f>
        <v>-</v>
      </c>
      <c r="T22" s="57" t="str">
        <f>VLOOKUP(Tabelle1722[[#This Row],[Hybrid-Wärmeerzeugungssysteme]],Dropdown!$A$2:$D$4,4,FALSE)</f>
        <v>-</v>
      </c>
      <c r="U22" s="57" t="str">
        <f>VLOOKUP(Tabelle1722[[#This Row],[Pumpenanwendungen]],Dropdown!$A$2:$D$4,4,FALSE)</f>
        <v>-</v>
      </c>
      <c r="V22" s="57" t="str">
        <f>VLOOKUP(Tabelle1722[[#This Row],[Pumpenanwendungen in der 
Wasserversorgung]],Dropdown!$A$2:$D$4,4,FALSE)</f>
        <v>-</v>
      </c>
      <c r="W22" s="57" t="str">
        <f>VLOOKUP(Tabelle1722[[#This Row],[Beleuchtung im Gartenbau]],Dropdown!$A$2:$D$4,4,FALSE)</f>
        <v>-</v>
      </c>
      <c r="X22" s="57" t="str">
        <f>VLOOKUP(Tabelle1722[[#This Row],[Belüftung]],Dropdown!$A$2:$D$4,4,FALSE)</f>
        <v>X</v>
      </c>
      <c r="Y22" s="57" t="str">
        <f>VLOOKUP(Tabelle1722[[#This Row],[Abwasserbehandlung]],Dropdown!$A$2:$D$4,4,FALSE)</f>
        <v>-</v>
      </c>
      <c r="Z22" s="57" t="str">
        <f>VLOOKUP(Tabelle1722[[#This Row],[Notstromaggregate, Back-Up-
Server und Mobilfunkstationen]],Dropdown!$A$2:$D$4,4,FALSE)</f>
        <v>-</v>
      </c>
      <c r="AA22" s="57" t="str">
        <f>VLOOKUP(Tabelle1722[[#This Row],[Prozesswärme]],Dropdown!$A$2:$D$4,4,FALSE)</f>
        <v>X</v>
      </c>
      <c r="AB22" s="57" t="str">
        <f>VLOOKUP(Tabelle1722[[#This Row],[Druckluft]],Dropdown!$A$2:$D$4,4,FALSE)</f>
        <v>-</v>
      </c>
      <c r="AC22" s="57" t="str">
        <f>VLOOKUP(Tabelle1722[[#This Row],[Rechenzentren]],Dropdown!$A$2:$D$4,4,FALSE)</f>
        <v>-</v>
      </c>
    </row>
    <row r="23" spans="1:29" x14ac:dyDescent="0.2">
      <c r="A23" s="6" t="str">
        <f>Tabelle1722[[#This Row],[Kurzbeleg]]</f>
        <v>Mue19</v>
      </c>
      <c r="B23" s="57" t="str">
        <f>VLOOKUP(Tabelle1722[[#This Row],[Büros und Textilbetriebe gesamt]],Dropdown!$A$2:$D$4,4,FALSE)</f>
        <v>-</v>
      </c>
      <c r="C23" s="57" t="str">
        <f>VLOOKUP(Tabelle1722[[#This Row],[Handel gesamt]],Dropdown!$A$2:$D$4,4,FALSE)</f>
        <v>-</v>
      </c>
      <c r="D23" s="57" t="str">
        <f>VLOOKUP(Tabelle1722[[#This Row],[Gastgewerbe gesamt]],Dropdown!$A$2:$D$4,4,FALSE)</f>
        <v>-</v>
      </c>
      <c r="E23" s="57" t="str">
        <f>VLOOKUP(Tabelle1722[[#This Row],[Landwirtschaft gesamt]],Dropdown!$A$2:$D$4,4,FALSE)</f>
        <v>-</v>
      </c>
      <c r="F23" s="57" t="str">
        <f>VLOOKUP(Tabelle1722[[#This Row],[Gartenbau gesamt]],Dropdown!$A$2:$D$4,4,FALSE)</f>
        <v>-</v>
      </c>
      <c r="G23" s="57" t="str">
        <f>VLOOKUP(Tabelle1722[[#This Row],[Bäder gesamt]],Dropdown!$A$2:$D$4,4,FALSE)</f>
        <v>-</v>
      </c>
      <c r="H23" s="57" t="str">
        <f>VLOOKUP(Tabelle1722[[#This Row],[Wäschereien gesamt]],Dropdown!$A$2:$D$4,4,FALSE)</f>
        <v>-</v>
      </c>
      <c r="I23" s="57" t="str">
        <f>VLOOKUP(Tabelle1722[[#This Row],[produzierendes Gewerbe gesamt]],Dropdown!$A$2:$D$4,4,FALSE)</f>
        <v>-</v>
      </c>
      <c r="J23" s="57" t="str">
        <f>VLOOKUP(Tabelle1722[[#This Row],[Baugewerbe gesamt]],Dropdown!$A$2:$D$4,4,FALSE)</f>
        <v>-</v>
      </c>
      <c r="K23" s="57" t="str">
        <f>VLOOKUP(Tabelle1722[[#This Row],[Prozesskälte]],Dropdown!$A$2:$D$4,4,FALSE)</f>
        <v>-</v>
      </c>
      <c r="L23" s="57" t="str">
        <f>VLOOKUP(Tabelle1722[[#This Row],[Kühlhäuser]],Dropdown!$A$2:$D$4,4,FALSE)</f>
        <v>-</v>
      </c>
      <c r="M23" s="57" t="str">
        <f>VLOOKUP(Tabelle1722[[#This Row],[Kühlung im 
Lebensmitteleinzelhandel]],Dropdown!$A$2:$D$4,4,FALSE)</f>
        <v>-</v>
      </c>
      <c r="N23" s="57" t="str">
        <f>VLOOKUP(Tabelle1722[[#This Row],[Kühlung im Gastronomiebereich 
(Hotels, Restaurants)]],Dropdown!$A$2:$D$4,4,FALSE)</f>
        <v>-</v>
      </c>
      <c r="O23" s="57" t="str">
        <f>VLOOKUP(Tabelle1722[[#This Row],[Klimakälte]],Dropdown!$A$2:$D$4,4,FALSE)</f>
        <v>-</v>
      </c>
      <c r="P23" s="57" t="str">
        <f>VLOOKUP(Tabelle1722[[#This Row],[Warmwasserbereitstellung]],Dropdown!$A$2:$D$4,4,FALSE)</f>
        <v>-</v>
      </c>
      <c r="Q23" s="57" t="str">
        <f>VLOOKUP(Tabelle1722[[#This Row],[Raumwärme 
(elektrische Raumheizung)]],Dropdown!$A$2:$D$4,4,FALSE)</f>
        <v>-</v>
      </c>
      <c r="R23" s="57" t="str">
        <f>VLOOKUP(Tabelle1722[[#This Row],[Nachtspeicherheizungen]],Dropdown!$A$2:$D$4,4,FALSE)</f>
        <v>-</v>
      </c>
      <c r="S23" s="57" t="str">
        <f>VLOOKUP(Tabelle1722[[#This Row],[Wärmepumpen]],Dropdown!$A$2:$D$4,4,FALSE)</f>
        <v>-</v>
      </c>
      <c r="T23" s="57" t="str">
        <f>VLOOKUP(Tabelle1722[[#This Row],[Hybrid-Wärmeerzeugungssysteme]],Dropdown!$A$2:$D$4,4,FALSE)</f>
        <v>-</v>
      </c>
      <c r="U23" s="57" t="str">
        <f>VLOOKUP(Tabelle1722[[#This Row],[Pumpenanwendungen]],Dropdown!$A$2:$D$4,4,FALSE)</f>
        <v>-</v>
      </c>
      <c r="V23" s="57" t="str">
        <f>VLOOKUP(Tabelle1722[[#This Row],[Pumpenanwendungen in der 
Wasserversorgung]],Dropdown!$A$2:$D$4,4,FALSE)</f>
        <v>-</v>
      </c>
      <c r="W23" s="57" t="str">
        <f>VLOOKUP(Tabelle1722[[#This Row],[Beleuchtung im Gartenbau]],Dropdown!$A$2:$D$4,4,FALSE)</f>
        <v>-</v>
      </c>
      <c r="X23" s="57" t="str">
        <f>VLOOKUP(Tabelle1722[[#This Row],[Belüftung]],Dropdown!$A$2:$D$4,4,FALSE)</f>
        <v>-</v>
      </c>
      <c r="Y23" s="57" t="str">
        <f>VLOOKUP(Tabelle1722[[#This Row],[Abwasserbehandlung]],Dropdown!$A$2:$D$4,4,FALSE)</f>
        <v>-</v>
      </c>
      <c r="Z23" s="57" t="str">
        <f>VLOOKUP(Tabelle1722[[#This Row],[Notstromaggregate, Back-Up-
Server und Mobilfunkstationen]],Dropdown!$A$2:$D$4,4,FALSE)</f>
        <v>-</v>
      </c>
      <c r="AA23" s="57" t="str">
        <f>VLOOKUP(Tabelle1722[[#This Row],[Prozesswärme]],Dropdown!$A$2:$D$4,4,FALSE)</f>
        <v>-</v>
      </c>
      <c r="AB23" s="57" t="str">
        <f>VLOOKUP(Tabelle1722[[#This Row],[Druckluft]],Dropdown!$A$2:$D$4,4,FALSE)</f>
        <v>-</v>
      </c>
      <c r="AC23" s="57" t="str">
        <f>VLOOKUP(Tabelle1722[[#This Row],[Rechenzentren]],Dropdown!$A$2:$D$4,4,FALSE)</f>
        <v>-</v>
      </c>
    </row>
    <row r="24" spans="1:29" x14ac:dyDescent="0.2">
      <c r="A24" s="6" t="str">
        <f>Tabelle1722[[#This Row],[Kurzbeleg]]</f>
        <v>Pau11</v>
      </c>
      <c r="B24" s="57" t="str">
        <f>VLOOKUP(Tabelle1722[[#This Row],[Büros und Textilbetriebe gesamt]],Dropdown!$A$2:$D$4,4,FALSE)</f>
        <v>-</v>
      </c>
      <c r="C24" s="57" t="str">
        <f>VLOOKUP(Tabelle1722[[#This Row],[Handel gesamt]],Dropdown!$A$2:$D$4,4,FALSE)</f>
        <v>-</v>
      </c>
      <c r="D24" s="57" t="str">
        <f>VLOOKUP(Tabelle1722[[#This Row],[Gastgewerbe gesamt]],Dropdown!$A$2:$D$4,4,FALSE)</f>
        <v>-</v>
      </c>
      <c r="E24" s="57" t="str">
        <f>VLOOKUP(Tabelle1722[[#This Row],[Landwirtschaft gesamt]],Dropdown!$A$2:$D$4,4,FALSE)</f>
        <v>-</v>
      </c>
      <c r="F24" s="57" t="str">
        <f>VLOOKUP(Tabelle1722[[#This Row],[Gartenbau gesamt]],Dropdown!$A$2:$D$4,4,FALSE)</f>
        <v>-</v>
      </c>
      <c r="G24" s="57" t="str">
        <f>VLOOKUP(Tabelle1722[[#This Row],[Bäder gesamt]],Dropdown!$A$2:$D$4,4,FALSE)</f>
        <v>-</v>
      </c>
      <c r="H24" s="57" t="str">
        <f>VLOOKUP(Tabelle1722[[#This Row],[Wäschereien gesamt]],Dropdown!$A$2:$D$4,4,FALSE)</f>
        <v>-</v>
      </c>
      <c r="I24" s="57" t="str">
        <f>VLOOKUP(Tabelle1722[[#This Row],[produzierendes Gewerbe gesamt]],Dropdown!$A$2:$D$4,4,FALSE)</f>
        <v>-</v>
      </c>
      <c r="J24" s="57" t="str">
        <f>VLOOKUP(Tabelle1722[[#This Row],[Baugewerbe gesamt]],Dropdown!$A$2:$D$4,4,FALSE)</f>
        <v>-</v>
      </c>
      <c r="K24" s="57" t="str">
        <f>VLOOKUP(Tabelle1722[[#This Row],[Prozesskälte]],Dropdown!$A$2:$D$4,4,FALSE)</f>
        <v>-</v>
      </c>
      <c r="L24" s="57" t="str">
        <f>VLOOKUP(Tabelle1722[[#This Row],[Kühlhäuser]],Dropdown!$A$2:$D$4,4,FALSE)</f>
        <v>-</v>
      </c>
      <c r="M24" s="57" t="str">
        <f>VLOOKUP(Tabelle1722[[#This Row],[Kühlung im 
Lebensmitteleinzelhandel]],Dropdown!$A$2:$D$4,4,FALSE)</f>
        <v>-</v>
      </c>
      <c r="N24" s="57" t="str">
        <f>VLOOKUP(Tabelle1722[[#This Row],[Kühlung im Gastronomiebereich 
(Hotels, Restaurants)]],Dropdown!$A$2:$D$4,4,FALSE)</f>
        <v>-</v>
      </c>
      <c r="O24" s="57" t="str">
        <f>VLOOKUP(Tabelle1722[[#This Row],[Klimakälte]],Dropdown!$A$2:$D$4,4,FALSE)</f>
        <v>-</v>
      </c>
      <c r="P24" s="57" t="str">
        <f>VLOOKUP(Tabelle1722[[#This Row],[Warmwasserbereitstellung]],Dropdown!$A$2:$D$4,4,FALSE)</f>
        <v>-</v>
      </c>
      <c r="Q24" s="57" t="str">
        <f>VLOOKUP(Tabelle1722[[#This Row],[Raumwärme 
(elektrische Raumheizung)]],Dropdown!$A$2:$D$4,4,FALSE)</f>
        <v>-</v>
      </c>
      <c r="R24" s="57" t="str">
        <f>VLOOKUP(Tabelle1722[[#This Row],[Nachtspeicherheizungen]],Dropdown!$A$2:$D$4,4,FALSE)</f>
        <v>-</v>
      </c>
      <c r="S24" s="57" t="str">
        <f>VLOOKUP(Tabelle1722[[#This Row],[Wärmepumpen]],Dropdown!$A$2:$D$4,4,FALSE)</f>
        <v>-</v>
      </c>
      <c r="T24" s="57" t="str">
        <f>VLOOKUP(Tabelle1722[[#This Row],[Hybrid-Wärmeerzeugungssysteme]],Dropdown!$A$2:$D$4,4,FALSE)</f>
        <v>-</v>
      </c>
      <c r="U24" s="57" t="str">
        <f>VLOOKUP(Tabelle1722[[#This Row],[Pumpenanwendungen]],Dropdown!$A$2:$D$4,4,FALSE)</f>
        <v>-</v>
      </c>
      <c r="V24" s="57" t="str">
        <f>VLOOKUP(Tabelle1722[[#This Row],[Pumpenanwendungen in der 
Wasserversorgung]],Dropdown!$A$2:$D$4,4,FALSE)</f>
        <v>-</v>
      </c>
      <c r="W24" s="57" t="str">
        <f>VLOOKUP(Tabelle1722[[#This Row],[Beleuchtung im Gartenbau]],Dropdown!$A$2:$D$4,4,FALSE)</f>
        <v>-</v>
      </c>
      <c r="X24" s="57" t="str">
        <f>VLOOKUP(Tabelle1722[[#This Row],[Belüftung]],Dropdown!$A$2:$D$4,4,FALSE)</f>
        <v>-</v>
      </c>
      <c r="Y24" s="57" t="str">
        <f>VLOOKUP(Tabelle1722[[#This Row],[Abwasserbehandlung]],Dropdown!$A$2:$D$4,4,FALSE)</f>
        <v>-</v>
      </c>
      <c r="Z24" s="57" t="str">
        <f>VLOOKUP(Tabelle1722[[#This Row],[Notstromaggregate, Back-Up-
Server und Mobilfunkstationen]],Dropdown!$A$2:$D$4,4,FALSE)</f>
        <v>-</v>
      </c>
      <c r="AA24" s="57" t="str">
        <f>VLOOKUP(Tabelle1722[[#This Row],[Prozesswärme]],Dropdown!$A$2:$D$4,4,FALSE)</f>
        <v>-</v>
      </c>
      <c r="AB24" s="57" t="str">
        <f>VLOOKUP(Tabelle1722[[#This Row],[Druckluft]],Dropdown!$A$2:$D$4,4,FALSE)</f>
        <v>-</v>
      </c>
      <c r="AC24" s="57" t="str">
        <f>VLOOKUP(Tabelle1722[[#This Row],[Rechenzentren]],Dropdown!$A$2:$D$4,4,FALSE)</f>
        <v>-</v>
      </c>
    </row>
    <row r="25" spans="1:29" x14ac:dyDescent="0.2">
      <c r="A25" s="6" t="str">
        <f>Tabelle1722[[#This Row],[Kurzbeleg]]</f>
        <v>Pel16</v>
      </c>
      <c r="B25" s="57" t="str">
        <f>VLOOKUP(Tabelle1722[[#This Row],[Büros und Textilbetriebe gesamt]],Dropdown!$A$2:$D$4,4,FALSE)</f>
        <v>-</v>
      </c>
      <c r="C25" s="57" t="str">
        <f>VLOOKUP(Tabelle1722[[#This Row],[Handel gesamt]],Dropdown!$A$2:$D$4,4,FALSE)</f>
        <v>-</v>
      </c>
      <c r="D25" s="57" t="str">
        <f>VLOOKUP(Tabelle1722[[#This Row],[Gastgewerbe gesamt]],Dropdown!$A$2:$D$4,4,FALSE)</f>
        <v>-</v>
      </c>
      <c r="E25" s="57" t="str">
        <f>VLOOKUP(Tabelle1722[[#This Row],[Landwirtschaft gesamt]],Dropdown!$A$2:$D$4,4,FALSE)</f>
        <v>-</v>
      </c>
      <c r="F25" s="57" t="str">
        <f>VLOOKUP(Tabelle1722[[#This Row],[Gartenbau gesamt]],Dropdown!$A$2:$D$4,4,FALSE)</f>
        <v>-</v>
      </c>
      <c r="G25" s="57" t="str">
        <f>VLOOKUP(Tabelle1722[[#This Row],[Bäder gesamt]],Dropdown!$A$2:$D$4,4,FALSE)</f>
        <v>-</v>
      </c>
      <c r="H25" s="57" t="str">
        <f>VLOOKUP(Tabelle1722[[#This Row],[Wäschereien gesamt]],Dropdown!$A$2:$D$4,4,FALSE)</f>
        <v>-</v>
      </c>
      <c r="I25" s="57" t="str">
        <f>VLOOKUP(Tabelle1722[[#This Row],[produzierendes Gewerbe gesamt]],Dropdown!$A$2:$D$4,4,FALSE)</f>
        <v>-</v>
      </c>
      <c r="J25" s="57" t="str">
        <f>VLOOKUP(Tabelle1722[[#This Row],[Baugewerbe gesamt]],Dropdown!$A$2:$D$4,4,FALSE)</f>
        <v>-</v>
      </c>
      <c r="K25" s="57" t="str">
        <f>VLOOKUP(Tabelle1722[[#This Row],[Prozesskälte]],Dropdown!$A$2:$D$4,4,FALSE)</f>
        <v>-</v>
      </c>
      <c r="L25" s="57" t="str">
        <f>VLOOKUP(Tabelle1722[[#This Row],[Kühlhäuser]],Dropdown!$A$2:$D$4,4,FALSE)</f>
        <v>-</v>
      </c>
      <c r="M25" s="57" t="str">
        <f>VLOOKUP(Tabelle1722[[#This Row],[Kühlung im 
Lebensmitteleinzelhandel]],Dropdown!$A$2:$D$4,4,FALSE)</f>
        <v>-</v>
      </c>
      <c r="N25" s="57" t="str">
        <f>VLOOKUP(Tabelle1722[[#This Row],[Kühlung im Gastronomiebereich 
(Hotels, Restaurants)]],Dropdown!$A$2:$D$4,4,FALSE)</f>
        <v>-</v>
      </c>
      <c r="O25" s="57" t="str">
        <f>VLOOKUP(Tabelle1722[[#This Row],[Klimakälte]],Dropdown!$A$2:$D$4,4,FALSE)</f>
        <v>-</v>
      </c>
      <c r="P25" s="57" t="str">
        <f>VLOOKUP(Tabelle1722[[#This Row],[Warmwasserbereitstellung]],Dropdown!$A$2:$D$4,4,FALSE)</f>
        <v>-</v>
      </c>
      <c r="Q25" s="57" t="str">
        <f>VLOOKUP(Tabelle1722[[#This Row],[Raumwärme 
(elektrische Raumheizung)]],Dropdown!$A$2:$D$4,4,FALSE)</f>
        <v>-</v>
      </c>
      <c r="R25" s="57" t="str">
        <f>VLOOKUP(Tabelle1722[[#This Row],[Nachtspeicherheizungen]],Dropdown!$A$2:$D$4,4,FALSE)</f>
        <v>-</v>
      </c>
      <c r="S25" s="57" t="str">
        <f>VLOOKUP(Tabelle1722[[#This Row],[Wärmepumpen]],Dropdown!$A$2:$D$4,4,FALSE)</f>
        <v>-</v>
      </c>
      <c r="T25" s="57" t="str">
        <f>VLOOKUP(Tabelle1722[[#This Row],[Hybrid-Wärmeerzeugungssysteme]],Dropdown!$A$2:$D$4,4,FALSE)</f>
        <v>-</v>
      </c>
      <c r="U25" s="57" t="str">
        <f>VLOOKUP(Tabelle1722[[#This Row],[Pumpenanwendungen]],Dropdown!$A$2:$D$4,4,FALSE)</f>
        <v>X</v>
      </c>
      <c r="V25" s="57" t="str">
        <f>VLOOKUP(Tabelle1722[[#This Row],[Pumpenanwendungen in der 
Wasserversorgung]],Dropdown!$A$2:$D$4,4,FALSE)</f>
        <v>-</v>
      </c>
      <c r="W25" s="57" t="str">
        <f>VLOOKUP(Tabelle1722[[#This Row],[Beleuchtung im Gartenbau]],Dropdown!$A$2:$D$4,4,FALSE)</f>
        <v>X</v>
      </c>
      <c r="X25" s="57" t="str">
        <f>VLOOKUP(Tabelle1722[[#This Row],[Belüftung]],Dropdown!$A$2:$D$4,4,FALSE)</f>
        <v>X</v>
      </c>
      <c r="Y25" s="57" t="str">
        <f>VLOOKUP(Tabelle1722[[#This Row],[Abwasserbehandlung]],Dropdown!$A$2:$D$4,4,FALSE)</f>
        <v>-</v>
      </c>
      <c r="Z25" s="57" t="str">
        <f>VLOOKUP(Tabelle1722[[#This Row],[Notstromaggregate, Back-Up-
Server und Mobilfunkstationen]],Dropdown!$A$2:$D$4,4,FALSE)</f>
        <v>-</v>
      </c>
      <c r="AA25" s="57" t="str">
        <f>VLOOKUP(Tabelle1722[[#This Row],[Prozesswärme]],Dropdown!$A$2:$D$4,4,FALSE)</f>
        <v>-</v>
      </c>
      <c r="AB25" s="57" t="str">
        <f>VLOOKUP(Tabelle1722[[#This Row],[Druckluft]],Dropdown!$A$2:$D$4,4,FALSE)</f>
        <v>X</v>
      </c>
      <c r="AC25" s="57" t="str">
        <f>VLOOKUP(Tabelle1722[[#This Row],[Rechenzentren]],Dropdown!$A$2:$D$4,4,FALSE)</f>
        <v>-</v>
      </c>
    </row>
    <row r="26" spans="1:29" x14ac:dyDescent="0.2">
      <c r="A26" s="6" t="str">
        <f>Tabelle1722[[#This Row],[Kurzbeleg]]</f>
        <v>r2b14</v>
      </c>
      <c r="B26" s="57" t="str">
        <f>VLOOKUP(Tabelle1722[[#This Row],[Büros und Textilbetriebe gesamt]],Dropdown!$A$2:$D$4,4,FALSE)</f>
        <v>-</v>
      </c>
      <c r="C26" s="57" t="str">
        <f>VLOOKUP(Tabelle1722[[#This Row],[Handel gesamt]],Dropdown!$A$2:$D$4,4,FALSE)</f>
        <v>-</v>
      </c>
      <c r="D26" s="57" t="str">
        <f>VLOOKUP(Tabelle1722[[#This Row],[Gastgewerbe gesamt]],Dropdown!$A$2:$D$4,4,FALSE)</f>
        <v>-</v>
      </c>
      <c r="E26" s="57" t="str">
        <f>VLOOKUP(Tabelle1722[[#This Row],[Landwirtschaft gesamt]],Dropdown!$A$2:$D$4,4,FALSE)</f>
        <v>-</v>
      </c>
      <c r="F26" s="57" t="str">
        <f>VLOOKUP(Tabelle1722[[#This Row],[Gartenbau gesamt]],Dropdown!$A$2:$D$4,4,FALSE)</f>
        <v>-</v>
      </c>
      <c r="G26" s="57" t="str">
        <f>VLOOKUP(Tabelle1722[[#This Row],[Bäder gesamt]],Dropdown!$A$2:$D$4,4,FALSE)</f>
        <v>-</v>
      </c>
      <c r="H26" s="57" t="str">
        <f>VLOOKUP(Tabelle1722[[#This Row],[Wäschereien gesamt]],Dropdown!$A$2:$D$4,4,FALSE)</f>
        <v>-</v>
      </c>
      <c r="I26" s="57" t="str">
        <f>VLOOKUP(Tabelle1722[[#This Row],[produzierendes Gewerbe gesamt]],Dropdown!$A$2:$D$4,4,FALSE)</f>
        <v>-</v>
      </c>
      <c r="J26" s="57" t="str">
        <f>VLOOKUP(Tabelle1722[[#This Row],[Baugewerbe gesamt]],Dropdown!$A$2:$D$4,4,FALSE)</f>
        <v>-</v>
      </c>
      <c r="K26" s="57" t="str">
        <f>VLOOKUP(Tabelle1722[[#This Row],[Prozesskälte]],Dropdown!$A$2:$D$4,4,FALSE)</f>
        <v>-</v>
      </c>
      <c r="L26" s="57" t="str">
        <f>VLOOKUP(Tabelle1722[[#This Row],[Kühlhäuser]],Dropdown!$A$2:$D$4,4,FALSE)</f>
        <v>-</v>
      </c>
      <c r="M26" s="57" t="str">
        <f>VLOOKUP(Tabelle1722[[#This Row],[Kühlung im 
Lebensmitteleinzelhandel]],Dropdown!$A$2:$D$4,4,FALSE)</f>
        <v>-</v>
      </c>
      <c r="N26" s="57" t="str">
        <f>VLOOKUP(Tabelle1722[[#This Row],[Kühlung im Gastronomiebereich 
(Hotels, Restaurants)]],Dropdown!$A$2:$D$4,4,FALSE)</f>
        <v>-</v>
      </c>
      <c r="O26" s="57" t="str">
        <f>VLOOKUP(Tabelle1722[[#This Row],[Klimakälte]],Dropdown!$A$2:$D$4,4,FALSE)</f>
        <v>-</v>
      </c>
      <c r="P26" s="57" t="str">
        <f>VLOOKUP(Tabelle1722[[#This Row],[Warmwasserbereitstellung]],Dropdown!$A$2:$D$4,4,FALSE)</f>
        <v>-</v>
      </c>
      <c r="Q26" s="57" t="str">
        <f>VLOOKUP(Tabelle1722[[#This Row],[Raumwärme 
(elektrische Raumheizung)]],Dropdown!$A$2:$D$4,4,FALSE)</f>
        <v>-</v>
      </c>
      <c r="R26" s="57" t="str">
        <f>VLOOKUP(Tabelle1722[[#This Row],[Nachtspeicherheizungen]],Dropdown!$A$2:$D$4,4,FALSE)</f>
        <v>-</v>
      </c>
      <c r="S26" s="57" t="str">
        <f>VLOOKUP(Tabelle1722[[#This Row],[Wärmepumpen]],Dropdown!$A$2:$D$4,4,FALSE)</f>
        <v>-</v>
      </c>
      <c r="T26" s="57" t="str">
        <f>VLOOKUP(Tabelle1722[[#This Row],[Hybrid-Wärmeerzeugungssysteme]],Dropdown!$A$2:$D$4,4,FALSE)</f>
        <v>-</v>
      </c>
      <c r="U26" s="57" t="str">
        <f>VLOOKUP(Tabelle1722[[#This Row],[Pumpenanwendungen]],Dropdown!$A$2:$D$4,4,FALSE)</f>
        <v>-</v>
      </c>
      <c r="V26" s="57" t="str">
        <f>VLOOKUP(Tabelle1722[[#This Row],[Pumpenanwendungen in der 
Wasserversorgung]],Dropdown!$A$2:$D$4,4,FALSE)</f>
        <v>-</v>
      </c>
      <c r="W26" s="57" t="str">
        <f>VLOOKUP(Tabelle1722[[#This Row],[Beleuchtung im Gartenbau]],Dropdown!$A$2:$D$4,4,FALSE)</f>
        <v>-</v>
      </c>
      <c r="X26" s="57" t="str">
        <f>VLOOKUP(Tabelle1722[[#This Row],[Belüftung]],Dropdown!$A$2:$D$4,4,FALSE)</f>
        <v>-</v>
      </c>
      <c r="Y26" s="57" t="str">
        <f>VLOOKUP(Tabelle1722[[#This Row],[Abwasserbehandlung]],Dropdown!$A$2:$D$4,4,FALSE)</f>
        <v>-</v>
      </c>
      <c r="Z26" s="57" t="str">
        <f>VLOOKUP(Tabelle1722[[#This Row],[Notstromaggregate, Back-Up-
Server und Mobilfunkstationen]],Dropdown!$A$2:$D$4,4,FALSE)</f>
        <v>-</v>
      </c>
      <c r="AA26" s="57" t="str">
        <f>VLOOKUP(Tabelle1722[[#This Row],[Prozesswärme]],Dropdown!$A$2:$D$4,4,FALSE)</f>
        <v>-</v>
      </c>
      <c r="AB26" s="57" t="str">
        <f>VLOOKUP(Tabelle1722[[#This Row],[Druckluft]],Dropdown!$A$2:$D$4,4,FALSE)</f>
        <v>-</v>
      </c>
      <c r="AC26" s="57" t="str">
        <f>VLOOKUP(Tabelle1722[[#This Row],[Rechenzentren]],Dropdown!$A$2:$D$4,4,FALSE)</f>
        <v>-</v>
      </c>
    </row>
    <row r="27" spans="1:29" x14ac:dyDescent="0.2">
      <c r="A27" s="6" t="str">
        <f>Tabelle1722[[#This Row],[Kurzbeleg]]</f>
        <v>Roo10</v>
      </c>
      <c r="B27" s="57" t="str">
        <f>VLOOKUP(Tabelle1722[[#This Row],[Büros und Textilbetriebe gesamt]],Dropdown!$A$2:$D$4,4,FALSE)</f>
        <v>-</v>
      </c>
      <c r="C27" s="57" t="str">
        <f>VLOOKUP(Tabelle1722[[#This Row],[Handel gesamt]],Dropdown!$A$2:$D$4,4,FALSE)</f>
        <v>-</v>
      </c>
      <c r="D27" s="57" t="str">
        <f>VLOOKUP(Tabelle1722[[#This Row],[Gastgewerbe gesamt]],Dropdown!$A$2:$D$4,4,FALSE)</f>
        <v>-</v>
      </c>
      <c r="E27" s="57" t="str">
        <f>VLOOKUP(Tabelle1722[[#This Row],[Landwirtschaft gesamt]],Dropdown!$A$2:$D$4,4,FALSE)</f>
        <v>-</v>
      </c>
      <c r="F27" s="57" t="str">
        <f>VLOOKUP(Tabelle1722[[#This Row],[Gartenbau gesamt]],Dropdown!$A$2:$D$4,4,FALSE)</f>
        <v>-</v>
      </c>
      <c r="G27" s="57" t="str">
        <f>VLOOKUP(Tabelle1722[[#This Row],[Bäder gesamt]],Dropdown!$A$2:$D$4,4,FALSE)</f>
        <v>-</v>
      </c>
      <c r="H27" s="57" t="str">
        <f>VLOOKUP(Tabelle1722[[#This Row],[Wäschereien gesamt]],Dropdown!$A$2:$D$4,4,FALSE)</f>
        <v>-</v>
      </c>
      <c r="I27" s="57" t="str">
        <f>VLOOKUP(Tabelle1722[[#This Row],[produzierendes Gewerbe gesamt]],Dropdown!$A$2:$D$4,4,FALSE)</f>
        <v>-</v>
      </c>
      <c r="J27" s="57" t="str">
        <f>VLOOKUP(Tabelle1722[[#This Row],[Baugewerbe gesamt]],Dropdown!$A$2:$D$4,4,FALSE)</f>
        <v>-</v>
      </c>
      <c r="K27" s="57" t="str">
        <f>VLOOKUP(Tabelle1722[[#This Row],[Prozesskälte]],Dropdown!$A$2:$D$4,4,FALSE)</f>
        <v>-</v>
      </c>
      <c r="L27" s="57" t="str">
        <f>VLOOKUP(Tabelle1722[[#This Row],[Kühlhäuser]],Dropdown!$A$2:$D$4,4,FALSE)</f>
        <v>-</v>
      </c>
      <c r="M27" s="57" t="str">
        <f>VLOOKUP(Tabelle1722[[#This Row],[Kühlung im 
Lebensmitteleinzelhandel]],Dropdown!$A$2:$D$4,4,FALSE)</f>
        <v>-</v>
      </c>
      <c r="N27" s="57" t="str">
        <f>VLOOKUP(Tabelle1722[[#This Row],[Kühlung im Gastronomiebereich 
(Hotels, Restaurants)]],Dropdown!$A$2:$D$4,4,FALSE)</f>
        <v>-</v>
      </c>
      <c r="O27" s="57" t="str">
        <f>VLOOKUP(Tabelle1722[[#This Row],[Klimakälte]],Dropdown!$A$2:$D$4,4,FALSE)</f>
        <v>-</v>
      </c>
      <c r="P27" s="57" t="str">
        <f>VLOOKUP(Tabelle1722[[#This Row],[Warmwasserbereitstellung]],Dropdown!$A$2:$D$4,4,FALSE)</f>
        <v>-</v>
      </c>
      <c r="Q27" s="57" t="str">
        <f>VLOOKUP(Tabelle1722[[#This Row],[Raumwärme 
(elektrische Raumheizung)]],Dropdown!$A$2:$D$4,4,FALSE)</f>
        <v>-</v>
      </c>
      <c r="R27" s="57" t="str">
        <f>VLOOKUP(Tabelle1722[[#This Row],[Nachtspeicherheizungen]],Dropdown!$A$2:$D$4,4,FALSE)</f>
        <v>-</v>
      </c>
      <c r="S27" s="57" t="str">
        <f>VLOOKUP(Tabelle1722[[#This Row],[Wärmepumpen]],Dropdown!$A$2:$D$4,4,FALSE)</f>
        <v>-</v>
      </c>
      <c r="T27" s="57" t="str">
        <f>VLOOKUP(Tabelle1722[[#This Row],[Hybrid-Wärmeerzeugungssysteme]],Dropdown!$A$2:$D$4,4,FALSE)</f>
        <v>-</v>
      </c>
      <c r="U27" s="57" t="str">
        <f>VLOOKUP(Tabelle1722[[#This Row],[Pumpenanwendungen]],Dropdown!$A$2:$D$4,4,FALSE)</f>
        <v>-</v>
      </c>
      <c r="V27" s="57" t="str">
        <f>VLOOKUP(Tabelle1722[[#This Row],[Pumpenanwendungen in der 
Wasserversorgung]],Dropdown!$A$2:$D$4,4,FALSE)</f>
        <v>-</v>
      </c>
      <c r="W27" s="57" t="str">
        <f>VLOOKUP(Tabelle1722[[#This Row],[Beleuchtung im Gartenbau]],Dropdown!$A$2:$D$4,4,FALSE)</f>
        <v>-</v>
      </c>
      <c r="X27" s="57" t="str">
        <f>VLOOKUP(Tabelle1722[[#This Row],[Belüftung]],Dropdown!$A$2:$D$4,4,FALSE)</f>
        <v>-</v>
      </c>
      <c r="Y27" s="57" t="str">
        <f>VLOOKUP(Tabelle1722[[#This Row],[Abwasserbehandlung]],Dropdown!$A$2:$D$4,4,FALSE)</f>
        <v>-</v>
      </c>
      <c r="Z27" s="57" t="str">
        <f>VLOOKUP(Tabelle1722[[#This Row],[Notstromaggregate, Back-Up-
Server und Mobilfunkstationen]],Dropdown!$A$2:$D$4,4,FALSE)</f>
        <v>-</v>
      </c>
      <c r="AA27" s="57" t="str">
        <f>VLOOKUP(Tabelle1722[[#This Row],[Prozesswärme]],Dropdown!$A$2:$D$4,4,FALSE)</f>
        <v>-</v>
      </c>
      <c r="AB27" s="57" t="str">
        <f>VLOOKUP(Tabelle1722[[#This Row],[Druckluft]],Dropdown!$A$2:$D$4,4,FALSE)</f>
        <v>-</v>
      </c>
      <c r="AC27" s="57" t="str">
        <f>VLOOKUP(Tabelle1722[[#This Row],[Rechenzentren]],Dropdown!$A$2:$D$4,4,FALSE)</f>
        <v>-</v>
      </c>
    </row>
    <row r="28" spans="1:29" x14ac:dyDescent="0.2">
      <c r="A28" s="6" t="str">
        <f>Tabelle1722[[#This Row],[Kurzbeleg]]</f>
        <v>Sau19</v>
      </c>
      <c r="B28" s="57" t="str">
        <f>VLOOKUP(Tabelle1722[[#This Row],[Büros und Textilbetriebe gesamt]],Dropdown!$A$2:$D$4,4,FALSE)</f>
        <v>-</v>
      </c>
      <c r="C28" s="57" t="str">
        <f>VLOOKUP(Tabelle1722[[#This Row],[Handel gesamt]],Dropdown!$A$2:$D$4,4,FALSE)</f>
        <v>-</v>
      </c>
      <c r="D28" s="57" t="str">
        <f>VLOOKUP(Tabelle1722[[#This Row],[Gastgewerbe gesamt]],Dropdown!$A$2:$D$4,4,FALSE)</f>
        <v>-</v>
      </c>
      <c r="E28" s="57" t="str">
        <f>VLOOKUP(Tabelle1722[[#This Row],[Landwirtschaft gesamt]],Dropdown!$A$2:$D$4,4,FALSE)</f>
        <v>-</v>
      </c>
      <c r="F28" s="57" t="str">
        <f>VLOOKUP(Tabelle1722[[#This Row],[Gartenbau gesamt]],Dropdown!$A$2:$D$4,4,FALSE)</f>
        <v>-</v>
      </c>
      <c r="G28" s="57" t="str">
        <f>VLOOKUP(Tabelle1722[[#This Row],[Bäder gesamt]],Dropdown!$A$2:$D$4,4,FALSE)</f>
        <v>-</v>
      </c>
      <c r="H28" s="57" t="str">
        <f>VLOOKUP(Tabelle1722[[#This Row],[Wäschereien gesamt]],Dropdown!$A$2:$D$4,4,FALSE)</f>
        <v>-</v>
      </c>
      <c r="I28" s="57" t="str">
        <f>VLOOKUP(Tabelle1722[[#This Row],[produzierendes Gewerbe gesamt]],Dropdown!$A$2:$D$4,4,FALSE)</f>
        <v>-</v>
      </c>
      <c r="J28" s="57" t="str">
        <f>VLOOKUP(Tabelle1722[[#This Row],[Baugewerbe gesamt]],Dropdown!$A$2:$D$4,4,FALSE)</f>
        <v>-</v>
      </c>
      <c r="K28" s="57" t="str">
        <f>VLOOKUP(Tabelle1722[[#This Row],[Prozesskälte]],Dropdown!$A$2:$D$4,4,FALSE)</f>
        <v>-</v>
      </c>
      <c r="L28" s="57" t="str">
        <f>VLOOKUP(Tabelle1722[[#This Row],[Kühlhäuser]],Dropdown!$A$2:$D$4,4,FALSE)</f>
        <v>-</v>
      </c>
      <c r="M28" s="57" t="str">
        <f>VLOOKUP(Tabelle1722[[#This Row],[Kühlung im 
Lebensmitteleinzelhandel]],Dropdown!$A$2:$D$4,4,FALSE)</f>
        <v>-</v>
      </c>
      <c r="N28" s="57" t="str">
        <f>VLOOKUP(Tabelle1722[[#This Row],[Kühlung im Gastronomiebereich 
(Hotels, Restaurants)]],Dropdown!$A$2:$D$4,4,FALSE)</f>
        <v>-</v>
      </c>
      <c r="O28" s="57" t="str">
        <f>VLOOKUP(Tabelle1722[[#This Row],[Klimakälte]],Dropdown!$A$2:$D$4,4,FALSE)</f>
        <v>-</v>
      </c>
      <c r="P28" s="57" t="str">
        <f>VLOOKUP(Tabelle1722[[#This Row],[Warmwasserbereitstellung]],Dropdown!$A$2:$D$4,4,FALSE)</f>
        <v>-</v>
      </c>
      <c r="Q28" s="57" t="str">
        <f>VLOOKUP(Tabelle1722[[#This Row],[Raumwärme 
(elektrische Raumheizung)]],Dropdown!$A$2:$D$4,4,FALSE)</f>
        <v>-</v>
      </c>
      <c r="R28" s="57" t="str">
        <f>VLOOKUP(Tabelle1722[[#This Row],[Nachtspeicherheizungen]],Dropdown!$A$2:$D$4,4,FALSE)</f>
        <v>-</v>
      </c>
      <c r="S28" s="57" t="str">
        <f>VLOOKUP(Tabelle1722[[#This Row],[Wärmepumpen]],Dropdown!$A$2:$D$4,4,FALSE)</f>
        <v>-</v>
      </c>
      <c r="T28" s="57" t="str">
        <f>VLOOKUP(Tabelle1722[[#This Row],[Hybrid-Wärmeerzeugungssysteme]],Dropdown!$A$2:$D$4,4,FALSE)</f>
        <v>-</v>
      </c>
      <c r="U28" s="57" t="str">
        <f>VLOOKUP(Tabelle1722[[#This Row],[Pumpenanwendungen]],Dropdown!$A$2:$D$4,4,FALSE)</f>
        <v>-</v>
      </c>
      <c r="V28" s="57" t="str">
        <f>VLOOKUP(Tabelle1722[[#This Row],[Pumpenanwendungen in der 
Wasserversorgung]],Dropdown!$A$2:$D$4,4,FALSE)</f>
        <v>-</v>
      </c>
      <c r="W28" s="57" t="str">
        <f>VLOOKUP(Tabelle1722[[#This Row],[Beleuchtung im Gartenbau]],Dropdown!$A$2:$D$4,4,FALSE)</f>
        <v>-</v>
      </c>
      <c r="X28" s="57" t="str">
        <f>VLOOKUP(Tabelle1722[[#This Row],[Belüftung]],Dropdown!$A$2:$D$4,4,FALSE)</f>
        <v>-</v>
      </c>
      <c r="Y28" s="57" t="str">
        <f>VLOOKUP(Tabelle1722[[#This Row],[Abwasserbehandlung]],Dropdown!$A$2:$D$4,4,FALSE)</f>
        <v>-</v>
      </c>
      <c r="Z28" s="57" t="str">
        <f>VLOOKUP(Tabelle1722[[#This Row],[Notstromaggregate, Back-Up-
Server und Mobilfunkstationen]],Dropdown!$A$2:$D$4,4,FALSE)</f>
        <v>-</v>
      </c>
      <c r="AA28" s="57" t="str">
        <f>VLOOKUP(Tabelle1722[[#This Row],[Prozesswärme]],Dropdown!$A$2:$D$4,4,FALSE)</f>
        <v>-</v>
      </c>
      <c r="AB28" s="57" t="str">
        <f>VLOOKUP(Tabelle1722[[#This Row],[Druckluft]],Dropdown!$A$2:$D$4,4,FALSE)</f>
        <v>-</v>
      </c>
      <c r="AC28" s="57" t="str">
        <f>VLOOKUP(Tabelle1722[[#This Row],[Rechenzentren]],Dropdown!$A$2:$D$4,4,FALSE)</f>
        <v>-</v>
      </c>
    </row>
    <row r="29" spans="1:29" x14ac:dyDescent="0.2">
      <c r="A29" s="6" t="str">
        <f>Tabelle1722[[#This Row],[Kurzbeleg]]</f>
        <v>Sch14</v>
      </c>
      <c r="B29" s="57" t="str">
        <f>VLOOKUP(Tabelle1722[[#This Row],[Büros und Textilbetriebe gesamt]],Dropdown!$A$2:$D$4,4,FALSE)</f>
        <v>-</v>
      </c>
      <c r="C29" s="57" t="str">
        <f>VLOOKUP(Tabelle1722[[#This Row],[Handel gesamt]],Dropdown!$A$2:$D$4,4,FALSE)</f>
        <v>-</v>
      </c>
      <c r="D29" s="57" t="str">
        <f>VLOOKUP(Tabelle1722[[#This Row],[Gastgewerbe gesamt]],Dropdown!$A$2:$D$4,4,FALSE)</f>
        <v>-</v>
      </c>
      <c r="E29" s="57" t="str">
        <f>VLOOKUP(Tabelle1722[[#This Row],[Landwirtschaft gesamt]],Dropdown!$A$2:$D$4,4,FALSE)</f>
        <v>-</v>
      </c>
      <c r="F29" s="57" t="str">
        <f>VLOOKUP(Tabelle1722[[#This Row],[Gartenbau gesamt]],Dropdown!$A$2:$D$4,4,FALSE)</f>
        <v>-</v>
      </c>
      <c r="G29" s="57" t="str">
        <f>VLOOKUP(Tabelle1722[[#This Row],[Bäder gesamt]],Dropdown!$A$2:$D$4,4,FALSE)</f>
        <v>-</v>
      </c>
      <c r="H29" s="57" t="str">
        <f>VLOOKUP(Tabelle1722[[#This Row],[Wäschereien gesamt]],Dropdown!$A$2:$D$4,4,FALSE)</f>
        <v>-</v>
      </c>
      <c r="I29" s="57" t="str">
        <f>VLOOKUP(Tabelle1722[[#This Row],[produzierendes Gewerbe gesamt]],Dropdown!$A$2:$D$4,4,FALSE)</f>
        <v>-</v>
      </c>
      <c r="J29" s="57" t="str">
        <f>VLOOKUP(Tabelle1722[[#This Row],[Baugewerbe gesamt]],Dropdown!$A$2:$D$4,4,FALSE)</f>
        <v>-</v>
      </c>
      <c r="K29" s="57" t="str">
        <f>VLOOKUP(Tabelle1722[[#This Row],[Prozesskälte]],Dropdown!$A$2:$D$4,4,FALSE)</f>
        <v>-</v>
      </c>
      <c r="L29" s="57" t="str">
        <f>VLOOKUP(Tabelle1722[[#This Row],[Kühlhäuser]],Dropdown!$A$2:$D$4,4,FALSE)</f>
        <v>X</v>
      </c>
      <c r="M29" s="57" t="str">
        <f>VLOOKUP(Tabelle1722[[#This Row],[Kühlung im 
Lebensmitteleinzelhandel]],Dropdown!$A$2:$D$4,4,FALSE)</f>
        <v>X</v>
      </c>
      <c r="N29" s="57" t="str">
        <f>VLOOKUP(Tabelle1722[[#This Row],[Kühlung im Gastronomiebereich 
(Hotels, Restaurants)]],Dropdown!$A$2:$D$4,4,FALSE)</f>
        <v>X</v>
      </c>
      <c r="O29" s="57" t="str">
        <f>VLOOKUP(Tabelle1722[[#This Row],[Klimakälte]],Dropdown!$A$2:$D$4,4,FALSE)</f>
        <v>X</v>
      </c>
      <c r="P29" s="57" t="str">
        <f>VLOOKUP(Tabelle1722[[#This Row],[Warmwasserbereitstellung]],Dropdown!$A$2:$D$4,4,FALSE)</f>
        <v>X</v>
      </c>
      <c r="Q29" s="57" t="str">
        <f>VLOOKUP(Tabelle1722[[#This Row],[Raumwärme 
(elektrische Raumheizung)]],Dropdown!$A$2:$D$4,4,FALSE)</f>
        <v>-</v>
      </c>
      <c r="R29" s="57" t="str">
        <f>VLOOKUP(Tabelle1722[[#This Row],[Nachtspeicherheizungen]],Dropdown!$A$2:$D$4,4,FALSE)</f>
        <v>X</v>
      </c>
      <c r="S29" s="57" t="str">
        <f>VLOOKUP(Tabelle1722[[#This Row],[Wärmepumpen]],Dropdown!$A$2:$D$4,4,FALSE)</f>
        <v>-</v>
      </c>
      <c r="T29" s="57" t="str">
        <f>VLOOKUP(Tabelle1722[[#This Row],[Hybrid-Wärmeerzeugungssysteme]],Dropdown!$A$2:$D$4,4,FALSE)</f>
        <v>-</v>
      </c>
      <c r="U29" s="57" t="str">
        <f>VLOOKUP(Tabelle1722[[#This Row],[Pumpenanwendungen]],Dropdown!$A$2:$D$4,4,FALSE)</f>
        <v>-</v>
      </c>
      <c r="V29" s="57" t="str">
        <f>VLOOKUP(Tabelle1722[[#This Row],[Pumpenanwendungen in der 
Wasserversorgung]],Dropdown!$A$2:$D$4,4,FALSE)</f>
        <v>X</v>
      </c>
      <c r="W29" s="57" t="str">
        <f>VLOOKUP(Tabelle1722[[#This Row],[Beleuchtung im Gartenbau]],Dropdown!$A$2:$D$4,4,FALSE)</f>
        <v>-</v>
      </c>
      <c r="X29" s="57" t="str">
        <f>VLOOKUP(Tabelle1722[[#This Row],[Belüftung]],Dropdown!$A$2:$D$4,4,FALSE)</f>
        <v>X</v>
      </c>
      <c r="Y29" s="57" t="str">
        <f>VLOOKUP(Tabelle1722[[#This Row],[Abwasserbehandlung]],Dropdown!$A$2:$D$4,4,FALSE)</f>
        <v>X</v>
      </c>
      <c r="Z29" s="57" t="str">
        <f>VLOOKUP(Tabelle1722[[#This Row],[Notstromaggregate, Back-Up-
Server und Mobilfunkstationen]],Dropdown!$A$2:$D$4,4,FALSE)</f>
        <v>-</v>
      </c>
      <c r="AA29" s="57" t="str">
        <f>VLOOKUP(Tabelle1722[[#This Row],[Prozesswärme]],Dropdown!$A$2:$D$4,4,FALSE)</f>
        <v>-</v>
      </c>
      <c r="AB29" s="57" t="str">
        <f>VLOOKUP(Tabelle1722[[#This Row],[Druckluft]],Dropdown!$A$2:$D$4,4,FALSE)</f>
        <v>-</v>
      </c>
      <c r="AC29" s="57" t="str">
        <f>VLOOKUP(Tabelle1722[[#This Row],[Rechenzentren]],Dropdown!$A$2:$D$4,4,FALSE)</f>
        <v>-</v>
      </c>
    </row>
    <row r="30" spans="1:29" x14ac:dyDescent="0.2">
      <c r="A30" s="6" t="str">
        <f>Tabelle1722[[#This Row],[Kurzbeleg]]</f>
        <v>Sta06</v>
      </c>
      <c r="B30" s="57" t="str">
        <f>VLOOKUP(Tabelle1722[[#This Row],[Büros und Textilbetriebe gesamt]],Dropdown!$A$2:$D$4,4,FALSE)</f>
        <v>-</v>
      </c>
      <c r="C30" s="57" t="str">
        <f>VLOOKUP(Tabelle1722[[#This Row],[Handel gesamt]],Dropdown!$A$2:$D$4,4,FALSE)</f>
        <v>-</v>
      </c>
      <c r="D30" s="57" t="str">
        <f>VLOOKUP(Tabelle1722[[#This Row],[Gastgewerbe gesamt]],Dropdown!$A$2:$D$4,4,FALSE)</f>
        <v>-</v>
      </c>
      <c r="E30" s="57" t="str">
        <f>VLOOKUP(Tabelle1722[[#This Row],[Landwirtschaft gesamt]],Dropdown!$A$2:$D$4,4,FALSE)</f>
        <v>-</v>
      </c>
      <c r="F30" s="57" t="str">
        <f>VLOOKUP(Tabelle1722[[#This Row],[Gartenbau gesamt]],Dropdown!$A$2:$D$4,4,FALSE)</f>
        <v>-</v>
      </c>
      <c r="G30" s="57" t="str">
        <f>VLOOKUP(Tabelle1722[[#This Row],[Bäder gesamt]],Dropdown!$A$2:$D$4,4,FALSE)</f>
        <v>-</v>
      </c>
      <c r="H30" s="57" t="str">
        <f>VLOOKUP(Tabelle1722[[#This Row],[Wäschereien gesamt]],Dropdown!$A$2:$D$4,4,FALSE)</f>
        <v>-</v>
      </c>
      <c r="I30" s="57" t="str">
        <f>VLOOKUP(Tabelle1722[[#This Row],[produzierendes Gewerbe gesamt]],Dropdown!$A$2:$D$4,4,FALSE)</f>
        <v>-</v>
      </c>
      <c r="J30" s="57" t="str">
        <f>VLOOKUP(Tabelle1722[[#This Row],[Baugewerbe gesamt]],Dropdown!$A$2:$D$4,4,FALSE)</f>
        <v>-</v>
      </c>
      <c r="K30" s="57" t="str">
        <f>VLOOKUP(Tabelle1722[[#This Row],[Prozesskälte]],Dropdown!$A$2:$D$4,4,FALSE)</f>
        <v>-</v>
      </c>
      <c r="L30" s="57" t="str">
        <f>VLOOKUP(Tabelle1722[[#This Row],[Kühlhäuser]],Dropdown!$A$2:$D$4,4,FALSE)</f>
        <v>X</v>
      </c>
      <c r="M30" s="57" t="str">
        <f>VLOOKUP(Tabelle1722[[#This Row],[Kühlung im 
Lebensmitteleinzelhandel]],Dropdown!$A$2:$D$4,4,FALSE)</f>
        <v>-</v>
      </c>
      <c r="N30" s="57" t="str">
        <f>VLOOKUP(Tabelle1722[[#This Row],[Kühlung im Gastronomiebereich 
(Hotels, Restaurants)]],Dropdown!$A$2:$D$4,4,FALSE)</f>
        <v>-</v>
      </c>
      <c r="O30" s="57" t="str">
        <f>VLOOKUP(Tabelle1722[[#This Row],[Klimakälte]],Dropdown!$A$2:$D$4,4,FALSE)</f>
        <v>-</v>
      </c>
      <c r="P30" s="57" t="str">
        <f>VLOOKUP(Tabelle1722[[#This Row],[Warmwasserbereitstellung]],Dropdown!$A$2:$D$4,4,FALSE)</f>
        <v>-</v>
      </c>
      <c r="Q30" s="57" t="str">
        <f>VLOOKUP(Tabelle1722[[#This Row],[Raumwärme 
(elektrische Raumheizung)]],Dropdown!$A$2:$D$4,4,FALSE)</f>
        <v>-</v>
      </c>
      <c r="R30" s="57" t="str">
        <f>VLOOKUP(Tabelle1722[[#This Row],[Nachtspeicherheizungen]],Dropdown!$A$2:$D$4,4,FALSE)</f>
        <v>-</v>
      </c>
      <c r="S30" s="57" t="str">
        <f>VLOOKUP(Tabelle1722[[#This Row],[Wärmepumpen]],Dropdown!$A$2:$D$4,4,FALSE)</f>
        <v>-</v>
      </c>
      <c r="T30" s="57" t="str">
        <f>VLOOKUP(Tabelle1722[[#This Row],[Hybrid-Wärmeerzeugungssysteme]],Dropdown!$A$2:$D$4,4,FALSE)</f>
        <v>-</v>
      </c>
      <c r="U30" s="57" t="str">
        <f>VLOOKUP(Tabelle1722[[#This Row],[Pumpenanwendungen]],Dropdown!$A$2:$D$4,4,FALSE)</f>
        <v>-</v>
      </c>
      <c r="V30" s="57" t="str">
        <f>VLOOKUP(Tabelle1722[[#This Row],[Pumpenanwendungen in der 
Wasserversorgung]],Dropdown!$A$2:$D$4,4,FALSE)</f>
        <v>-</v>
      </c>
      <c r="W30" s="57" t="str">
        <f>VLOOKUP(Tabelle1722[[#This Row],[Beleuchtung im Gartenbau]],Dropdown!$A$2:$D$4,4,FALSE)</f>
        <v>-</v>
      </c>
      <c r="X30" s="57" t="str">
        <f>VLOOKUP(Tabelle1722[[#This Row],[Belüftung]],Dropdown!$A$2:$D$4,4,FALSE)</f>
        <v>X</v>
      </c>
      <c r="Y30" s="57" t="str">
        <f>VLOOKUP(Tabelle1722[[#This Row],[Abwasserbehandlung]],Dropdown!$A$2:$D$4,4,FALSE)</f>
        <v>-</v>
      </c>
      <c r="Z30" s="57" t="str">
        <f>VLOOKUP(Tabelle1722[[#This Row],[Notstromaggregate, Back-Up-
Server und Mobilfunkstationen]],Dropdown!$A$2:$D$4,4,FALSE)</f>
        <v>-</v>
      </c>
      <c r="AA30" s="57" t="str">
        <f>VLOOKUP(Tabelle1722[[#This Row],[Prozesswärme]],Dropdown!$A$2:$D$4,4,FALSE)</f>
        <v>-</v>
      </c>
      <c r="AB30" s="57" t="str">
        <f>VLOOKUP(Tabelle1722[[#This Row],[Druckluft]],Dropdown!$A$2:$D$4,4,FALSE)</f>
        <v>-</v>
      </c>
      <c r="AC30" s="57" t="str">
        <f>VLOOKUP(Tabelle1722[[#This Row],[Rechenzentren]],Dropdown!$A$2:$D$4,4,FALSE)</f>
        <v>-</v>
      </c>
    </row>
    <row r="31" spans="1:29" x14ac:dyDescent="0.2">
      <c r="A31" s="6" t="str">
        <f>Tabelle1722[[#This Row],[Kurzbeleg]]</f>
        <v>Ste17</v>
      </c>
      <c r="B31" s="57" t="str">
        <f>VLOOKUP(Tabelle1722[[#This Row],[Büros und Textilbetriebe gesamt]],Dropdown!$A$2:$D$4,4,FALSE)</f>
        <v>-</v>
      </c>
      <c r="C31" s="57" t="str">
        <f>VLOOKUP(Tabelle1722[[#This Row],[Handel gesamt]],Dropdown!$A$2:$D$4,4,FALSE)</f>
        <v>-</v>
      </c>
      <c r="D31" s="57" t="str">
        <f>VLOOKUP(Tabelle1722[[#This Row],[Gastgewerbe gesamt]],Dropdown!$A$2:$D$4,4,FALSE)</f>
        <v>-</v>
      </c>
      <c r="E31" s="57" t="str">
        <f>VLOOKUP(Tabelle1722[[#This Row],[Landwirtschaft gesamt]],Dropdown!$A$2:$D$4,4,FALSE)</f>
        <v>-</v>
      </c>
      <c r="F31" s="57" t="str">
        <f>VLOOKUP(Tabelle1722[[#This Row],[Gartenbau gesamt]],Dropdown!$A$2:$D$4,4,FALSE)</f>
        <v>-</v>
      </c>
      <c r="G31" s="57" t="str">
        <f>VLOOKUP(Tabelle1722[[#This Row],[Bäder gesamt]],Dropdown!$A$2:$D$4,4,FALSE)</f>
        <v>-</v>
      </c>
      <c r="H31" s="57" t="str">
        <f>VLOOKUP(Tabelle1722[[#This Row],[Wäschereien gesamt]],Dropdown!$A$2:$D$4,4,FALSE)</f>
        <v>-</v>
      </c>
      <c r="I31" s="57" t="str">
        <f>VLOOKUP(Tabelle1722[[#This Row],[produzierendes Gewerbe gesamt]],Dropdown!$A$2:$D$4,4,FALSE)</f>
        <v>-</v>
      </c>
      <c r="J31" s="57" t="str">
        <f>VLOOKUP(Tabelle1722[[#This Row],[Baugewerbe gesamt]],Dropdown!$A$2:$D$4,4,FALSE)</f>
        <v>-</v>
      </c>
      <c r="K31" s="57" t="str">
        <f>VLOOKUP(Tabelle1722[[#This Row],[Prozesskälte]],Dropdown!$A$2:$D$4,4,FALSE)</f>
        <v>-</v>
      </c>
      <c r="L31" s="57" t="str">
        <f>VLOOKUP(Tabelle1722[[#This Row],[Kühlhäuser]],Dropdown!$A$2:$D$4,4,FALSE)</f>
        <v>-</v>
      </c>
      <c r="M31" s="57" t="str">
        <f>VLOOKUP(Tabelle1722[[#This Row],[Kühlung im 
Lebensmitteleinzelhandel]],Dropdown!$A$2:$D$4,4,FALSE)</f>
        <v>-</v>
      </c>
      <c r="N31" s="57" t="str">
        <f>VLOOKUP(Tabelle1722[[#This Row],[Kühlung im Gastronomiebereich 
(Hotels, Restaurants)]],Dropdown!$A$2:$D$4,4,FALSE)</f>
        <v>-</v>
      </c>
      <c r="O31" s="57" t="str">
        <f>VLOOKUP(Tabelle1722[[#This Row],[Klimakälte]],Dropdown!$A$2:$D$4,4,FALSE)</f>
        <v>-</v>
      </c>
      <c r="P31" s="57" t="str">
        <f>VLOOKUP(Tabelle1722[[#This Row],[Warmwasserbereitstellung]],Dropdown!$A$2:$D$4,4,FALSE)</f>
        <v>-</v>
      </c>
      <c r="Q31" s="57" t="str">
        <f>VLOOKUP(Tabelle1722[[#This Row],[Raumwärme 
(elektrische Raumheizung)]],Dropdown!$A$2:$D$4,4,FALSE)</f>
        <v>-</v>
      </c>
      <c r="R31" s="57" t="str">
        <f>VLOOKUP(Tabelle1722[[#This Row],[Nachtspeicherheizungen]],Dropdown!$A$2:$D$4,4,FALSE)</f>
        <v>-</v>
      </c>
      <c r="S31" s="57" t="str">
        <f>VLOOKUP(Tabelle1722[[#This Row],[Wärmepumpen]],Dropdown!$A$2:$D$4,4,FALSE)</f>
        <v>-</v>
      </c>
      <c r="T31" s="57" t="str">
        <f>VLOOKUP(Tabelle1722[[#This Row],[Hybrid-Wärmeerzeugungssysteme]],Dropdown!$A$2:$D$4,4,FALSE)</f>
        <v>-</v>
      </c>
      <c r="U31" s="57" t="str">
        <f>VLOOKUP(Tabelle1722[[#This Row],[Pumpenanwendungen]],Dropdown!$A$2:$D$4,4,FALSE)</f>
        <v>-</v>
      </c>
      <c r="V31" s="57" t="str">
        <f>VLOOKUP(Tabelle1722[[#This Row],[Pumpenanwendungen in der 
Wasserversorgung]],Dropdown!$A$2:$D$4,4,FALSE)</f>
        <v>-</v>
      </c>
      <c r="W31" s="57" t="str">
        <f>VLOOKUP(Tabelle1722[[#This Row],[Beleuchtung im Gartenbau]],Dropdown!$A$2:$D$4,4,FALSE)</f>
        <v>-</v>
      </c>
      <c r="X31" s="57" t="str">
        <f>VLOOKUP(Tabelle1722[[#This Row],[Belüftung]],Dropdown!$A$2:$D$4,4,FALSE)</f>
        <v>-</v>
      </c>
      <c r="Y31" s="57" t="str">
        <f>VLOOKUP(Tabelle1722[[#This Row],[Abwasserbehandlung]],Dropdown!$A$2:$D$4,4,FALSE)</f>
        <v>-</v>
      </c>
      <c r="Z31" s="57" t="str">
        <f>VLOOKUP(Tabelle1722[[#This Row],[Notstromaggregate, Back-Up-
Server und Mobilfunkstationen]],Dropdown!$A$2:$D$4,4,FALSE)</f>
        <v>-</v>
      </c>
      <c r="AA31" s="57" t="str">
        <f>VLOOKUP(Tabelle1722[[#This Row],[Prozesswärme]],Dropdown!$A$2:$D$4,4,FALSE)</f>
        <v>-</v>
      </c>
      <c r="AB31" s="57" t="str">
        <f>VLOOKUP(Tabelle1722[[#This Row],[Druckluft]],Dropdown!$A$2:$D$4,4,FALSE)</f>
        <v>-</v>
      </c>
      <c r="AC31" s="57" t="str">
        <f>VLOOKUP(Tabelle1722[[#This Row],[Rechenzentren]],Dropdown!$A$2:$D$4,4,FALSE)</f>
        <v>-</v>
      </c>
    </row>
    <row r="32" spans="1:29" x14ac:dyDescent="0.2">
      <c r="A32" s="6" t="str">
        <f>Tabelle1722[[#This Row],[Kurzbeleg]]</f>
        <v>Sty15</v>
      </c>
      <c r="B32" s="57" t="str">
        <f>VLOOKUP(Tabelle1722[[#This Row],[Büros und Textilbetriebe gesamt]],Dropdown!$A$2:$D$4,4,FALSE)</f>
        <v>-</v>
      </c>
      <c r="C32" s="57" t="str">
        <f>VLOOKUP(Tabelle1722[[#This Row],[Handel gesamt]],Dropdown!$A$2:$D$4,4,FALSE)</f>
        <v>-</v>
      </c>
      <c r="D32" s="57" t="str">
        <f>VLOOKUP(Tabelle1722[[#This Row],[Gastgewerbe gesamt]],Dropdown!$A$2:$D$4,4,FALSE)</f>
        <v>-</v>
      </c>
      <c r="E32" s="57" t="str">
        <f>VLOOKUP(Tabelle1722[[#This Row],[Landwirtschaft gesamt]],Dropdown!$A$2:$D$4,4,FALSE)</f>
        <v>-</v>
      </c>
      <c r="F32" s="57" t="str">
        <f>VLOOKUP(Tabelle1722[[#This Row],[Gartenbau gesamt]],Dropdown!$A$2:$D$4,4,FALSE)</f>
        <v>-</v>
      </c>
      <c r="G32" s="57" t="str">
        <f>VLOOKUP(Tabelle1722[[#This Row],[Bäder gesamt]],Dropdown!$A$2:$D$4,4,FALSE)</f>
        <v>-</v>
      </c>
      <c r="H32" s="57" t="str">
        <f>VLOOKUP(Tabelle1722[[#This Row],[Wäschereien gesamt]],Dropdown!$A$2:$D$4,4,FALSE)</f>
        <v>-</v>
      </c>
      <c r="I32" s="57" t="str">
        <f>VLOOKUP(Tabelle1722[[#This Row],[produzierendes Gewerbe gesamt]],Dropdown!$A$2:$D$4,4,FALSE)</f>
        <v>-</v>
      </c>
      <c r="J32" s="57" t="str">
        <f>VLOOKUP(Tabelle1722[[#This Row],[Baugewerbe gesamt]],Dropdown!$A$2:$D$4,4,FALSE)</f>
        <v>-</v>
      </c>
      <c r="K32" s="57" t="str">
        <f>VLOOKUP(Tabelle1722[[#This Row],[Prozesskälte]],Dropdown!$A$2:$D$4,4,FALSE)</f>
        <v>-</v>
      </c>
      <c r="L32" s="57" t="str">
        <f>VLOOKUP(Tabelle1722[[#This Row],[Kühlhäuser]],Dropdown!$A$2:$D$4,4,FALSE)</f>
        <v>-</v>
      </c>
      <c r="M32" s="57" t="str">
        <f>VLOOKUP(Tabelle1722[[#This Row],[Kühlung im 
Lebensmitteleinzelhandel]],Dropdown!$A$2:$D$4,4,FALSE)</f>
        <v>-</v>
      </c>
      <c r="N32" s="57" t="str">
        <f>VLOOKUP(Tabelle1722[[#This Row],[Kühlung im Gastronomiebereich 
(Hotels, Restaurants)]],Dropdown!$A$2:$D$4,4,FALSE)</f>
        <v>-</v>
      </c>
      <c r="O32" s="57" t="str">
        <f>VLOOKUP(Tabelle1722[[#This Row],[Klimakälte]],Dropdown!$A$2:$D$4,4,FALSE)</f>
        <v>-</v>
      </c>
      <c r="P32" s="57" t="str">
        <f>VLOOKUP(Tabelle1722[[#This Row],[Warmwasserbereitstellung]],Dropdown!$A$2:$D$4,4,FALSE)</f>
        <v>-</v>
      </c>
      <c r="Q32" s="57" t="str">
        <f>VLOOKUP(Tabelle1722[[#This Row],[Raumwärme 
(elektrische Raumheizung)]],Dropdown!$A$2:$D$4,4,FALSE)</f>
        <v>-</v>
      </c>
      <c r="R32" s="57" t="str">
        <f>VLOOKUP(Tabelle1722[[#This Row],[Nachtspeicherheizungen]],Dropdown!$A$2:$D$4,4,FALSE)</f>
        <v>-</v>
      </c>
      <c r="S32" s="57" t="str">
        <f>VLOOKUP(Tabelle1722[[#This Row],[Wärmepumpen]],Dropdown!$A$2:$D$4,4,FALSE)</f>
        <v>-</v>
      </c>
      <c r="T32" s="57" t="str">
        <f>VLOOKUP(Tabelle1722[[#This Row],[Hybrid-Wärmeerzeugungssysteme]],Dropdown!$A$2:$D$4,4,FALSE)</f>
        <v>-</v>
      </c>
      <c r="U32" s="57" t="str">
        <f>VLOOKUP(Tabelle1722[[#This Row],[Pumpenanwendungen]],Dropdown!$A$2:$D$4,4,FALSE)</f>
        <v>-</v>
      </c>
      <c r="V32" s="57" t="str">
        <f>VLOOKUP(Tabelle1722[[#This Row],[Pumpenanwendungen in der 
Wasserversorgung]],Dropdown!$A$2:$D$4,4,FALSE)</f>
        <v>-</v>
      </c>
      <c r="W32" s="57" t="str">
        <f>VLOOKUP(Tabelle1722[[#This Row],[Beleuchtung im Gartenbau]],Dropdown!$A$2:$D$4,4,FALSE)</f>
        <v>-</v>
      </c>
      <c r="X32" s="57" t="str">
        <f>VLOOKUP(Tabelle1722[[#This Row],[Belüftung]],Dropdown!$A$2:$D$4,4,FALSE)</f>
        <v>-</v>
      </c>
      <c r="Y32" s="57" t="str">
        <f>VLOOKUP(Tabelle1722[[#This Row],[Abwasserbehandlung]],Dropdown!$A$2:$D$4,4,FALSE)</f>
        <v>-</v>
      </c>
      <c r="Z32" s="57" t="str">
        <f>VLOOKUP(Tabelle1722[[#This Row],[Notstromaggregate, Back-Up-
Server und Mobilfunkstationen]],Dropdown!$A$2:$D$4,4,FALSE)</f>
        <v>-</v>
      </c>
      <c r="AA32" s="57" t="str">
        <f>VLOOKUP(Tabelle1722[[#This Row],[Prozesswärme]],Dropdown!$A$2:$D$4,4,FALSE)</f>
        <v>-</v>
      </c>
      <c r="AB32" s="57" t="str">
        <f>VLOOKUP(Tabelle1722[[#This Row],[Druckluft]],Dropdown!$A$2:$D$4,4,FALSE)</f>
        <v>-</v>
      </c>
      <c r="AC32" s="57" t="str">
        <f>VLOOKUP(Tabelle1722[[#This Row],[Rechenzentren]],Dropdown!$A$2:$D$4,4,FALSE)</f>
        <v>-</v>
      </c>
    </row>
    <row r="33" spans="1:29" x14ac:dyDescent="0.2">
      <c r="A33" s="6" t="str">
        <f>Tabelle1722[[#This Row],[Kurzbeleg]]</f>
        <v>Woh20</v>
      </c>
      <c r="B33" s="57" t="str">
        <f>VLOOKUP(Tabelle1722[[#This Row],[Büros und Textilbetriebe gesamt]],Dropdown!$A$2:$D$4,4,FALSE)</f>
        <v>-</v>
      </c>
      <c r="C33" s="57" t="str">
        <f>VLOOKUP(Tabelle1722[[#This Row],[Handel gesamt]],Dropdown!$A$2:$D$4,4,FALSE)</f>
        <v>-</v>
      </c>
      <c r="D33" s="57" t="str">
        <f>VLOOKUP(Tabelle1722[[#This Row],[Gastgewerbe gesamt]],Dropdown!$A$2:$D$4,4,FALSE)</f>
        <v>-</v>
      </c>
      <c r="E33" s="57" t="str">
        <f>VLOOKUP(Tabelle1722[[#This Row],[Landwirtschaft gesamt]],Dropdown!$A$2:$D$4,4,FALSE)</f>
        <v>-</v>
      </c>
      <c r="F33" s="57" t="str">
        <f>VLOOKUP(Tabelle1722[[#This Row],[Gartenbau gesamt]],Dropdown!$A$2:$D$4,4,FALSE)</f>
        <v>-</v>
      </c>
      <c r="G33" s="57" t="str">
        <f>VLOOKUP(Tabelle1722[[#This Row],[Bäder gesamt]],Dropdown!$A$2:$D$4,4,FALSE)</f>
        <v>-</v>
      </c>
      <c r="H33" s="57" t="str">
        <f>VLOOKUP(Tabelle1722[[#This Row],[Wäschereien gesamt]],Dropdown!$A$2:$D$4,4,FALSE)</f>
        <v>-</v>
      </c>
      <c r="I33" s="57" t="str">
        <f>VLOOKUP(Tabelle1722[[#This Row],[produzierendes Gewerbe gesamt]],Dropdown!$A$2:$D$4,4,FALSE)</f>
        <v>-</v>
      </c>
      <c r="J33" s="57" t="str">
        <f>VLOOKUP(Tabelle1722[[#This Row],[Baugewerbe gesamt]],Dropdown!$A$2:$D$4,4,FALSE)</f>
        <v>-</v>
      </c>
      <c r="K33" s="57" t="str">
        <f>VLOOKUP(Tabelle1722[[#This Row],[Prozesskälte]],Dropdown!$A$2:$D$4,4,FALSE)</f>
        <v>-</v>
      </c>
      <c r="L33" s="57" t="str">
        <f>VLOOKUP(Tabelle1722[[#This Row],[Kühlhäuser]],Dropdown!$A$2:$D$4,4,FALSE)</f>
        <v>X</v>
      </c>
      <c r="M33" s="57" t="str">
        <f>VLOOKUP(Tabelle1722[[#This Row],[Kühlung im 
Lebensmitteleinzelhandel]],Dropdown!$A$2:$D$4,4,FALSE)</f>
        <v>X</v>
      </c>
      <c r="N33" s="57" t="str">
        <f>VLOOKUP(Tabelle1722[[#This Row],[Kühlung im Gastronomiebereich 
(Hotels, Restaurants)]],Dropdown!$A$2:$D$4,4,FALSE)</f>
        <v>X</v>
      </c>
      <c r="O33" s="57" t="str">
        <f>VLOOKUP(Tabelle1722[[#This Row],[Klimakälte]],Dropdown!$A$2:$D$4,4,FALSE)</f>
        <v>X</v>
      </c>
      <c r="P33" s="57" t="str">
        <f>VLOOKUP(Tabelle1722[[#This Row],[Warmwasserbereitstellung]],Dropdown!$A$2:$D$4,4,FALSE)</f>
        <v>-</v>
      </c>
      <c r="Q33" s="57" t="str">
        <f>VLOOKUP(Tabelle1722[[#This Row],[Raumwärme 
(elektrische Raumheizung)]],Dropdown!$A$2:$D$4,4,FALSE)</f>
        <v>-</v>
      </c>
      <c r="R33" s="57" t="str">
        <f>VLOOKUP(Tabelle1722[[#This Row],[Nachtspeicherheizungen]],Dropdown!$A$2:$D$4,4,FALSE)</f>
        <v>-</v>
      </c>
      <c r="S33" s="57" t="str">
        <f>VLOOKUP(Tabelle1722[[#This Row],[Wärmepumpen]],Dropdown!$A$2:$D$4,4,FALSE)</f>
        <v>-</v>
      </c>
      <c r="T33" s="57" t="str">
        <f>VLOOKUP(Tabelle1722[[#This Row],[Hybrid-Wärmeerzeugungssysteme]],Dropdown!$A$2:$D$4,4,FALSE)</f>
        <v>-</v>
      </c>
      <c r="U33" s="57" t="str">
        <f>VLOOKUP(Tabelle1722[[#This Row],[Pumpenanwendungen]],Dropdown!$A$2:$D$4,4,FALSE)</f>
        <v>-</v>
      </c>
      <c r="V33" s="57" t="str">
        <f>VLOOKUP(Tabelle1722[[#This Row],[Pumpenanwendungen in der 
Wasserversorgung]],Dropdown!$A$2:$D$4,4,FALSE)</f>
        <v>-</v>
      </c>
      <c r="W33" s="57" t="str">
        <f>VLOOKUP(Tabelle1722[[#This Row],[Beleuchtung im Gartenbau]],Dropdown!$A$2:$D$4,4,FALSE)</f>
        <v>-</v>
      </c>
      <c r="X33" s="57" t="str">
        <f>VLOOKUP(Tabelle1722[[#This Row],[Belüftung]],Dropdown!$A$2:$D$4,4,FALSE)</f>
        <v>X</v>
      </c>
      <c r="Y33" s="57" t="str">
        <f>VLOOKUP(Tabelle1722[[#This Row],[Abwasserbehandlung]],Dropdown!$A$2:$D$4,4,FALSE)</f>
        <v>-</v>
      </c>
      <c r="Z33" s="57" t="str">
        <f>VLOOKUP(Tabelle1722[[#This Row],[Notstromaggregate, Back-Up-
Server und Mobilfunkstationen]],Dropdown!$A$2:$D$4,4,FALSE)</f>
        <v>-</v>
      </c>
      <c r="AA33" s="57" t="str">
        <f>VLOOKUP(Tabelle1722[[#This Row],[Prozesswärme]],Dropdown!$A$2:$D$4,4,FALSE)</f>
        <v>-</v>
      </c>
      <c r="AB33" s="57" t="str">
        <f>VLOOKUP(Tabelle1722[[#This Row],[Druckluft]],Dropdown!$A$2:$D$4,4,FALSE)</f>
        <v>-</v>
      </c>
      <c r="AC33" s="57" t="str">
        <f>VLOOKUP(Tabelle1722[[#This Row],[Rechenzentren]],Dropdown!$A$2:$D$4,4,FALSE)</f>
        <v>-</v>
      </c>
    </row>
    <row r="34" spans="1:29" x14ac:dyDescent="0.2">
      <c r="A34" s="6" t="str">
        <f>Tabelle1722[[#This Row],[Kurzbeleg]]</f>
        <v>Häufigkeit</v>
      </c>
      <c r="B34" s="140">
        <f>Tabelle1722[[#This Row],[Büros und Textilbetriebe gesamt]]</f>
        <v>1</v>
      </c>
      <c r="C34" s="140">
        <f>Tabelle1722[[#This Row],[Handel gesamt]]</f>
        <v>1</v>
      </c>
      <c r="D34" s="140">
        <f>Tabelle1722[[#This Row],[Gastgewerbe gesamt]]</f>
        <v>1</v>
      </c>
      <c r="E34" s="140">
        <f>Tabelle1722[[#This Row],[Landwirtschaft gesamt]]</f>
        <v>1</v>
      </c>
      <c r="F34" s="140">
        <f>Tabelle1722[[#This Row],[Gartenbau gesamt]]</f>
        <v>1</v>
      </c>
      <c r="G34" s="140">
        <f>Tabelle1722[[#This Row],[Bäder gesamt]]</f>
        <v>1</v>
      </c>
      <c r="H34" s="140">
        <f>Tabelle1722[[#This Row],[Wäschereien gesamt]]</f>
        <v>1</v>
      </c>
      <c r="I34" s="140">
        <f>Tabelle1722[[#This Row],[produzierendes Gewerbe gesamt]]</f>
        <v>1</v>
      </c>
      <c r="J34" s="140">
        <f>Tabelle1722[[#This Row],[Baugewerbe gesamt]]</f>
        <v>1</v>
      </c>
      <c r="K34" s="140">
        <f>Tabelle1722[[#This Row],[Prozesskälte]]</f>
        <v>8</v>
      </c>
      <c r="L34" s="140">
        <f>Tabelle1722[[#This Row],[Kühlhäuser]]</f>
        <v>8</v>
      </c>
      <c r="M34" s="140">
        <f>Tabelle1722[[#This Row],[Kühlung im 
Lebensmitteleinzelhandel]]</f>
        <v>8</v>
      </c>
      <c r="N34" s="140">
        <f>Tabelle1722[[#This Row],[Kühlung im Gastronomiebereich 
(Hotels, Restaurants)]]</f>
        <v>3</v>
      </c>
      <c r="O34" s="140">
        <f>Tabelle1722[[#This Row],[Klimakälte]]</f>
        <v>10</v>
      </c>
      <c r="P34" s="140">
        <f>Tabelle1722[[#This Row],[Warmwasserbereitstellung]]</f>
        <v>5</v>
      </c>
      <c r="Q34" s="140">
        <f>Tabelle1722[[#This Row],[Raumwärme 
(elektrische Raumheizung)]]</f>
        <v>3</v>
      </c>
      <c r="R34" s="140">
        <f>Tabelle1722[[#This Row],[Nachtspeicherheizungen]]</f>
        <v>5</v>
      </c>
      <c r="S34" s="140">
        <f>Tabelle1722[[#This Row],[Wärmepumpen]]</f>
        <v>1</v>
      </c>
      <c r="T34" s="140">
        <f>Tabelle1722[[#This Row],[Hybrid-Wärmeerzeugungssysteme]]</f>
        <v>1</v>
      </c>
      <c r="U34" s="140">
        <f>Tabelle1722[[#This Row],[Pumpenanwendungen]]</f>
        <v>1</v>
      </c>
      <c r="V34" s="140">
        <f>Tabelle1722[[#This Row],[Pumpenanwendungen in der 
Wasserversorgung]]</f>
        <v>4</v>
      </c>
      <c r="W34" s="140">
        <f>Tabelle1722[[#This Row],[Beleuchtung im Gartenbau]]</f>
        <v>2</v>
      </c>
      <c r="X34" s="140">
        <f>Tabelle1722[[#This Row],[Belüftung]]</f>
        <v>10</v>
      </c>
      <c r="Y34" s="140">
        <f>Tabelle1722[[#This Row],[Abwasserbehandlung]]</f>
        <v>3</v>
      </c>
      <c r="Z34" s="140">
        <f>Tabelle1722[[#This Row],[Notstromaggregate, Back-Up-
Server und Mobilfunkstationen]]</f>
        <v>1</v>
      </c>
      <c r="AA34" s="140">
        <f>Tabelle1722[[#This Row],[Prozesswärme]]</f>
        <v>1</v>
      </c>
      <c r="AB34" s="140">
        <f>Tabelle1722[[#This Row],[Druckluft]]</f>
        <v>1</v>
      </c>
      <c r="AC34" s="140">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Z29" sqref="Z29"/>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1596</v>
      </c>
    </row>
    <row r="2" spans="1:20" x14ac:dyDescent="0.2">
      <c r="A2" s="6" t="str">
        <f>Gesamtueberblick!B3</f>
        <v>Ape12</v>
      </c>
      <c r="B2" s="75">
        <v>1</v>
      </c>
      <c r="C2" s="75">
        <v>1</v>
      </c>
      <c r="D2" s="75">
        <v>1</v>
      </c>
      <c r="E2" s="75">
        <v>1</v>
      </c>
      <c r="F2" s="75">
        <v>1</v>
      </c>
      <c r="G2" s="75">
        <v>1</v>
      </c>
      <c r="H2" s="75"/>
      <c r="I2" s="75">
        <v>1</v>
      </c>
      <c r="J2" s="75">
        <v>1</v>
      </c>
      <c r="K2" s="75">
        <v>1</v>
      </c>
      <c r="L2" s="75">
        <v>1</v>
      </c>
      <c r="M2" s="75"/>
      <c r="N2" s="75"/>
      <c r="O2" s="75"/>
      <c r="P2" s="75"/>
      <c r="Q2" s="75"/>
      <c r="R2" s="75"/>
      <c r="S2" s="75"/>
      <c r="T2" s="75"/>
    </row>
    <row r="3" spans="1:20" x14ac:dyDescent="0.2">
      <c r="A3" s="6" t="str">
        <f>Gesamtueberblick!B4</f>
        <v>Ary17</v>
      </c>
      <c r="B3" s="75"/>
      <c r="C3" s="75">
        <v>1</v>
      </c>
      <c r="D3" s="75">
        <v>1</v>
      </c>
      <c r="E3" s="75">
        <v>1</v>
      </c>
      <c r="F3" s="75"/>
      <c r="G3" s="75"/>
      <c r="H3" s="75"/>
      <c r="I3" s="75">
        <v>1</v>
      </c>
      <c r="J3" s="75"/>
      <c r="K3" s="75">
        <v>1</v>
      </c>
      <c r="L3" s="75">
        <v>1</v>
      </c>
      <c r="M3" s="75">
        <v>1</v>
      </c>
      <c r="N3" s="75">
        <v>1</v>
      </c>
      <c r="O3" s="75">
        <v>1</v>
      </c>
      <c r="P3" s="75"/>
      <c r="Q3" s="75"/>
      <c r="R3" s="75"/>
      <c r="S3" s="75"/>
      <c r="T3" s="75"/>
    </row>
    <row r="4" spans="1:20" x14ac:dyDescent="0.2">
      <c r="A4" s="6" t="str">
        <f>Gesamtueberblick!B5</f>
        <v>Aus18</v>
      </c>
      <c r="B4" s="75"/>
      <c r="C4" s="75"/>
      <c r="D4" s="75"/>
      <c r="E4" s="75"/>
      <c r="F4" s="75"/>
      <c r="G4" s="75"/>
      <c r="H4" s="75"/>
      <c r="I4" s="75"/>
      <c r="J4" s="75"/>
      <c r="K4" s="75"/>
      <c r="L4" s="75"/>
      <c r="M4" s="75"/>
      <c r="N4" s="75"/>
      <c r="O4" s="75"/>
      <c r="P4" s="75"/>
      <c r="Q4" s="75"/>
      <c r="R4" s="75"/>
      <c r="S4" s="75"/>
      <c r="T4" s="75"/>
    </row>
    <row r="5" spans="1:20" x14ac:dyDescent="0.2">
      <c r="A5" s="6" t="str">
        <f>Gesamtueberblick!B6</f>
        <v>Blu13</v>
      </c>
      <c r="B5" s="75"/>
      <c r="C5" s="75"/>
      <c r="D5" s="75"/>
      <c r="E5" s="75"/>
      <c r="F5" s="75"/>
      <c r="G5" s="75"/>
      <c r="H5" s="75"/>
      <c r="I5" s="75"/>
      <c r="J5" s="75"/>
      <c r="K5" s="75"/>
      <c r="L5" s="75"/>
      <c r="M5" s="75"/>
      <c r="N5" s="75"/>
      <c r="O5" s="75"/>
      <c r="P5" s="75"/>
      <c r="Q5" s="75"/>
      <c r="R5" s="75"/>
      <c r="S5" s="75"/>
      <c r="T5" s="75"/>
    </row>
    <row r="6" spans="1:20" x14ac:dyDescent="0.2">
      <c r="A6" s="6" t="str">
        <f>Gesamtueberblick!B7</f>
        <v>Foc11</v>
      </c>
      <c r="B6" s="75"/>
      <c r="C6" s="75"/>
      <c r="D6" s="75"/>
      <c r="E6" s="75"/>
      <c r="F6" s="75"/>
      <c r="G6" s="75"/>
      <c r="H6" s="75"/>
      <c r="I6" s="75"/>
      <c r="J6" s="75"/>
      <c r="K6" s="75"/>
      <c r="L6" s="75"/>
      <c r="M6" s="75"/>
      <c r="N6" s="75"/>
      <c r="O6" s="75"/>
      <c r="P6" s="75"/>
      <c r="Q6" s="75"/>
      <c r="R6" s="75"/>
      <c r="S6" s="75"/>
      <c r="T6" s="75"/>
    </row>
    <row r="7" spans="1:20" x14ac:dyDescent="0.2">
      <c r="A7" s="6" t="str">
        <f>Gesamtueberblick!B8</f>
        <v>Gil15</v>
      </c>
      <c r="B7" s="75">
        <v>1</v>
      </c>
      <c r="C7" s="75">
        <v>1</v>
      </c>
      <c r="D7" s="75">
        <v>1</v>
      </c>
      <c r="E7" s="75">
        <v>1</v>
      </c>
      <c r="F7" s="75">
        <v>1</v>
      </c>
      <c r="G7" s="75">
        <v>1</v>
      </c>
      <c r="H7" s="75"/>
      <c r="I7" s="75">
        <v>1</v>
      </c>
      <c r="J7" s="75">
        <v>1</v>
      </c>
      <c r="K7" s="75">
        <v>1</v>
      </c>
      <c r="L7" s="75">
        <v>1</v>
      </c>
      <c r="M7" s="75"/>
      <c r="N7" s="75"/>
      <c r="O7" s="75">
        <v>1</v>
      </c>
      <c r="P7" s="75"/>
      <c r="Q7" s="75"/>
      <c r="R7" s="75"/>
      <c r="S7" s="75"/>
      <c r="T7" s="75"/>
    </row>
    <row r="8" spans="1:20" x14ac:dyDescent="0.2">
      <c r="A8" s="6" t="str">
        <f>Gesamtueberblick!B9</f>
        <v>Gob12</v>
      </c>
      <c r="B8" s="75">
        <v>1</v>
      </c>
      <c r="C8" s="75">
        <v>1</v>
      </c>
      <c r="D8" s="75">
        <v>1</v>
      </c>
      <c r="E8" s="75">
        <v>1</v>
      </c>
      <c r="F8" s="75">
        <v>1</v>
      </c>
      <c r="G8" s="75">
        <v>1</v>
      </c>
      <c r="H8" s="75"/>
      <c r="I8" s="75">
        <v>1</v>
      </c>
      <c r="J8" s="75">
        <v>1</v>
      </c>
      <c r="K8" s="75">
        <v>1</v>
      </c>
      <c r="L8" s="75">
        <v>1</v>
      </c>
      <c r="M8" s="75"/>
      <c r="N8" s="75"/>
      <c r="O8" s="75"/>
      <c r="P8" s="75"/>
      <c r="Q8" s="75"/>
      <c r="R8" s="75"/>
      <c r="S8" s="75"/>
      <c r="T8" s="75"/>
    </row>
    <row r="9" spans="1:20" x14ac:dyDescent="0.2">
      <c r="A9" s="6" t="str">
        <f>Gesamtueberblick!B10</f>
        <v>Gro13</v>
      </c>
      <c r="B9" s="75">
        <v>1</v>
      </c>
      <c r="C9" s="75">
        <v>1</v>
      </c>
      <c r="D9" s="75">
        <v>1</v>
      </c>
      <c r="E9" s="75">
        <v>1</v>
      </c>
      <c r="F9" s="75">
        <v>1</v>
      </c>
      <c r="G9" s="75">
        <v>1</v>
      </c>
      <c r="H9" s="75"/>
      <c r="I9" s="75">
        <v>1</v>
      </c>
      <c r="J9" s="75"/>
      <c r="K9" s="75"/>
      <c r="L9" s="75">
        <v>1</v>
      </c>
      <c r="M9" s="75"/>
      <c r="N9" s="75"/>
      <c r="O9" s="75"/>
      <c r="P9" s="75"/>
      <c r="Q9" s="75"/>
      <c r="R9" s="75"/>
      <c r="S9" s="75"/>
      <c r="T9" s="75"/>
    </row>
    <row r="10" spans="1:20" x14ac:dyDescent="0.2">
      <c r="A10" s="6" t="str">
        <f>Gesamtueberblick!B11</f>
        <v>Gru17</v>
      </c>
      <c r="B10" s="75"/>
      <c r="C10" s="75"/>
      <c r="D10" s="75"/>
      <c r="E10" s="75"/>
      <c r="F10" s="75"/>
      <c r="G10" s="75"/>
      <c r="H10" s="75"/>
      <c r="I10" s="75"/>
      <c r="J10" s="75"/>
      <c r="K10" s="75"/>
      <c r="L10" s="75"/>
      <c r="M10" s="75"/>
      <c r="N10" s="75"/>
      <c r="O10" s="75"/>
      <c r="P10" s="75"/>
      <c r="Q10" s="75"/>
      <c r="R10" s="75"/>
      <c r="S10" s="75"/>
      <c r="T10" s="75"/>
    </row>
    <row r="11" spans="1:20" x14ac:dyDescent="0.2">
      <c r="A11" s="6" t="str">
        <f>Gesamtueberblick!B12</f>
        <v>Haa17</v>
      </c>
      <c r="B11" s="75">
        <v>1</v>
      </c>
      <c r="C11" s="75"/>
      <c r="D11" s="75"/>
      <c r="E11" s="75"/>
      <c r="F11" s="75"/>
      <c r="G11" s="75"/>
      <c r="H11" s="75"/>
      <c r="I11" s="75"/>
      <c r="J11" s="75">
        <v>1</v>
      </c>
      <c r="K11" s="75">
        <v>1</v>
      </c>
      <c r="L11" s="75">
        <v>1</v>
      </c>
      <c r="M11" s="75"/>
      <c r="N11" s="75"/>
      <c r="O11" s="75"/>
      <c r="P11" s="75"/>
      <c r="Q11" s="75"/>
      <c r="R11" s="75"/>
      <c r="S11" s="75"/>
      <c r="T11" s="75"/>
    </row>
    <row r="12" spans="1:20" x14ac:dyDescent="0.2">
      <c r="A12" s="6" t="str">
        <f>Gesamtueberblick!B13</f>
        <v>Hei21</v>
      </c>
      <c r="B12" s="75">
        <v>1</v>
      </c>
      <c r="C12" s="75"/>
      <c r="D12" s="75">
        <v>1</v>
      </c>
      <c r="E12" s="75">
        <v>1</v>
      </c>
      <c r="F12" s="75"/>
      <c r="G12" s="75">
        <v>1</v>
      </c>
      <c r="H12" s="75"/>
      <c r="I12" s="75">
        <v>1</v>
      </c>
      <c r="J12" s="75">
        <v>1</v>
      </c>
      <c r="K12" s="75">
        <v>1</v>
      </c>
      <c r="L12" s="75">
        <v>1</v>
      </c>
      <c r="M12" s="75"/>
      <c r="N12" s="75"/>
      <c r="O12" s="75"/>
      <c r="P12" s="75">
        <v>1</v>
      </c>
      <c r="Q12" s="75"/>
      <c r="R12" s="75"/>
      <c r="S12" s="75"/>
      <c r="T12" s="75"/>
    </row>
    <row r="13" spans="1:20" x14ac:dyDescent="0.2">
      <c r="A13" s="6" t="str">
        <f>Gesamtueberblick!B14</f>
        <v>Hen15</v>
      </c>
      <c r="B13" s="75"/>
      <c r="C13" s="75"/>
      <c r="D13" s="75"/>
      <c r="E13" s="75"/>
      <c r="F13" s="75"/>
      <c r="G13" s="75"/>
      <c r="H13" s="75">
        <v>1</v>
      </c>
      <c r="I13" s="75"/>
      <c r="J13" s="75"/>
      <c r="K13" s="75">
        <v>1</v>
      </c>
      <c r="L13" s="75"/>
      <c r="M13" s="75"/>
      <c r="N13" s="75"/>
      <c r="O13" s="75"/>
      <c r="P13" s="75"/>
      <c r="Q13" s="75"/>
      <c r="R13" s="75"/>
      <c r="S13" s="75"/>
      <c r="T13" s="75"/>
    </row>
    <row r="14" spans="1:20" x14ac:dyDescent="0.2">
      <c r="A14" s="6" t="str">
        <f>Gesamtueberblick!B15</f>
        <v>Jet21</v>
      </c>
      <c r="B14" s="75"/>
      <c r="C14" s="75"/>
      <c r="D14" s="75"/>
      <c r="E14" s="75"/>
      <c r="F14" s="75"/>
      <c r="G14" s="75"/>
      <c r="H14" s="75"/>
      <c r="I14" s="75"/>
      <c r="J14" s="75"/>
      <c r="K14" s="75"/>
      <c r="L14" s="75"/>
      <c r="M14" s="75"/>
      <c r="N14" s="75"/>
      <c r="O14" s="75"/>
      <c r="P14" s="75"/>
      <c r="Q14" s="75"/>
      <c r="R14" s="75"/>
      <c r="S14" s="75"/>
      <c r="T14" s="75"/>
    </row>
    <row r="15" spans="1:20" x14ac:dyDescent="0.2">
      <c r="A15" s="6" t="str">
        <f>Gesamtueberblick!B16</f>
        <v>Klo09</v>
      </c>
      <c r="B15" s="75">
        <v>1</v>
      </c>
      <c r="C15" s="75">
        <v>1</v>
      </c>
      <c r="D15" s="75">
        <v>1</v>
      </c>
      <c r="E15" s="75">
        <v>1</v>
      </c>
      <c r="F15" s="75"/>
      <c r="G15" s="75">
        <v>1</v>
      </c>
      <c r="H15" s="75"/>
      <c r="I15" s="75">
        <v>1</v>
      </c>
      <c r="J15" s="75">
        <v>1</v>
      </c>
      <c r="K15" s="75">
        <v>1</v>
      </c>
      <c r="L15" s="75">
        <v>1</v>
      </c>
      <c r="M15" s="75"/>
      <c r="N15" s="75"/>
      <c r="O15" s="75">
        <v>1</v>
      </c>
      <c r="P15" s="75"/>
      <c r="Q15" s="75"/>
      <c r="R15" s="75"/>
      <c r="S15" s="75"/>
      <c r="T15" s="75"/>
    </row>
    <row r="16" spans="1:20" x14ac:dyDescent="0.2">
      <c r="A16" s="6" t="str">
        <f>Gesamtueberblick!B17</f>
        <v>Klo13</v>
      </c>
      <c r="B16" s="75"/>
      <c r="C16" s="75"/>
      <c r="D16" s="75"/>
      <c r="E16" s="75"/>
      <c r="F16" s="75"/>
      <c r="G16" s="75"/>
      <c r="H16" s="75"/>
      <c r="I16" s="75"/>
      <c r="J16" s="75"/>
      <c r="K16" s="75"/>
      <c r="L16" s="75"/>
      <c r="M16" s="75"/>
      <c r="N16" s="75"/>
      <c r="O16" s="75"/>
      <c r="P16" s="75"/>
      <c r="Q16" s="75"/>
      <c r="R16" s="75"/>
      <c r="S16" s="75"/>
      <c r="T16" s="75"/>
    </row>
    <row r="17" spans="1:20" x14ac:dyDescent="0.2">
      <c r="A17" s="6" t="str">
        <f>Gesamtueberblick!B18</f>
        <v>Krz13</v>
      </c>
      <c r="B17" s="75"/>
      <c r="C17" s="75"/>
      <c r="D17" s="75"/>
      <c r="E17" s="75"/>
      <c r="F17" s="75"/>
      <c r="G17" s="75">
        <v>1</v>
      </c>
      <c r="H17" s="75"/>
      <c r="I17" s="75">
        <v>1</v>
      </c>
      <c r="J17" s="75"/>
      <c r="K17" s="75"/>
      <c r="L17" s="75"/>
      <c r="M17" s="75"/>
      <c r="N17" s="75"/>
      <c r="O17" s="75"/>
      <c r="P17" s="75"/>
      <c r="Q17" s="75"/>
      <c r="R17" s="75"/>
      <c r="S17" s="75"/>
      <c r="T17" s="75"/>
    </row>
    <row r="18" spans="1:20" x14ac:dyDescent="0.2">
      <c r="A18" s="6" t="str">
        <f>Gesamtueberblick!B19</f>
        <v>Lad18</v>
      </c>
      <c r="B18" s="75"/>
      <c r="C18" s="75"/>
      <c r="D18" s="75"/>
      <c r="E18" s="75"/>
      <c r="F18" s="75"/>
      <c r="G18" s="75">
        <v>1</v>
      </c>
      <c r="H18" s="75"/>
      <c r="I18" s="75">
        <v>1</v>
      </c>
      <c r="J18" s="75"/>
      <c r="K18" s="75">
        <v>1</v>
      </c>
      <c r="L18" s="75"/>
      <c r="M18" s="75"/>
      <c r="N18" s="75"/>
      <c r="O18" s="75"/>
      <c r="P18" s="75">
        <v>1</v>
      </c>
      <c r="Q18" s="75"/>
      <c r="R18" s="75"/>
      <c r="S18" s="75"/>
      <c r="T18" s="75"/>
    </row>
    <row r="19" spans="1:20" x14ac:dyDescent="0.2">
      <c r="A19" s="6" t="str">
        <f>Gesamtueberblick!B20</f>
        <v>Lan15</v>
      </c>
      <c r="B19" s="75"/>
      <c r="C19" s="75"/>
      <c r="D19" s="75"/>
      <c r="E19" s="75"/>
      <c r="F19" s="75"/>
      <c r="G19" s="75"/>
      <c r="H19" s="75"/>
      <c r="I19" s="75"/>
      <c r="J19" s="75"/>
      <c r="K19" s="75"/>
      <c r="L19" s="75"/>
      <c r="M19" s="75"/>
      <c r="N19" s="75"/>
      <c r="O19" s="75"/>
      <c r="P19" s="75"/>
      <c r="Q19" s="75"/>
      <c r="R19" s="75"/>
      <c r="S19" s="75"/>
      <c r="T19" s="75"/>
    </row>
    <row r="20" spans="1:20" x14ac:dyDescent="0.2">
      <c r="A20" s="6" t="str">
        <f>Gesamtueberblick!B21</f>
        <v>Lie15</v>
      </c>
      <c r="B20" s="75"/>
      <c r="C20" s="75"/>
      <c r="D20" s="75"/>
      <c r="E20" s="75"/>
      <c r="F20" s="75">
        <v>1</v>
      </c>
      <c r="G20" s="75">
        <v>1</v>
      </c>
      <c r="H20" s="75"/>
      <c r="I20" s="75">
        <v>1</v>
      </c>
      <c r="J20" s="75"/>
      <c r="K20" s="75"/>
      <c r="L20" s="75"/>
      <c r="M20" s="75"/>
      <c r="N20" s="75"/>
      <c r="O20" s="75">
        <v>1</v>
      </c>
      <c r="P20" s="75">
        <v>1</v>
      </c>
      <c r="Q20" s="75">
        <v>0.5</v>
      </c>
      <c r="R20" s="75">
        <v>0.5</v>
      </c>
      <c r="S20" s="75">
        <v>0.5</v>
      </c>
      <c r="T20" s="75"/>
    </row>
    <row r="21" spans="1:20" x14ac:dyDescent="0.2">
      <c r="A21" s="6" t="str">
        <f>Gesamtueberblick!B22</f>
        <v>Mae18</v>
      </c>
      <c r="B21" s="75">
        <v>1</v>
      </c>
      <c r="C21" s="75">
        <v>1</v>
      </c>
      <c r="D21" s="75">
        <v>1</v>
      </c>
      <c r="E21" s="75">
        <v>1</v>
      </c>
      <c r="F21" s="75">
        <v>1</v>
      </c>
      <c r="G21" s="75">
        <v>1</v>
      </c>
      <c r="H21" s="75"/>
      <c r="I21" s="75">
        <v>1</v>
      </c>
      <c r="J21" s="75"/>
      <c r="K21" s="75"/>
      <c r="L21" s="75">
        <v>1</v>
      </c>
      <c r="M21" s="75"/>
      <c r="N21" s="75">
        <v>1</v>
      </c>
      <c r="O21" s="75"/>
      <c r="P21" s="75"/>
      <c r="Q21" s="75"/>
      <c r="R21" s="75"/>
      <c r="S21" s="75"/>
      <c r="T21" s="75"/>
    </row>
    <row r="22" spans="1:20" x14ac:dyDescent="0.2">
      <c r="A22" s="6" t="str">
        <f>Gesamtueberblick!B23</f>
        <v>Mol10</v>
      </c>
      <c r="B22" s="75">
        <v>1</v>
      </c>
      <c r="C22" s="75">
        <v>1</v>
      </c>
      <c r="D22" s="75">
        <v>1</v>
      </c>
      <c r="E22" s="75">
        <v>1</v>
      </c>
      <c r="F22" s="75"/>
      <c r="G22" s="75">
        <v>1</v>
      </c>
      <c r="H22" s="75"/>
      <c r="I22" s="75">
        <v>1</v>
      </c>
      <c r="J22" s="75"/>
      <c r="K22" s="75">
        <v>1</v>
      </c>
      <c r="L22" s="75">
        <v>1</v>
      </c>
      <c r="M22" s="75"/>
      <c r="N22" s="75"/>
      <c r="O22" s="75">
        <v>1</v>
      </c>
      <c r="P22" s="75"/>
      <c r="Q22" s="75"/>
      <c r="R22" s="75"/>
      <c r="S22" s="75"/>
      <c r="T22" s="75"/>
    </row>
    <row r="23" spans="1:20" x14ac:dyDescent="0.2">
      <c r="A23" s="6" t="str">
        <f>Gesamtueberblick!B24</f>
        <v>Mue19</v>
      </c>
      <c r="B23" s="75"/>
      <c r="C23" s="75"/>
      <c r="D23" s="75"/>
      <c r="E23" s="75"/>
      <c r="F23" s="75"/>
      <c r="G23" s="75">
        <v>1</v>
      </c>
      <c r="H23" s="75"/>
      <c r="I23" s="75">
        <v>1</v>
      </c>
      <c r="J23" s="75"/>
      <c r="K23" s="75"/>
      <c r="L23" s="75"/>
      <c r="M23" s="75"/>
      <c r="N23" s="75"/>
      <c r="O23" s="75"/>
      <c r="P23" s="75"/>
      <c r="Q23" s="75"/>
      <c r="R23" s="75"/>
      <c r="S23" s="75"/>
      <c r="T23" s="75">
        <v>1</v>
      </c>
    </row>
    <row r="24" spans="1:20" x14ac:dyDescent="0.2">
      <c r="A24" s="6" t="str">
        <f>Gesamtueberblick!B25</f>
        <v>Pau11</v>
      </c>
      <c r="B24" s="75"/>
      <c r="C24" s="75"/>
      <c r="D24" s="75"/>
      <c r="E24" s="75"/>
      <c r="F24" s="75"/>
      <c r="G24" s="75"/>
      <c r="H24" s="75"/>
      <c r="I24" s="75"/>
      <c r="J24" s="75"/>
      <c r="K24" s="75"/>
      <c r="L24" s="75"/>
      <c r="M24" s="75"/>
      <c r="N24" s="75"/>
      <c r="O24" s="75"/>
      <c r="P24" s="75"/>
      <c r="Q24" s="75"/>
      <c r="R24" s="75"/>
      <c r="S24" s="75"/>
      <c r="T24" s="75"/>
    </row>
    <row r="25" spans="1:20" x14ac:dyDescent="0.2">
      <c r="A25" s="6" t="str">
        <f>Gesamtueberblick!B26</f>
        <v>Pel16</v>
      </c>
      <c r="B25" s="75">
        <v>1</v>
      </c>
      <c r="C25" s="75">
        <v>1</v>
      </c>
      <c r="D25" s="75">
        <v>1</v>
      </c>
      <c r="E25" s="75">
        <v>1</v>
      </c>
      <c r="F25" s="75"/>
      <c r="G25" s="75">
        <v>1</v>
      </c>
      <c r="H25" s="75">
        <v>1</v>
      </c>
      <c r="I25" s="75">
        <v>1</v>
      </c>
      <c r="J25" s="75">
        <v>1</v>
      </c>
      <c r="K25" s="75">
        <v>1</v>
      </c>
      <c r="L25" s="75">
        <v>1</v>
      </c>
      <c r="M25" s="75"/>
      <c r="N25" s="75"/>
      <c r="O25" s="75"/>
      <c r="P25" s="75"/>
      <c r="Q25" s="75"/>
      <c r="R25" s="75"/>
      <c r="S25" s="75"/>
      <c r="T25" s="75">
        <v>1</v>
      </c>
    </row>
    <row r="26" spans="1:20" x14ac:dyDescent="0.2">
      <c r="A26" s="6" t="str">
        <f>Gesamtueberblick!B27</f>
        <v>r2b14</v>
      </c>
      <c r="B26" s="75"/>
      <c r="C26" s="75"/>
      <c r="D26" s="75"/>
      <c r="E26" s="75"/>
      <c r="F26" s="75"/>
      <c r="G26" s="75"/>
      <c r="H26" s="75"/>
      <c r="I26" s="75"/>
      <c r="J26" s="75"/>
      <c r="K26" s="75"/>
      <c r="L26" s="75"/>
      <c r="M26" s="75"/>
      <c r="N26" s="75"/>
      <c r="O26" s="75"/>
      <c r="P26" s="75"/>
      <c r="Q26" s="75"/>
      <c r="R26" s="75"/>
      <c r="S26" s="75"/>
      <c r="T26" s="75"/>
    </row>
    <row r="27" spans="1:20" x14ac:dyDescent="0.2">
      <c r="A27" s="6" t="str">
        <f>Gesamtueberblick!B28</f>
        <v>Roo10</v>
      </c>
      <c r="B27" s="75"/>
      <c r="C27" s="75"/>
      <c r="D27" s="75"/>
      <c r="E27" s="75"/>
      <c r="F27" s="75"/>
      <c r="G27" s="75"/>
      <c r="H27" s="75"/>
      <c r="I27" s="75"/>
      <c r="J27" s="75"/>
      <c r="K27" s="75"/>
      <c r="L27" s="75"/>
      <c r="M27" s="75"/>
      <c r="N27" s="75"/>
      <c r="O27" s="75"/>
      <c r="P27" s="75"/>
      <c r="Q27" s="75"/>
      <c r="R27" s="75"/>
      <c r="S27" s="75"/>
      <c r="T27" s="75"/>
    </row>
    <row r="28" spans="1:20" x14ac:dyDescent="0.2">
      <c r="A28" s="6" t="str">
        <f>Gesamtueberblick!B29</f>
        <v>Sau19</v>
      </c>
      <c r="B28" s="75"/>
      <c r="C28" s="75"/>
      <c r="D28" s="75"/>
      <c r="E28" s="75"/>
      <c r="F28" s="75"/>
      <c r="G28" s="75"/>
      <c r="H28" s="75"/>
      <c r="I28" s="75"/>
      <c r="J28" s="75"/>
      <c r="K28" s="75"/>
      <c r="L28" s="75"/>
      <c r="M28" s="75"/>
      <c r="N28" s="75"/>
      <c r="O28" s="75"/>
      <c r="P28" s="75"/>
      <c r="Q28" s="75"/>
      <c r="R28" s="75"/>
      <c r="S28" s="75"/>
      <c r="T28" s="75"/>
    </row>
    <row r="29" spans="1:20" x14ac:dyDescent="0.2">
      <c r="A29" s="6" t="str">
        <f>Gesamtueberblick!B30</f>
        <v>Sch14</v>
      </c>
      <c r="B29" s="75">
        <v>1</v>
      </c>
      <c r="C29" s="75">
        <v>1</v>
      </c>
      <c r="D29" s="75">
        <v>1</v>
      </c>
      <c r="E29" s="75">
        <v>1</v>
      </c>
      <c r="F29" s="75">
        <v>1</v>
      </c>
      <c r="G29" s="75">
        <v>1</v>
      </c>
      <c r="H29" s="75"/>
      <c r="I29" s="75">
        <v>1</v>
      </c>
      <c r="J29" s="75">
        <v>1</v>
      </c>
      <c r="K29" s="75">
        <v>1</v>
      </c>
      <c r="L29" s="75">
        <v>1</v>
      </c>
      <c r="M29" s="75"/>
      <c r="N29" s="75"/>
      <c r="O29" s="75">
        <v>1</v>
      </c>
      <c r="P29" s="75"/>
      <c r="Q29" s="75"/>
      <c r="R29" s="75"/>
      <c r="S29" s="75"/>
      <c r="T29" s="75"/>
    </row>
    <row r="30" spans="1:20" x14ac:dyDescent="0.2">
      <c r="A30" s="6" t="str">
        <f>Gesamtueberblick!B31</f>
        <v>Sta06</v>
      </c>
      <c r="B30" s="75">
        <v>1</v>
      </c>
      <c r="C30" s="75"/>
      <c r="D30" s="75"/>
      <c r="E30" s="75"/>
      <c r="F30" s="75"/>
      <c r="G30" s="75">
        <v>1</v>
      </c>
      <c r="H30" s="75"/>
      <c r="I30" s="75">
        <v>1</v>
      </c>
      <c r="J30" s="75">
        <v>1</v>
      </c>
      <c r="K30" s="75">
        <v>1</v>
      </c>
      <c r="L30" s="75">
        <v>1</v>
      </c>
      <c r="M30" s="75"/>
      <c r="N30" s="75"/>
      <c r="O30" s="75"/>
      <c r="P30" s="75"/>
      <c r="Q30" s="75"/>
      <c r="R30" s="75"/>
      <c r="S30" s="75"/>
      <c r="T30" s="75"/>
    </row>
    <row r="31" spans="1:20" x14ac:dyDescent="0.2">
      <c r="A31" s="6" t="str">
        <f>Gesamtueberblick!B32</f>
        <v>Ste17</v>
      </c>
      <c r="B31" s="75">
        <v>1</v>
      </c>
      <c r="C31" s="75">
        <v>1</v>
      </c>
      <c r="D31" s="75">
        <v>1</v>
      </c>
      <c r="E31" s="75">
        <v>1</v>
      </c>
      <c r="F31" s="75">
        <v>1</v>
      </c>
      <c r="G31" s="75">
        <v>1</v>
      </c>
      <c r="H31" s="75"/>
      <c r="I31" s="75">
        <v>1</v>
      </c>
      <c r="J31" s="75">
        <v>1</v>
      </c>
      <c r="K31" s="75">
        <v>1</v>
      </c>
      <c r="L31" s="75">
        <v>1</v>
      </c>
      <c r="M31" s="75"/>
      <c r="N31" s="75"/>
      <c r="O31" s="75">
        <v>1</v>
      </c>
      <c r="P31" s="75"/>
      <c r="Q31" s="75"/>
      <c r="R31" s="75"/>
      <c r="S31" s="75"/>
      <c r="T31" s="75"/>
    </row>
    <row r="32" spans="1:20" x14ac:dyDescent="0.2">
      <c r="A32" s="6" t="str">
        <f>Gesamtueberblick!B33</f>
        <v>Sty15</v>
      </c>
      <c r="B32" s="75">
        <v>1</v>
      </c>
      <c r="C32" s="75"/>
      <c r="D32" s="75">
        <v>1</v>
      </c>
      <c r="E32" s="75"/>
      <c r="F32" s="75">
        <v>1</v>
      </c>
      <c r="G32" s="75"/>
      <c r="H32" s="75"/>
      <c r="I32" s="75"/>
      <c r="J32" s="75">
        <v>1</v>
      </c>
      <c r="K32" s="75"/>
      <c r="L32" s="75">
        <v>1</v>
      </c>
      <c r="M32" s="75"/>
      <c r="N32" s="75"/>
      <c r="O32" s="75">
        <v>1</v>
      </c>
      <c r="P32" s="75">
        <v>1</v>
      </c>
      <c r="Q32" s="75"/>
      <c r="R32" s="75">
        <v>1</v>
      </c>
      <c r="S32" s="75"/>
      <c r="T32" s="75">
        <v>1</v>
      </c>
    </row>
    <row r="33" spans="1:20" x14ac:dyDescent="0.2">
      <c r="A33" s="6" t="str">
        <f>Gesamtueberblick!B34</f>
        <v>Woh20</v>
      </c>
      <c r="B33" s="75"/>
      <c r="C33" s="75"/>
      <c r="D33" s="75"/>
      <c r="E33" s="75"/>
      <c r="F33" s="75"/>
      <c r="G33" s="75"/>
      <c r="H33" s="75"/>
      <c r="I33" s="75"/>
      <c r="J33" s="75"/>
      <c r="K33" s="75"/>
      <c r="L33" s="75"/>
      <c r="M33" s="75"/>
      <c r="N33" s="75"/>
      <c r="O33" s="75"/>
      <c r="P33" s="75"/>
      <c r="Q33" s="75"/>
      <c r="R33" s="75"/>
      <c r="S33" s="75"/>
      <c r="T33" s="75"/>
    </row>
    <row r="34" spans="1:20" x14ac:dyDescent="0.2">
      <c r="A34" s="6" t="s">
        <v>853</v>
      </c>
      <c r="B34" s="141">
        <f>SUM(B2:B33)</f>
        <v>14</v>
      </c>
      <c r="C34" s="141">
        <f t="shared" ref="C34:T34" si="0">SUM(C2:C33)</f>
        <v>11</v>
      </c>
      <c r="D34" s="141">
        <f t="shared" si="0"/>
        <v>13</v>
      </c>
      <c r="E34" s="141">
        <f t="shared" si="0"/>
        <v>12</v>
      </c>
      <c r="F34" s="141">
        <f t="shared" si="0"/>
        <v>9</v>
      </c>
      <c r="G34" s="141">
        <f t="shared" si="0"/>
        <v>16</v>
      </c>
      <c r="H34" s="141">
        <f t="shared" si="0"/>
        <v>2</v>
      </c>
      <c r="I34" s="141">
        <f t="shared" si="0"/>
        <v>17</v>
      </c>
      <c r="J34" s="141">
        <f t="shared" si="0"/>
        <v>11</v>
      </c>
      <c r="K34" s="141">
        <f t="shared" si="0"/>
        <v>14</v>
      </c>
      <c r="L34" s="141">
        <f t="shared" si="0"/>
        <v>15</v>
      </c>
      <c r="M34" s="141">
        <f t="shared" si="0"/>
        <v>1</v>
      </c>
      <c r="N34" s="141">
        <f t="shared" si="0"/>
        <v>2</v>
      </c>
      <c r="O34" s="141">
        <f t="shared" si="0"/>
        <v>8</v>
      </c>
      <c r="P34" s="141">
        <f t="shared" si="0"/>
        <v>4</v>
      </c>
      <c r="Q34" s="141">
        <f t="shared" si="0"/>
        <v>0.5</v>
      </c>
      <c r="R34" s="141">
        <f t="shared" si="0"/>
        <v>1.5</v>
      </c>
      <c r="S34" s="141">
        <f t="shared" si="0"/>
        <v>0.5</v>
      </c>
      <c r="T34" s="141">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34" sqref="B34:T34"/>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1147</v>
      </c>
    </row>
    <row r="2" spans="1:20" x14ac:dyDescent="0.2">
      <c r="A2" s="6" t="str">
        <f>Tabelle1823[[#This Row],[Kurzbeleg]]</f>
        <v>Ape12</v>
      </c>
      <c r="B2" s="57" t="str">
        <f>VLOOKUP(Tabelle1823[[#This Row],[Kühlschränke]],Dropdown!$A$2:$D$4,4,FALSE)</f>
        <v>X</v>
      </c>
      <c r="C2" s="57" t="str">
        <f>VLOOKUP(Tabelle1823[[#This Row],[Geschirrspüler]],Dropdown!$A$2:$D$4,4,FALSE)</f>
        <v>X</v>
      </c>
      <c r="D2" s="57" t="str">
        <f>VLOOKUP(Tabelle1823[[#This Row],[Wäschetrockner]],Dropdown!$A$2:$D$4,4,FALSE)</f>
        <v>X</v>
      </c>
      <c r="E2" s="57" t="str">
        <f>VLOOKUP(Tabelle1823[[#This Row],[Waschmaschinen]],Dropdown!$A$2:$D$4,4,FALSE)</f>
        <v>X</v>
      </c>
      <c r="F2" s="57" t="str">
        <f>VLOOKUP(Tabelle1823[[#This Row],[Raumklimatisierung (Klimaanlagen)]],Dropdown!$A$2:$D$4,4,FALSE)</f>
        <v>X</v>
      </c>
      <c r="G2" s="57" t="str">
        <f>VLOOKUP(Tabelle1823[[#This Row],[Wärmepumpen]],Dropdown!$A$2:$D$4,4,FALSE)</f>
        <v>X</v>
      </c>
      <c r="H2" s="57" t="str">
        <f>VLOOKUP(Tabelle1823[[#This Row],[Hybrid-Wärmepumpen]],Dropdown!$A$2:$D$4,4,FALSE)</f>
        <v>-</v>
      </c>
      <c r="I2" s="57" t="str">
        <f>VLOOKUP(Tabelle1823[[#This Row],[Nachtspeicherheizungen]],Dropdown!$A$2:$D$4,4,FALSE)</f>
        <v>X</v>
      </c>
      <c r="J2" s="57" t="str">
        <f>VLOOKUP(Tabelle1823[[#This Row],[Kühl- und Gefrierkombinationen]],Dropdown!$A$2:$D$4,4,FALSE)</f>
        <v>X</v>
      </c>
      <c r="K2" s="57" t="str">
        <f>VLOOKUP(Tabelle1823[[#This Row],[elektrische Warmwassererzeugung]],Dropdown!$A$2:$D$4,4,FALSE)</f>
        <v>X</v>
      </c>
      <c r="L2" s="57" t="str">
        <f>VLOOKUP(Tabelle1823[[#This Row],[Gefrierschränke und -truhen]],Dropdown!$A$2:$D$4,4,FALSE)</f>
        <v>X</v>
      </c>
      <c r="M2" s="57" t="str">
        <f>VLOOKUP(Tabelle1823[[#This Row],[Elektrische Öfen]],Dropdown!$A$2:$D$4,4,FALSE)</f>
        <v>-</v>
      </c>
      <c r="N2" s="57" t="str">
        <f>VLOOKUP(Tabelle1823[[#This Row],[elektrische Direktheizungen]],Dropdown!$A$2:$D$4,4,FALSE)</f>
        <v>-</v>
      </c>
      <c r="O2" s="57" t="str">
        <f>VLOOKUP(Tabelle1823[[#This Row],[Heizungsumwälzpumpen]],Dropdown!$A$2:$D$4,4,FALSE)</f>
        <v>-</v>
      </c>
      <c r="P2" s="57" t="str">
        <f>VLOOKUP(Tabelle1823[[#This Row],[Elektromobilität]],Dropdown!$A$2:$D$4,4,FALSE)</f>
        <v>-</v>
      </c>
      <c r="Q2" s="57" t="str">
        <f>VLOOKUP(Tabelle1823[[#This Row],[Smart Meter / intelligente Geräte]],Dropdown!$A$2:$D$4,4,FALSE)</f>
        <v>-</v>
      </c>
      <c r="R2" s="57" t="str">
        <f>VLOOKUP(Tabelle1823[[#This Row],[Photovoltaik]],Dropdown!$A$2:$D$4,4,FALSE)</f>
        <v>-</v>
      </c>
      <c r="S2" s="57" t="str">
        <f>VLOOKUP(Tabelle1823[[#This Row],[Mini-/Mikro-BHKWs]],Dropdown!$A$2:$D$4,4,FALSE)</f>
        <v>-</v>
      </c>
      <c r="T2" s="57" t="str">
        <f>VLOOKUP(Tabelle1823[[#This Row],[Lastflexibilisierung mittels 
Batteriespeichern]],Dropdown!$A$2:$D$4,4,FALSE)</f>
        <v>-</v>
      </c>
    </row>
    <row r="3" spans="1:20" x14ac:dyDescent="0.2">
      <c r="A3" s="6" t="str">
        <f>Tabelle1823[[#This Row],[Kurzbeleg]]</f>
        <v>Ary17</v>
      </c>
      <c r="B3" s="57" t="str">
        <f>VLOOKUP(Tabelle1823[[#This Row],[Kühlschränke]],Dropdown!$A$2:$D$4,4,FALSE)</f>
        <v>-</v>
      </c>
      <c r="C3" s="57" t="str">
        <f>VLOOKUP(Tabelle1823[[#This Row],[Geschirrspüler]],Dropdown!$A$2:$D$4,4,FALSE)</f>
        <v>X</v>
      </c>
      <c r="D3" s="57" t="str">
        <f>VLOOKUP(Tabelle1823[[#This Row],[Wäschetrockner]],Dropdown!$A$2:$D$4,4,FALSE)</f>
        <v>X</v>
      </c>
      <c r="E3" s="57" t="str">
        <f>VLOOKUP(Tabelle1823[[#This Row],[Waschmaschinen]],Dropdown!$A$2:$D$4,4,FALSE)</f>
        <v>X</v>
      </c>
      <c r="F3" s="57" t="str">
        <f>VLOOKUP(Tabelle1823[[#This Row],[Raumklimatisierung (Klimaanlagen)]],Dropdown!$A$2:$D$4,4,FALSE)</f>
        <v>-</v>
      </c>
      <c r="G3" s="57" t="str">
        <f>VLOOKUP(Tabelle1823[[#This Row],[Wärmepumpen]],Dropdown!$A$2:$D$4,4,FALSE)</f>
        <v>-</v>
      </c>
      <c r="H3" s="57" t="str">
        <f>VLOOKUP(Tabelle1823[[#This Row],[Hybrid-Wärmepumpen]],Dropdown!$A$2:$D$4,4,FALSE)</f>
        <v>-</v>
      </c>
      <c r="I3" s="57" t="str">
        <f>VLOOKUP(Tabelle1823[[#This Row],[Nachtspeicherheizungen]],Dropdown!$A$2:$D$4,4,FALSE)</f>
        <v>X</v>
      </c>
      <c r="J3" s="57" t="str">
        <f>VLOOKUP(Tabelle1823[[#This Row],[Kühl- und Gefrierkombinationen]],Dropdown!$A$2:$D$4,4,FALSE)</f>
        <v>-</v>
      </c>
      <c r="K3" s="57" t="str">
        <f>VLOOKUP(Tabelle1823[[#This Row],[elektrische Warmwassererzeugung]],Dropdown!$A$2:$D$4,4,FALSE)</f>
        <v>X</v>
      </c>
      <c r="L3" s="57" t="str">
        <f>VLOOKUP(Tabelle1823[[#This Row],[Gefrierschränke und -truhen]],Dropdown!$A$2:$D$4,4,FALSE)</f>
        <v>X</v>
      </c>
      <c r="M3" s="57" t="str">
        <f>VLOOKUP(Tabelle1823[[#This Row],[Elektrische Öfen]],Dropdown!$A$2:$D$4,4,FALSE)</f>
        <v>X</v>
      </c>
      <c r="N3" s="57" t="str">
        <f>VLOOKUP(Tabelle1823[[#This Row],[elektrische Direktheizungen]],Dropdown!$A$2:$D$4,4,FALSE)</f>
        <v>X</v>
      </c>
      <c r="O3" s="57" t="str">
        <f>VLOOKUP(Tabelle1823[[#This Row],[Heizungsumwälzpumpen]],Dropdown!$A$2:$D$4,4,FALSE)</f>
        <v>X</v>
      </c>
      <c r="P3" s="57" t="str">
        <f>VLOOKUP(Tabelle1823[[#This Row],[Elektromobilität]],Dropdown!$A$2:$D$4,4,FALSE)</f>
        <v>-</v>
      </c>
      <c r="Q3" s="57" t="str">
        <f>VLOOKUP(Tabelle1823[[#This Row],[Smart Meter / intelligente Geräte]],Dropdown!$A$2:$D$4,4,FALSE)</f>
        <v>-</v>
      </c>
      <c r="R3" s="57" t="str">
        <f>VLOOKUP(Tabelle1823[[#This Row],[Photovoltaik]],Dropdown!$A$2:$D$4,4,FALSE)</f>
        <v>-</v>
      </c>
      <c r="S3" s="57" t="str">
        <f>VLOOKUP(Tabelle1823[[#This Row],[Mini-/Mikro-BHKWs]],Dropdown!$A$2:$D$4,4,FALSE)</f>
        <v>-</v>
      </c>
      <c r="T3" s="57" t="str">
        <f>VLOOKUP(Tabelle1823[[#This Row],[Lastflexibilisierung mittels 
Batteriespeichern]],Dropdown!$A$2:$D$4,4,FALSE)</f>
        <v>-</v>
      </c>
    </row>
    <row r="4" spans="1:20" x14ac:dyDescent="0.2">
      <c r="A4" s="6" t="str">
        <f>Tabelle1823[[#This Row],[Kurzbeleg]]</f>
        <v>Aus18</v>
      </c>
      <c r="B4" s="57" t="str">
        <f>VLOOKUP(Tabelle1823[[#This Row],[Kühlschränke]],Dropdown!$A$2:$D$4,4,FALSE)</f>
        <v>-</v>
      </c>
      <c r="C4" s="57" t="str">
        <f>VLOOKUP(Tabelle1823[[#This Row],[Geschirrspüler]],Dropdown!$A$2:$D$4,4,FALSE)</f>
        <v>-</v>
      </c>
      <c r="D4" s="57" t="str">
        <f>VLOOKUP(Tabelle1823[[#This Row],[Wäschetrockner]],Dropdown!$A$2:$D$4,4,FALSE)</f>
        <v>-</v>
      </c>
      <c r="E4" s="57" t="str">
        <f>VLOOKUP(Tabelle1823[[#This Row],[Waschmaschinen]],Dropdown!$A$2:$D$4,4,FALSE)</f>
        <v>-</v>
      </c>
      <c r="F4" s="57" t="str">
        <f>VLOOKUP(Tabelle1823[[#This Row],[Raumklimatisierung (Klimaanlagen)]],Dropdown!$A$2:$D$4,4,FALSE)</f>
        <v>-</v>
      </c>
      <c r="G4" s="57" t="str">
        <f>VLOOKUP(Tabelle1823[[#This Row],[Wärmepumpen]],Dropdown!$A$2:$D$4,4,FALSE)</f>
        <v>-</v>
      </c>
      <c r="H4" s="57" t="str">
        <f>VLOOKUP(Tabelle1823[[#This Row],[Hybrid-Wärmepumpen]],Dropdown!$A$2:$D$4,4,FALSE)</f>
        <v>-</v>
      </c>
      <c r="I4" s="57" t="str">
        <f>VLOOKUP(Tabelle1823[[#This Row],[Nachtspeicherheizungen]],Dropdown!$A$2:$D$4,4,FALSE)</f>
        <v>-</v>
      </c>
      <c r="J4" s="57" t="str">
        <f>VLOOKUP(Tabelle1823[[#This Row],[Kühl- und Gefrierkombinationen]],Dropdown!$A$2:$D$4,4,FALSE)</f>
        <v>-</v>
      </c>
      <c r="K4" s="57" t="str">
        <f>VLOOKUP(Tabelle1823[[#This Row],[elektrische Warmwassererzeugung]],Dropdown!$A$2:$D$4,4,FALSE)</f>
        <v>-</v>
      </c>
      <c r="L4" s="57" t="str">
        <f>VLOOKUP(Tabelle1823[[#This Row],[Gefrierschränke und -truhen]],Dropdown!$A$2:$D$4,4,FALSE)</f>
        <v>-</v>
      </c>
      <c r="M4" s="57" t="str">
        <f>VLOOKUP(Tabelle1823[[#This Row],[Elektrische Öfen]],Dropdown!$A$2:$D$4,4,FALSE)</f>
        <v>-</v>
      </c>
      <c r="N4" s="57" t="str">
        <f>VLOOKUP(Tabelle1823[[#This Row],[elektrische Direktheizungen]],Dropdown!$A$2:$D$4,4,FALSE)</f>
        <v>-</v>
      </c>
      <c r="O4" s="57" t="str">
        <f>VLOOKUP(Tabelle1823[[#This Row],[Heizungsumwälzpumpen]],Dropdown!$A$2:$D$4,4,FALSE)</f>
        <v>-</v>
      </c>
      <c r="P4" s="57" t="str">
        <f>VLOOKUP(Tabelle1823[[#This Row],[Elektromobilität]],Dropdown!$A$2:$D$4,4,FALSE)</f>
        <v>-</v>
      </c>
      <c r="Q4" s="57" t="str">
        <f>VLOOKUP(Tabelle1823[[#This Row],[Smart Meter / intelligente Geräte]],Dropdown!$A$2:$D$4,4,FALSE)</f>
        <v>-</v>
      </c>
      <c r="R4" s="57" t="str">
        <f>VLOOKUP(Tabelle1823[[#This Row],[Photovoltaik]],Dropdown!$A$2:$D$4,4,FALSE)</f>
        <v>-</v>
      </c>
      <c r="S4" s="57" t="str">
        <f>VLOOKUP(Tabelle1823[[#This Row],[Mini-/Mikro-BHKWs]],Dropdown!$A$2:$D$4,4,FALSE)</f>
        <v>-</v>
      </c>
      <c r="T4" s="57" t="str">
        <f>VLOOKUP(Tabelle1823[[#This Row],[Lastflexibilisierung mittels 
Batteriespeichern]],Dropdown!$A$2:$D$4,4,FALSE)</f>
        <v>-</v>
      </c>
    </row>
    <row r="5" spans="1:20" x14ac:dyDescent="0.2">
      <c r="A5" s="6" t="str">
        <f>Tabelle1823[[#This Row],[Kurzbeleg]]</f>
        <v>Blu13</v>
      </c>
      <c r="B5" s="57" t="str">
        <f>VLOOKUP(Tabelle1823[[#This Row],[Kühlschränke]],Dropdown!$A$2:$D$4,4,FALSE)</f>
        <v>-</v>
      </c>
      <c r="C5" s="57" t="str">
        <f>VLOOKUP(Tabelle1823[[#This Row],[Geschirrspüler]],Dropdown!$A$2:$D$4,4,FALSE)</f>
        <v>-</v>
      </c>
      <c r="D5" s="57" t="str">
        <f>VLOOKUP(Tabelle1823[[#This Row],[Wäschetrockner]],Dropdown!$A$2:$D$4,4,FALSE)</f>
        <v>-</v>
      </c>
      <c r="E5" s="57" t="str">
        <f>VLOOKUP(Tabelle1823[[#This Row],[Waschmaschinen]],Dropdown!$A$2:$D$4,4,FALSE)</f>
        <v>-</v>
      </c>
      <c r="F5" s="57" t="str">
        <f>VLOOKUP(Tabelle1823[[#This Row],[Raumklimatisierung (Klimaanlagen)]],Dropdown!$A$2:$D$4,4,FALSE)</f>
        <v>-</v>
      </c>
      <c r="G5" s="57" t="str">
        <f>VLOOKUP(Tabelle1823[[#This Row],[Wärmepumpen]],Dropdown!$A$2:$D$4,4,FALSE)</f>
        <v>-</v>
      </c>
      <c r="H5" s="57" t="str">
        <f>VLOOKUP(Tabelle1823[[#This Row],[Hybrid-Wärmepumpen]],Dropdown!$A$2:$D$4,4,FALSE)</f>
        <v>-</v>
      </c>
      <c r="I5" s="57" t="str">
        <f>VLOOKUP(Tabelle1823[[#This Row],[Nachtspeicherheizungen]],Dropdown!$A$2:$D$4,4,FALSE)</f>
        <v>-</v>
      </c>
      <c r="J5" s="57" t="str">
        <f>VLOOKUP(Tabelle1823[[#This Row],[Kühl- und Gefrierkombinationen]],Dropdown!$A$2:$D$4,4,FALSE)</f>
        <v>-</v>
      </c>
      <c r="K5" s="57" t="str">
        <f>VLOOKUP(Tabelle1823[[#This Row],[elektrische Warmwassererzeugung]],Dropdown!$A$2:$D$4,4,FALSE)</f>
        <v>-</v>
      </c>
      <c r="L5" s="57" t="str">
        <f>VLOOKUP(Tabelle1823[[#This Row],[Gefrierschränke und -truhen]],Dropdown!$A$2:$D$4,4,FALSE)</f>
        <v>-</v>
      </c>
      <c r="M5" s="57" t="str">
        <f>VLOOKUP(Tabelle1823[[#This Row],[Elektrische Öfen]],Dropdown!$A$2:$D$4,4,FALSE)</f>
        <v>-</v>
      </c>
      <c r="N5" s="57" t="str">
        <f>VLOOKUP(Tabelle1823[[#This Row],[elektrische Direktheizungen]],Dropdown!$A$2:$D$4,4,FALSE)</f>
        <v>-</v>
      </c>
      <c r="O5" s="57" t="str">
        <f>VLOOKUP(Tabelle1823[[#This Row],[Heizungsumwälzpumpen]],Dropdown!$A$2:$D$4,4,FALSE)</f>
        <v>-</v>
      </c>
      <c r="P5" s="57" t="str">
        <f>VLOOKUP(Tabelle1823[[#This Row],[Elektromobilität]],Dropdown!$A$2:$D$4,4,FALSE)</f>
        <v>-</v>
      </c>
      <c r="Q5" s="57" t="str">
        <f>VLOOKUP(Tabelle1823[[#This Row],[Smart Meter / intelligente Geräte]],Dropdown!$A$2:$D$4,4,FALSE)</f>
        <v>-</v>
      </c>
      <c r="R5" s="57" t="str">
        <f>VLOOKUP(Tabelle1823[[#This Row],[Photovoltaik]],Dropdown!$A$2:$D$4,4,FALSE)</f>
        <v>-</v>
      </c>
      <c r="S5" s="57" t="str">
        <f>VLOOKUP(Tabelle1823[[#This Row],[Mini-/Mikro-BHKWs]],Dropdown!$A$2:$D$4,4,FALSE)</f>
        <v>-</v>
      </c>
      <c r="T5" s="57" t="str">
        <f>VLOOKUP(Tabelle1823[[#This Row],[Lastflexibilisierung mittels 
Batteriespeichern]],Dropdown!$A$2:$D$4,4,FALSE)</f>
        <v>-</v>
      </c>
    </row>
    <row r="6" spans="1:20" x14ac:dyDescent="0.2">
      <c r="A6" s="6" t="str">
        <f>Tabelle1823[[#This Row],[Kurzbeleg]]</f>
        <v>Foc11</v>
      </c>
      <c r="B6" s="57" t="str">
        <f>VLOOKUP(Tabelle1823[[#This Row],[Kühlschränke]],Dropdown!$A$2:$D$4,4,FALSE)</f>
        <v>-</v>
      </c>
      <c r="C6" s="57" t="str">
        <f>VLOOKUP(Tabelle1823[[#This Row],[Geschirrspüler]],Dropdown!$A$2:$D$4,4,FALSE)</f>
        <v>-</v>
      </c>
      <c r="D6" s="57" t="str">
        <f>VLOOKUP(Tabelle1823[[#This Row],[Wäschetrockner]],Dropdown!$A$2:$D$4,4,FALSE)</f>
        <v>-</v>
      </c>
      <c r="E6" s="57" t="str">
        <f>VLOOKUP(Tabelle1823[[#This Row],[Waschmaschinen]],Dropdown!$A$2:$D$4,4,FALSE)</f>
        <v>-</v>
      </c>
      <c r="F6" s="57" t="str">
        <f>VLOOKUP(Tabelle1823[[#This Row],[Raumklimatisierung (Klimaanlagen)]],Dropdown!$A$2:$D$4,4,FALSE)</f>
        <v>-</v>
      </c>
      <c r="G6" s="57" t="str">
        <f>VLOOKUP(Tabelle1823[[#This Row],[Wärmepumpen]],Dropdown!$A$2:$D$4,4,FALSE)</f>
        <v>-</v>
      </c>
      <c r="H6" s="57" t="str">
        <f>VLOOKUP(Tabelle1823[[#This Row],[Hybrid-Wärmepumpen]],Dropdown!$A$2:$D$4,4,FALSE)</f>
        <v>-</v>
      </c>
      <c r="I6" s="57" t="str">
        <f>VLOOKUP(Tabelle1823[[#This Row],[Nachtspeicherheizungen]],Dropdown!$A$2:$D$4,4,FALSE)</f>
        <v>-</v>
      </c>
      <c r="J6" s="57" t="str">
        <f>VLOOKUP(Tabelle1823[[#This Row],[Kühl- und Gefrierkombinationen]],Dropdown!$A$2:$D$4,4,FALSE)</f>
        <v>-</v>
      </c>
      <c r="K6" s="57" t="str">
        <f>VLOOKUP(Tabelle1823[[#This Row],[elektrische Warmwassererzeugung]],Dropdown!$A$2:$D$4,4,FALSE)</f>
        <v>-</v>
      </c>
      <c r="L6" s="57" t="str">
        <f>VLOOKUP(Tabelle1823[[#This Row],[Gefrierschränke und -truhen]],Dropdown!$A$2:$D$4,4,FALSE)</f>
        <v>-</v>
      </c>
      <c r="M6" s="57" t="str">
        <f>VLOOKUP(Tabelle1823[[#This Row],[Elektrische Öfen]],Dropdown!$A$2:$D$4,4,FALSE)</f>
        <v>-</v>
      </c>
      <c r="N6" s="57" t="str">
        <f>VLOOKUP(Tabelle1823[[#This Row],[elektrische Direktheizungen]],Dropdown!$A$2:$D$4,4,FALSE)</f>
        <v>-</v>
      </c>
      <c r="O6" s="57" t="str">
        <f>VLOOKUP(Tabelle1823[[#This Row],[Heizungsumwälzpumpen]],Dropdown!$A$2:$D$4,4,FALSE)</f>
        <v>-</v>
      </c>
      <c r="P6" s="57" t="str">
        <f>VLOOKUP(Tabelle1823[[#This Row],[Elektromobilität]],Dropdown!$A$2:$D$4,4,FALSE)</f>
        <v>-</v>
      </c>
      <c r="Q6" s="57" t="str">
        <f>VLOOKUP(Tabelle1823[[#This Row],[Smart Meter / intelligente Geräte]],Dropdown!$A$2:$D$4,4,FALSE)</f>
        <v>-</v>
      </c>
      <c r="R6" s="57" t="str">
        <f>VLOOKUP(Tabelle1823[[#This Row],[Photovoltaik]],Dropdown!$A$2:$D$4,4,FALSE)</f>
        <v>-</v>
      </c>
      <c r="S6" s="57" t="str">
        <f>VLOOKUP(Tabelle1823[[#This Row],[Mini-/Mikro-BHKWs]],Dropdown!$A$2:$D$4,4,FALSE)</f>
        <v>-</v>
      </c>
      <c r="T6" s="57" t="str">
        <f>VLOOKUP(Tabelle1823[[#This Row],[Lastflexibilisierung mittels 
Batteriespeichern]],Dropdown!$A$2:$D$4,4,FALSE)</f>
        <v>-</v>
      </c>
    </row>
    <row r="7" spans="1:20" x14ac:dyDescent="0.2">
      <c r="A7" s="6" t="str">
        <f>Tabelle1823[[#This Row],[Kurzbeleg]]</f>
        <v>Gil15</v>
      </c>
      <c r="B7" s="57" t="str">
        <f>VLOOKUP(Tabelle1823[[#This Row],[Kühlschränke]],Dropdown!$A$2:$D$4,4,FALSE)</f>
        <v>X</v>
      </c>
      <c r="C7" s="57" t="str">
        <f>VLOOKUP(Tabelle1823[[#This Row],[Geschirrspüler]],Dropdown!$A$2:$D$4,4,FALSE)</f>
        <v>X</v>
      </c>
      <c r="D7" s="57" t="str">
        <f>VLOOKUP(Tabelle1823[[#This Row],[Wäschetrockner]],Dropdown!$A$2:$D$4,4,FALSE)</f>
        <v>X</v>
      </c>
      <c r="E7" s="57" t="str">
        <f>VLOOKUP(Tabelle1823[[#This Row],[Waschmaschinen]],Dropdown!$A$2:$D$4,4,FALSE)</f>
        <v>X</v>
      </c>
      <c r="F7" s="57" t="str">
        <f>VLOOKUP(Tabelle1823[[#This Row],[Raumklimatisierung (Klimaanlagen)]],Dropdown!$A$2:$D$4,4,FALSE)</f>
        <v>X</v>
      </c>
      <c r="G7" s="57" t="str">
        <f>VLOOKUP(Tabelle1823[[#This Row],[Wärmepumpen]],Dropdown!$A$2:$D$4,4,FALSE)</f>
        <v>X</v>
      </c>
      <c r="H7" s="57" t="str">
        <f>VLOOKUP(Tabelle1823[[#This Row],[Hybrid-Wärmepumpen]],Dropdown!$A$2:$D$4,4,FALSE)</f>
        <v>-</v>
      </c>
      <c r="I7" s="57" t="str">
        <f>VLOOKUP(Tabelle1823[[#This Row],[Nachtspeicherheizungen]],Dropdown!$A$2:$D$4,4,FALSE)</f>
        <v>X</v>
      </c>
      <c r="J7" s="57" t="str">
        <f>VLOOKUP(Tabelle1823[[#This Row],[Kühl- und Gefrierkombinationen]],Dropdown!$A$2:$D$4,4,FALSE)</f>
        <v>X</v>
      </c>
      <c r="K7" s="57" t="str">
        <f>VLOOKUP(Tabelle1823[[#This Row],[elektrische Warmwassererzeugung]],Dropdown!$A$2:$D$4,4,FALSE)</f>
        <v>X</v>
      </c>
      <c r="L7" s="57" t="str">
        <f>VLOOKUP(Tabelle1823[[#This Row],[Gefrierschränke und -truhen]],Dropdown!$A$2:$D$4,4,FALSE)</f>
        <v>X</v>
      </c>
      <c r="M7" s="57" t="str">
        <f>VLOOKUP(Tabelle1823[[#This Row],[Elektrische Öfen]],Dropdown!$A$2:$D$4,4,FALSE)</f>
        <v>-</v>
      </c>
      <c r="N7" s="57" t="str">
        <f>VLOOKUP(Tabelle1823[[#This Row],[elektrische Direktheizungen]],Dropdown!$A$2:$D$4,4,FALSE)</f>
        <v>-</v>
      </c>
      <c r="O7" s="57" t="str">
        <f>VLOOKUP(Tabelle1823[[#This Row],[Heizungsumwälzpumpen]],Dropdown!$A$2:$D$4,4,FALSE)</f>
        <v>X</v>
      </c>
      <c r="P7" s="57" t="str">
        <f>VLOOKUP(Tabelle1823[[#This Row],[Elektromobilität]],Dropdown!$A$2:$D$4,4,FALSE)</f>
        <v>-</v>
      </c>
      <c r="Q7" s="57" t="str">
        <f>VLOOKUP(Tabelle1823[[#This Row],[Smart Meter / intelligente Geräte]],Dropdown!$A$2:$D$4,4,FALSE)</f>
        <v>-</v>
      </c>
      <c r="R7" s="57" t="str">
        <f>VLOOKUP(Tabelle1823[[#This Row],[Photovoltaik]],Dropdown!$A$2:$D$4,4,FALSE)</f>
        <v>-</v>
      </c>
      <c r="S7" s="57" t="str">
        <f>VLOOKUP(Tabelle1823[[#This Row],[Mini-/Mikro-BHKWs]],Dropdown!$A$2:$D$4,4,FALSE)</f>
        <v>-</v>
      </c>
      <c r="T7" s="57" t="str">
        <f>VLOOKUP(Tabelle1823[[#This Row],[Lastflexibilisierung mittels 
Batteriespeichern]],Dropdown!$A$2:$D$4,4,FALSE)</f>
        <v>-</v>
      </c>
    </row>
    <row r="8" spans="1:20" x14ac:dyDescent="0.2">
      <c r="A8" s="6" t="str">
        <f>Tabelle1823[[#This Row],[Kurzbeleg]]</f>
        <v>Gob12</v>
      </c>
      <c r="B8" s="57" t="str">
        <f>VLOOKUP(Tabelle1823[[#This Row],[Kühlschränke]],Dropdown!$A$2:$D$4,4,FALSE)</f>
        <v>X</v>
      </c>
      <c r="C8" s="57" t="str">
        <f>VLOOKUP(Tabelle1823[[#This Row],[Geschirrspüler]],Dropdown!$A$2:$D$4,4,FALSE)</f>
        <v>X</v>
      </c>
      <c r="D8" s="57" t="str">
        <f>VLOOKUP(Tabelle1823[[#This Row],[Wäschetrockner]],Dropdown!$A$2:$D$4,4,FALSE)</f>
        <v>X</v>
      </c>
      <c r="E8" s="57" t="str">
        <f>VLOOKUP(Tabelle1823[[#This Row],[Waschmaschinen]],Dropdown!$A$2:$D$4,4,FALSE)</f>
        <v>X</v>
      </c>
      <c r="F8" s="57" t="str">
        <f>VLOOKUP(Tabelle1823[[#This Row],[Raumklimatisierung (Klimaanlagen)]],Dropdown!$A$2:$D$4,4,FALSE)</f>
        <v>X</v>
      </c>
      <c r="G8" s="57" t="str">
        <f>VLOOKUP(Tabelle1823[[#This Row],[Wärmepumpen]],Dropdown!$A$2:$D$4,4,FALSE)</f>
        <v>X</v>
      </c>
      <c r="H8" s="57" t="str">
        <f>VLOOKUP(Tabelle1823[[#This Row],[Hybrid-Wärmepumpen]],Dropdown!$A$2:$D$4,4,FALSE)</f>
        <v>-</v>
      </c>
      <c r="I8" s="57" t="str">
        <f>VLOOKUP(Tabelle1823[[#This Row],[Nachtspeicherheizungen]],Dropdown!$A$2:$D$4,4,FALSE)</f>
        <v>X</v>
      </c>
      <c r="J8" s="57" t="str">
        <f>VLOOKUP(Tabelle1823[[#This Row],[Kühl- und Gefrierkombinationen]],Dropdown!$A$2:$D$4,4,FALSE)</f>
        <v>X</v>
      </c>
      <c r="K8" s="57" t="str">
        <f>VLOOKUP(Tabelle1823[[#This Row],[elektrische Warmwassererzeugung]],Dropdown!$A$2:$D$4,4,FALSE)</f>
        <v>X</v>
      </c>
      <c r="L8" s="57" t="str">
        <f>VLOOKUP(Tabelle1823[[#This Row],[Gefrierschränke und -truhen]],Dropdown!$A$2:$D$4,4,FALSE)</f>
        <v>X</v>
      </c>
      <c r="M8" s="57" t="str">
        <f>VLOOKUP(Tabelle1823[[#This Row],[Elektrische Öfen]],Dropdown!$A$2:$D$4,4,FALSE)</f>
        <v>-</v>
      </c>
      <c r="N8" s="57" t="str">
        <f>VLOOKUP(Tabelle1823[[#This Row],[elektrische Direktheizungen]],Dropdown!$A$2:$D$4,4,FALSE)</f>
        <v>-</v>
      </c>
      <c r="O8" s="57" t="str">
        <f>VLOOKUP(Tabelle1823[[#This Row],[Heizungsumwälzpumpen]],Dropdown!$A$2:$D$4,4,FALSE)</f>
        <v>-</v>
      </c>
      <c r="P8" s="57" t="str">
        <f>VLOOKUP(Tabelle1823[[#This Row],[Elektromobilität]],Dropdown!$A$2:$D$4,4,FALSE)</f>
        <v>-</v>
      </c>
      <c r="Q8" s="57" t="str">
        <f>VLOOKUP(Tabelle1823[[#This Row],[Smart Meter / intelligente Geräte]],Dropdown!$A$2:$D$4,4,FALSE)</f>
        <v>-</v>
      </c>
      <c r="R8" s="57" t="str">
        <f>VLOOKUP(Tabelle1823[[#This Row],[Photovoltaik]],Dropdown!$A$2:$D$4,4,FALSE)</f>
        <v>-</v>
      </c>
      <c r="S8" s="57" t="str">
        <f>VLOOKUP(Tabelle1823[[#This Row],[Mini-/Mikro-BHKWs]],Dropdown!$A$2:$D$4,4,FALSE)</f>
        <v>-</v>
      </c>
      <c r="T8" s="57" t="str">
        <f>VLOOKUP(Tabelle1823[[#This Row],[Lastflexibilisierung mittels 
Batteriespeichern]],Dropdown!$A$2:$D$4,4,FALSE)</f>
        <v>-</v>
      </c>
    </row>
    <row r="9" spans="1:20" x14ac:dyDescent="0.2">
      <c r="A9" s="6" t="str">
        <f>Tabelle1823[[#This Row],[Kurzbeleg]]</f>
        <v>Gro13</v>
      </c>
      <c r="B9" s="57" t="str">
        <f>VLOOKUP(Tabelle1823[[#This Row],[Kühlschränke]],Dropdown!$A$2:$D$4,4,FALSE)</f>
        <v>X</v>
      </c>
      <c r="C9" s="57" t="str">
        <f>VLOOKUP(Tabelle1823[[#This Row],[Geschirrspüler]],Dropdown!$A$2:$D$4,4,FALSE)</f>
        <v>X</v>
      </c>
      <c r="D9" s="57" t="str">
        <f>VLOOKUP(Tabelle1823[[#This Row],[Wäschetrockner]],Dropdown!$A$2:$D$4,4,FALSE)</f>
        <v>X</v>
      </c>
      <c r="E9" s="57" t="str">
        <f>VLOOKUP(Tabelle1823[[#This Row],[Waschmaschinen]],Dropdown!$A$2:$D$4,4,FALSE)</f>
        <v>X</v>
      </c>
      <c r="F9" s="57" t="str">
        <f>VLOOKUP(Tabelle1823[[#This Row],[Raumklimatisierung (Klimaanlagen)]],Dropdown!$A$2:$D$4,4,FALSE)</f>
        <v>X</v>
      </c>
      <c r="G9" s="57" t="str">
        <f>VLOOKUP(Tabelle1823[[#This Row],[Wärmepumpen]],Dropdown!$A$2:$D$4,4,FALSE)</f>
        <v>X</v>
      </c>
      <c r="H9" s="57" t="str">
        <f>VLOOKUP(Tabelle1823[[#This Row],[Hybrid-Wärmepumpen]],Dropdown!$A$2:$D$4,4,FALSE)</f>
        <v>-</v>
      </c>
      <c r="I9" s="57" t="str">
        <f>VLOOKUP(Tabelle1823[[#This Row],[Nachtspeicherheizungen]],Dropdown!$A$2:$D$4,4,FALSE)</f>
        <v>X</v>
      </c>
      <c r="J9" s="57" t="str">
        <f>VLOOKUP(Tabelle1823[[#This Row],[Kühl- und Gefrierkombinationen]],Dropdown!$A$2:$D$4,4,FALSE)</f>
        <v>-</v>
      </c>
      <c r="K9" s="57" t="str">
        <f>VLOOKUP(Tabelle1823[[#This Row],[elektrische Warmwassererzeugung]],Dropdown!$A$2:$D$4,4,FALSE)</f>
        <v>-</v>
      </c>
      <c r="L9" s="57" t="str">
        <f>VLOOKUP(Tabelle1823[[#This Row],[Gefrierschränke und -truhen]],Dropdown!$A$2:$D$4,4,FALSE)</f>
        <v>X</v>
      </c>
      <c r="M9" s="57" t="str">
        <f>VLOOKUP(Tabelle1823[[#This Row],[Elektrische Öfen]],Dropdown!$A$2:$D$4,4,FALSE)</f>
        <v>-</v>
      </c>
      <c r="N9" s="57" t="str">
        <f>VLOOKUP(Tabelle1823[[#This Row],[elektrische Direktheizungen]],Dropdown!$A$2:$D$4,4,FALSE)</f>
        <v>-</v>
      </c>
      <c r="O9" s="57" t="str">
        <f>VLOOKUP(Tabelle1823[[#This Row],[Heizungsumwälzpumpen]],Dropdown!$A$2:$D$4,4,FALSE)</f>
        <v>-</v>
      </c>
      <c r="P9" s="57" t="str">
        <f>VLOOKUP(Tabelle1823[[#This Row],[Elektromobilität]],Dropdown!$A$2:$D$4,4,FALSE)</f>
        <v>-</v>
      </c>
      <c r="Q9" s="57" t="str">
        <f>VLOOKUP(Tabelle1823[[#This Row],[Smart Meter / intelligente Geräte]],Dropdown!$A$2:$D$4,4,FALSE)</f>
        <v>-</v>
      </c>
      <c r="R9" s="57" t="str">
        <f>VLOOKUP(Tabelle1823[[#This Row],[Photovoltaik]],Dropdown!$A$2:$D$4,4,FALSE)</f>
        <v>-</v>
      </c>
      <c r="S9" s="57" t="str">
        <f>VLOOKUP(Tabelle1823[[#This Row],[Mini-/Mikro-BHKWs]],Dropdown!$A$2:$D$4,4,FALSE)</f>
        <v>-</v>
      </c>
      <c r="T9" s="57" t="str">
        <f>VLOOKUP(Tabelle1823[[#This Row],[Lastflexibilisierung mittels 
Batteriespeichern]],Dropdown!$A$2:$D$4,4,FALSE)</f>
        <v>-</v>
      </c>
    </row>
    <row r="10" spans="1:20" x14ac:dyDescent="0.2">
      <c r="A10" s="6" t="str">
        <f>Tabelle1823[[#This Row],[Kurzbeleg]]</f>
        <v>Gru17</v>
      </c>
      <c r="B10" s="57" t="str">
        <f>VLOOKUP(Tabelle1823[[#This Row],[Kühlschränke]],Dropdown!$A$2:$D$4,4,FALSE)</f>
        <v>-</v>
      </c>
      <c r="C10" s="57" t="str">
        <f>VLOOKUP(Tabelle1823[[#This Row],[Geschirrspüler]],Dropdown!$A$2:$D$4,4,FALSE)</f>
        <v>-</v>
      </c>
      <c r="D10" s="57" t="str">
        <f>VLOOKUP(Tabelle1823[[#This Row],[Wäschetrockner]],Dropdown!$A$2:$D$4,4,FALSE)</f>
        <v>-</v>
      </c>
      <c r="E10" s="57" t="str">
        <f>VLOOKUP(Tabelle1823[[#This Row],[Waschmaschinen]],Dropdown!$A$2:$D$4,4,FALSE)</f>
        <v>-</v>
      </c>
      <c r="F10" s="57" t="str">
        <f>VLOOKUP(Tabelle1823[[#This Row],[Raumklimatisierung (Klimaanlagen)]],Dropdown!$A$2:$D$4,4,FALSE)</f>
        <v>-</v>
      </c>
      <c r="G10" s="57" t="str">
        <f>VLOOKUP(Tabelle1823[[#This Row],[Wärmepumpen]],Dropdown!$A$2:$D$4,4,FALSE)</f>
        <v>-</v>
      </c>
      <c r="H10" s="57" t="str">
        <f>VLOOKUP(Tabelle1823[[#This Row],[Hybrid-Wärmepumpen]],Dropdown!$A$2:$D$4,4,FALSE)</f>
        <v>-</v>
      </c>
      <c r="I10" s="57" t="str">
        <f>VLOOKUP(Tabelle1823[[#This Row],[Nachtspeicherheizungen]],Dropdown!$A$2:$D$4,4,FALSE)</f>
        <v>-</v>
      </c>
      <c r="J10" s="57" t="str">
        <f>VLOOKUP(Tabelle1823[[#This Row],[Kühl- und Gefrierkombinationen]],Dropdown!$A$2:$D$4,4,FALSE)</f>
        <v>-</v>
      </c>
      <c r="K10" s="57" t="str">
        <f>VLOOKUP(Tabelle1823[[#This Row],[elektrische Warmwassererzeugung]],Dropdown!$A$2:$D$4,4,FALSE)</f>
        <v>-</v>
      </c>
      <c r="L10" s="57" t="str">
        <f>VLOOKUP(Tabelle1823[[#This Row],[Gefrierschränke und -truhen]],Dropdown!$A$2:$D$4,4,FALSE)</f>
        <v>-</v>
      </c>
      <c r="M10" s="57" t="str">
        <f>VLOOKUP(Tabelle1823[[#This Row],[Elektrische Öfen]],Dropdown!$A$2:$D$4,4,FALSE)</f>
        <v>-</v>
      </c>
      <c r="N10" s="57" t="str">
        <f>VLOOKUP(Tabelle1823[[#This Row],[elektrische Direktheizungen]],Dropdown!$A$2:$D$4,4,FALSE)</f>
        <v>-</v>
      </c>
      <c r="O10" s="57" t="str">
        <f>VLOOKUP(Tabelle1823[[#This Row],[Heizungsumwälzpumpen]],Dropdown!$A$2:$D$4,4,FALSE)</f>
        <v>-</v>
      </c>
      <c r="P10" s="57" t="str">
        <f>VLOOKUP(Tabelle1823[[#This Row],[Elektromobilität]],Dropdown!$A$2:$D$4,4,FALSE)</f>
        <v>-</v>
      </c>
      <c r="Q10" s="57" t="str">
        <f>VLOOKUP(Tabelle1823[[#This Row],[Smart Meter / intelligente Geräte]],Dropdown!$A$2:$D$4,4,FALSE)</f>
        <v>-</v>
      </c>
      <c r="R10" s="57" t="str">
        <f>VLOOKUP(Tabelle1823[[#This Row],[Photovoltaik]],Dropdown!$A$2:$D$4,4,FALSE)</f>
        <v>-</v>
      </c>
      <c r="S10" s="57" t="str">
        <f>VLOOKUP(Tabelle1823[[#This Row],[Mini-/Mikro-BHKWs]],Dropdown!$A$2:$D$4,4,FALSE)</f>
        <v>-</v>
      </c>
      <c r="T10" s="57" t="str">
        <f>VLOOKUP(Tabelle1823[[#This Row],[Lastflexibilisierung mittels 
Batteriespeichern]],Dropdown!$A$2:$D$4,4,FALSE)</f>
        <v>-</v>
      </c>
    </row>
    <row r="11" spans="1:20" x14ac:dyDescent="0.2">
      <c r="A11" s="6" t="str">
        <f>Tabelle1823[[#This Row],[Kurzbeleg]]</f>
        <v>Haa17</v>
      </c>
      <c r="B11" s="57" t="str">
        <f>VLOOKUP(Tabelle1823[[#This Row],[Kühlschränke]],Dropdown!$A$2:$D$4,4,FALSE)</f>
        <v>X</v>
      </c>
      <c r="C11" s="57" t="str">
        <f>VLOOKUP(Tabelle1823[[#This Row],[Geschirrspüler]],Dropdown!$A$2:$D$4,4,FALSE)</f>
        <v>-</v>
      </c>
      <c r="D11" s="57" t="str">
        <f>VLOOKUP(Tabelle1823[[#This Row],[Wäschetrockner]],Dropdown!$A$2:$D$4,4,FALSE)</f>
        <v>-</v>
      </c>
      <c r="E11" s="57" t="str">
        <f>VLOOKUP(Tabelle1823[[#This Row],[Waschmaschinen]],Dropdown!$A$2:$D$4,4,FALSE)</f>
        <v>-</v>
      </c>
      <c r="F11" s="57" t="str">
        <f>VLOOKUP(Tabelle1823[[#This Row],[Raumklimatisierung (Klimaanlagen)]],Dropdown!$A$2:$D$4,4,FALSE)</f>
        <v>-</v>
      </c>
      <c r="G11" s="57" t="str">
        <f>VLOOKUP(Tabelle1823[[#This Row],[Wärmepumpen]],Dropdown!$A$2:$D$4,4,FALSE)</f>
        <v>-</v>
      </c>
      <c r="H11" s="57" t="str">
        <f>VLOOKUP(Tabelle1823[[#This Row],[Hybrid-Wärmepumpen]],Dropdown!$A$2:$D$4,4,FALSE)</f>
        <v>-</v>
      </c>
      <c r="I11" s="57" t="str">
        <f>VLOOKUP(Tabelle1823[[#This Row],[Nachtspeicherheizungen]],Dropdown!$A$2:$D$4,4,FALSE)</f>
        <v>-</v>
      </c>
      <c r="J11" s="57" t="str">
        <f>VLOOKUP(Tabelle1823[[#This Row],[Kühl- und Gefrierkombinationen]],Dropdown!$A$2:$D$4,4,FALSE)</f>
        <v>X</v>
      </c>
      <c r="K11" s="57" t="str">
        <f>VLOOKUP(Tabelle1823[[#This Row],[elektrische Warmwassererzeugung]],Dropdown!$A$2:$D$4,4,FALSE)</f>
        <v>X</v>
      </c>
      <c r="L11" s="57" t="str">
        <f>VLOOKUP(Tabelle1823[[#This Row],[Gefrierschränke und -truhen]],Dropdown!$A$2:$D$4,4,FALSE)</f>
        <v>X</v>
      </c>
      <c r="M11" s="57" t="str">
        <f>VLOOKUP(Tabelle1823[[#This Row],[Elektrische Öfen]],Dropdown!$A$2:$D$4,4,FALSE)</f>
        <v>-</v>
      </c>
      <c r="N11" s="57" t="str">
        <f>VLOOKUP(Tabelle1823[[#This Row],[elektrische Direktheizungen]],Dropdown!$A$2:$D$4,4,FALSE)</f>
        <v>-</v>
      </c>
      <c r="O11" s="57" t="str">
        <f>VLOOKUP(Tabelle1823[[#This Row],[Heizungsumwälzpumpen]],Dropdown!$A$2:$D$4,4,FALSE)</f>
        <v>-</v>
      </c>
      <c r="P11" s="57" t="str">
        <f>VLOOKUP(Tabelle1823[[#This Row],[Elektromobilität]],Dropdown!$A$2:$D$4,4,FALSE)</f>
        <v>-</v>
      </c>
      <c r="Q11" s="57" t="str">
        <f>VLOOKUP(Tabelle1823[[#This Row],[Smart Meter / intelligente Geräte]],Dropdown!$A$2:$D$4,4,FALSE)</f>
        <v>-</v>
      </c>
      <c r="R11" s="57" t="str">
        <f>VLOOKUP(Tabelle1823[[#This Row],[Photovoltaik]],Dropdown!$A$2:$D$4,4,FALSE)</f>
        <v>-</v>
      </c>
      <c r="S11" s="57" t="str">
        <f>VLOOKUP(Tabelle1823[[#This Row],[Mini-/Mikro-BHKWs]],Dropdown!$A$2:$D$4,4,FALSE)</f>
        <v>-</v>
      </c>
      <c r="T11" s="57" t="str">
        <f>VLOOKUP(Tabelle1823[[#This Row],[Lastflexibilisierung mittels 
Batteriespeichern]],Dropdown!$A$2:$D$4,4,FALSE)</f>
        <v>-</v>
      </c>
    </row>
    <row r="12" spans="1:20" x14ac:dyDescent="0.2">
      <c r="A12" s="6" t="str">
        <f>Tabelle1823[[#This Row],[Kurzbeleg]]</f>
        <v>Hei21</v>
      </c>
      <c r="B12" s="57" t="str">
        <f>VLOOKUP(Tabelle1823[[#This Row],[Kühlschränke]],Dropdown!$A$2:$D$4,4,FALSE)</f>
        <v>X</v>
      </c>
      <c r="C12" s="57" t="str">
        <f>VLOOKUP(Tabelle1823[[#This Row],[Geschirrspüler]],Dropdown!$A$2:$D$4,4,FALSE)</f>
        <v>-</v>
      </c>
      <c r="D12" s="57" t="str">
        <f>VLOOKUP(Tabelle1823[[#This Row],[Wäschetrockner]],Dropdown!$A$2:$D$4,4,FALSE)</f>
        <v>X</v>
      </c>
      <c r="E12" s="57" t="str">
        <f>VLOOKUP(Tabelle1823[[#This Row],[Waschmaschinen]],Dropdown!$A$2:$D$4,4,FALSE)</f>
        <v>X</v>
      </c>
      <c r="F12" s="57" t="str">
        <f>VLOOKUP(Tabelle1823[[#This Row],[Raumklimatisierung (Klimaanlagen)]],Dropdown!$A$2:$D$4,4,FALSE)</f>
        <v>-</v>
      </c>
      <c r="G12" s="57" t="str">
        <f>VLOOKUP(Tabelle1823[[#This Row],[Wärmepumpen]],Dropdown!$A$2:$D$4,4,FALSE)</f>
        <v>X</v>
      </c>
      <c r="H12" s="57" t="str">
        <f>VLOOKUP(Tabelle1823[[#This Row],[Hybrid-Wärmepumpen]],Dropdown!$A$2:$D$4,4,FALSE)</f>
        <v>-</v>
      </c>
      <c r="I12" s="57" t="str">
        <f>VLOOKUP(Tabelle1823[[#This Row],[Nachtspeicherheizungen]],Dropdown!$A$2:$D$4,4,FALSE)</f>
        <v>X</v>
      </c>
      <c r="J12" s="57" t="str">
        <f>VLOOKUP(Tabelle1823[[#This Row],[Kühl- und Gefrierkombinationen]],Dropdown!$A$2:$D$4,4,FALSE)</f>
        <v>X</v>
      </c>
      <c r="K12" s="57" t="str">
        <f>VLOOKUP(Tabelle1823[[#This Row],[elektrische Warmwassererzeugung]],Dropdown!$A$2:$D$4,4,FALSE)</f>
        <v>X</v>
      </c>
      <c r="L12" s="57" t="str">
        <f>VLOOKUP(Tabelle1823[[#This Row],[Gefrierschränke und -truhen]],Dropdown!$A$2:$D$4,4,FALSE)</f>
        <v>X</v>
      </c>
      <c r="M12" s="57" t="str">
        <f>VLOOKUP(Tabelle1823[[#This Row],[Elektrische Öfen]],Dropdown!$A$2:$D$4,4,FALSE)</f>
        <v>-</v>
      </c>
      <c r="N12" s="57" t="str">
        <f>VLOOKUP(Tabelle1823[[#This Row],[elektrische Direktheizungen]],Dropdown!$A$2:$D$4,4,FALSE)</f>
        <v>-</v>
      </c>
      <c r="O12" s="57" t="str">
        <f>VLOOKUP(Tabelle1823[[#This Row],[Heizungsumwälzpumpen]],Dropdown!$A$2:$D$4,4,FALSE)</f>
        <v>-</v>
      </c>
      <c r="P12" s="57" t="str">
        <f>VLOOKUP(Tabelle1823[[#This Row],[Elektromobilität]],Dropdown!$A$2:$D$4,4,FALSE)</f>
        <v>X</v>
      </c>
      <c r="Q12" s="57" t="str">
        <f>VLOOKUP(Tabelle1823[[#This Row],[Smart Meter / intelligente Geräte]],Dropdown!$A$2:$D$4,4,FALSE)</f>
        <v>-</v>
      </c>
      <c r="R12" s="57" t="str">
        <f>VLOOKUP(Tabelle1823[[#This Row],[Photovoltaik]],Dropdown!$A$2:$D$4,4,FALSE)</f>
        <v>-</v>
      </c>
      <c r="S12" s="57" t="str">
        <f>VLOOKUP(Tabelle1823[[#This Row],[Mini-/Mikro-BHKWs]],Dropdown!$A$2:$D$4,4,FALSE)</f>
        <v>-</v>
      </c>
      <c r="T12" s="57" t="str">
        <f>VLOOKUP(Tabelle1823[[#This Row],[Lastflexibilisierung mittels 
Batteriespeichern]],Dropdown!$A$2:$D$4,4,FALSE)</f>
        <v>-</v>
      </c>
    </row>
    <row r="13" spans="1:20" x14ac:dyDescent="0.2">
      <c r="A13" s="6" t="str">
        <f>Tabelle1823[[#This Row],[Kurzbeleg]]</f>
        <v>Hen15</v>
      </c>
      <c r="B13" s="57" t="str">
        <f>VLOOKUP(Tabelle1823[[#This Row],[Kühlschränke]],Dropdown!$A$2:$D$4,4,FALSE)</f>
        <v>-</v>
      </c>
      <c r="C13" s="57" t="str">
        <f>VLOOKUP(Tabelle1823[[#This Row],[Geschirrspüler]],Dropdown!$A$2:$D$4,4,FALSE)</f>
        <v>-</v>
      </c>
      <c r="D13" s="57" t="str">
        <f>VLOOKUP(Tabelle1823[[#This Row],[Wäschetrockner]],Dropdown!$A$2:$D$4,4,FALSE)</f>
        <v>-</v>
      </c>
      <c r="E13" s="57" t="str">
        <f>VLOOKUP(Tabelle1823[[#This Row],[Waschmaschinen]],Dropdown!$A$2:$D$4,4,FALSE)</f>
        <v>-</v>
      </c>
      <c r="F13" s="57" t="str">
        <f>VLOOKUP(Tabelle1823[[#This Row],[Raumklimatisierung (Klimaanlagen)]],Dropdown!$A$2:$D$4,4,FALSE)</f>
        <v>-</v>
      </c>
      <c r="G13" s="57" t="str">
        <f>VLOOKUP(Tabelle1823[[#This Row],[Wärmepumpen]],Dropdown!$A$2:$D$4,4,FALSE)</f>
        <v>-</v>
      </c>
      <c r="H13" s="57" t="str">
        <f>VLOOKUP(Tabelle1823[[#This Row],[Hybrid-Wärmepumpen]],Dropdown!$A$2:$D$4,4,FALSE)</f>
        <v>X</v>
      </c>
      <c r="I13" s="57" t="str">
        <f>VLOOKUP(Tabelle1823[[#This Row],[Nachtspeicherheizungen]],Dropdown!$A$2:$D$4,4,FALSE)</f>
        <v>-</v>
      </c>
      <c r="J13" s="57" t="str">
        <f>VLOOKUP(Tabelle1823[[#This Row],[Kühl- und Gefrierkombinationen]],Dropdown!$A$2:$D$4,4,FALSE)</f>
        <v>-</v>
      </c>
      <c r="K13" s="57" t="str">
        <f>VLOOKUP(Tabelle1823[[#This Row],[elektrische Warmwassererzeugung]],Dropdown!$A$2:$D$4,4,FALSE)</f>
        <v>X</v>
      </c>
      <c r="L13" s="57" t="str">
        <f>VLOOKUP(Tabelle1823[[#This Row],[Gefrierschränke und -truhen]],Dropdown!$A$2:$D$4,4,FALSE)</f>
        <v>-</v>
      </c>
      <c r="M13" s="57" t="str">
        <f>VLOOKUP(Tabelle1823[[#This Row],[Elektrische Öfen]],Dropdown!$A$2:$D$4,4,FALSE)</f>
        <v>-</v>
      </c>
      <c r="N13" s="57" t="str">
        <f>VLOOKUP(Tabelle1823[[#This Row],[elektrische Direktheizungen]],Dropdown!$A$2:$D$4,4,FALSE)</f>
        <v>-</v>
      </c>
      <c r="O13" s="57" t="str">
        <f>VLOOKUP(Tabelle1823[[#This Row],[Heizungsumwälzpumpen]],Dropdown!$A$2:$D$4,4,FALSE)</f>
        <v>-</v>
      </c>
      <c r="P13" s="57" t="str">
        <f>VLOOKUP(Tabelle1823[[#This Row],[Elektromobilität]],Dropdown!$A$2:$D$4,4,FALSE)</f>
        <v>-</v>
      </c>
      <c r="Q13" s="57" t="str">
        <f>VLOOKUP(Tabelle1823[[#This Row],[Smart Meter / intelligente Geräte]],Dropdown!$A$2:$D$4,4,FALSE)</f>
        <v>-</v>
      </c>
      <c r="R13" s="57" t="str">
        <f>VLOOKUP(Tabelle1823[[#This Row],[Photovoltaik]],Dropdown!$A$2:$D$4,4,FALSE)</f>
        <v>-</v>
      </c>
      <c r="S13" s="57" t="str">
        <f>VLOOKUP(Tabelle1823[[#This Row],[Mini-/Mikro-BHKWs]],Dropdown!$A$2:$D$4,4,FALSE)</f>
        <v>-</v>
      </c>
      <c r="T13" s="57" t="str">
        <f>VLOOKUP(Tabelle1823[[#This Row],[Lastflexibilisierung mittels 
Batteriespeichern]],Dropdown!$A$2:$D$4,4,FALSE)</f>
        <v>-</v>
      </c>
    </row>
    <row r="14" spans="1:20" x14ac:dyDescent="0.2">
      <c r="A14" s="6" t="str">
        <f>Tabelle1823[[#This Row],[Kurzbeleg]]</f>
        <v>Jet21</v>
      </c>
      <c r="B14" s="57" t="str">
        <f>VLOOKUP(Tabelle1823[[#This Row],[Kühlschränke]],Dropdown!$A$2:$D$4,4,FALSE)</f>
        <v>-</v>
      </c>
      <c r="C14" s="57" t="str">
        <f>VLOOKUP(Tabelle1823[[#This Row],[Geschirrspüler]],Dropdown!$A$2:$D$4,4,FALSE)</f>
        <v>-</v>
      </c>
      <c r="D14" s="57" t="str">
        <f>VLOOKUP(Tabelle1823[[#This Row],[Wäschetrockner]],Dropdown!$A$2:$D$4,4,FALSE)</f>
        <v>-</v>
      </c>
      <c r="E14" s="57" t="str">
        <f>VLOOKUP(Tabelle1823[[#This Row],[Waschmaschinen]],Dropdown!$A$2:$D$4,4,FALSE)</f>
        <v>-</v>
      </c>
      <c r="F14" s="57" t="str">
        <f>VLOOKUP(Tabelle1823[[#This Row],[Raumklimatisierung (Klimaanlagen)]],Dropdown!$A$2:$D$4,4,FALSE)</f>
        <v>-</v>
      </c>
      <c r="G14" s="57" t="str">
        <f>VLOOKUP(Tabelle1823[[#This Row],[Wärmepumpen]],Dropdown!$A$2:$D$4,4,FALSE)</f>
        <v>-</v>
      </c>
      <c r="H14" s="57" t="str">
        <f>VLOOKUP(Tabelle1823[[#This Row],[Hybrid-Wärmepumpen]],Dropdown!$A$2:$D$4,4,FALSE)</f>
        <v>-</v>
      </c>
      <c r="I14" s="57" t="str">
        <f>VLOOKUP(Tabelle1823[[#This Row],[Nachtspeicherheizungen]],Dropdown!$A$2:$D$4,4,FALSE)</f>
        <v>-</v>
      </c>
      <c r="J14" s="57" t="str">
        <f>VLOOKUP(Tabelle1823[[#This Row],[Kühl- und Gefrierkombinationen]],Dropdown!$A$2:$D$4,4,FALSE)</f>
        <v>-</v>
      </c>
      <c r="K14" s="57" t="str">
        <f>VLOOKUP(Tabelle1823[[#This Row],[elektrische Warmwassererzeugung]],Dropdown!$A$2:$D$4,4,FALSE)</f>
        <v>-</v>
      </c>
      <c r="L14" s="57" t="str">
        <f>VLOOKUP(Tabelle1823[[#This Row],[Gefrierschränke und -truhen]],Dropdown!$A$2:$D$4,4,FALSE)</f>
        <v>-</v>
      </c>
      <c r="M14" s="57" t="str">
        <f>VLOOKUP(Tabelle1823[[#This Row],[Elektrische Öfen]],Dropdown!$A$2:$D$4,4,FALSE)</f>
        <v>-</v>
      </c>
      <c r="N14" s="57" t="str">
        <f>VLOOKUP(Tabelle1823[[#This Row],[elektrische Direktheizungen]],Dropdown!$A$2:$D$4,4,FALSE)</f>
        <v>-</v>
      </c>
      <c r="O14" s="57" t="str">
        <f>VLOOKUP(Tabelle1823[[#This Row],[Heizungsumwälzpumpen]],Dropdown!$A$2:$D$4,4,FALSE)</f>
        <v>-</v>
      </c>
      <c r="P14" s="57" t="str">
        <f>VLOOKUP(Tabelle1823[[#This Row],[Elektromobilität]],Dropdown!$A$2:$D$4,4,FALSE)</f>
        <v>-</v>
      </c>
      <c r="Q14" s="57" t="str">
        <f>VLOOKUP(Tabelle1823[[#This Row],[Smart Meter / intelligente Geräte]],Dropdown!$A$2:$D$4,4,FALSE)</f>
        <v>-</v>
      </c>
      <c r="R14" s="57" t="str">
        <f>VLOOKUP(Tabelle1823[[#This Row],[Photovoltaik]],Dropdown!$A$2:$D$4,4,FALSE)</f>
        <v>-</v>
      </c>
      <c r="S14" s="57" t="str">
        <f>VLOOKUP(Tabelle1823[[#This Row],[Mini-/Mikro-BHKWs]],Dropdown!$A$2:$D$4,4,FALSE)</f>
        <v>-</v>
      </c>
      <c r="T14" s="57" t="str">
        <f>VLOOKUP(Tabelle1823[[#This Row],[Lastflexibilisierung mittels 
Batteriespeichern]],Dropdown!$A$2:$D$4,4,FALSE)</f>
        <v>-</v>
      </c>
    </row>
    <row r="15" spans="1:20" x14ac:dyDescent="0.2">
      <c r="A15" s="6" t="str">
        <f>Tabelle1823[[#This Row],[Kurzbeleg]]</f>
        <v>Klo09</v>
      </c>
      <c r="B15" s="57" t="str">
        <f>VLOOKUP(Tabelle1823[[#This Row],[Kühlschränke]],Dropdown!$A$2:$D$4,4,FALSE)</f>
        <v>X</v>
      </c>
      <c r="C15" s="57" t="str">
        <f>VLOOKUP(Tabelle1823[[#This Row],[Geschirrspüler]],Dropdown!$A$2:$D$4,4,FALSE)</f>
        <v>X</v>
      </c>
      <c r="D15" s="57" t="str">
        <f>VLOOKUP(Tabelle1823[[#This Row],[Wäschetrockner]],Dropdown!$A$2:$D$4,4,FALSE)</f>
        <v>X</v>
      </c>
      <c r="E15" s="57" t="str">
        <f>VLOOKUP(Tabelle1823[[#This Row],[Waschmaschinen]],Dropdown!$A$2:$D$4,4,FALSE)</f>
        <v>X</v>
      </c>
      <c r="F15" s="57" t="str">
        <f>VLOOKUP(Tabelle1823[[#This Row],[Raumklimatisierung (Klimaanlagen)]],Dropdown!$A$2:$D$4,4,FALSE)</f>
        <v>-</v>
      </c>
      <c r="G15" s="57" t="str">
        <f>VLOOKUP(Tabelle1823[[#This Row],[Wärmepumpen]],Dropdown!$A$2:$D$4,4,FALSE)</f>
        <v>X</v>
      </c>
      <c r="H15" s="57" t="str">
        <f>VLOOKUP(Tabelle1823[[#This Row],[Hybrid-Wärmepumpen]],Dropdown!$A$2:$D$4,4,FALSE)</f>
        <v>-</v>
      </c>
      <c r="I15" s="57" t="str">
        <f>VLOOKUP(Tabelle1823[[#This Row],[Nachtspeicherheizungen]],Dropdown!$A$2:$D$4,4,FALSE)</f>
        <v>X</v>
      </c>
      <c r="J15" s="57" t="str">
        <f>VLOOKUP(Tabelle1823[[#This Row],[Kühl- und Gefrierkombinationen]],Dropdown!$A$2:$D$4,4,FALSE)</f>
        <v>X</v>
      </c>
      <c r="K15" s="57" t="str">
        <f>VLOOKUP(Tabelle1823[[#This Row],[elektrische Warmwassererzeugung]],Dropdown!$A$2:$D$4,4,FALSE)</f>
        <v>X</v>
      </c>
      <c r="L15" s="57" t="str">
        <f>VLOOKUP(Tabelle1823[[#This Row],[Gefrierschränke und -truhen]],Dropdown!$A$2:$D$4,4,FALSE)</f>
        <v>X</v>
      </c>
      <c r="M15" s="57" t="str">
        <f>VLOOKUP(Tabelle1823[[#This Row],[Elektrische Öfen]],Dropdown!$A$2:$D$4,4,FALSE)</f>
        <v>-</v>
      </c>
      <c r="N15" s="57" t="str">
        <f>VLOOKUP(Tabelle1823[[#This Row],[elektrische Direktheizungen]],Dropdown!$A$2:$D$4,4,FALSE)</f>
        <v>-</v>
      </c>
      <c r="O15" s="57" t="str">
        <f>VLOOKUP(Tabelle1823[[#This Row],[Heizungsumwälzpumpen]],Dropdown!$A$2:$D$4,4,FALSE)</f>
        <v>X</v>
      </c>
      <c r="P15" s="57" t="str">
        <f>VLOOKUP(Tabelle1823[[#This Row],[Elektromobilität]],Dropdown!$A$2:$D$4,4,FALSE)</f>
        <v>-</v>
      </c>
      <c r="Q15" s="57" t="str">
        <f>VLOOKUP(Tabelle1823[[#This Row],[Smart Meter / intelligente Geräte]],Dropdown!$A$2:$D$4,4,FALSE)</f>
        <v>-</v>
      </c>
      <c r="R15" s="57" t="str">
        <f>VLOOKUP(Tabelle1823[[#This Row],[Photovoltaik]],Dropdown!$A$2:$D$4,4,FALSE)</f>
        <v>-</v>
      </c>
      <c r="S15" s="57" t="str">
        <f>VLOOKUP(Tabelle1823[[#This Row],[Mini-/Mikro-BHKWs]],Dropdown!$A$2:$D$4,4,FALSE)</f>
        <v>-</v>
      </c>
      <c r="T15" s="57" t="str">
        <f>VLOOKUP(Tabelle1823[[#This Row],[Lastflexibilisierung mittels 
Batteriespeichern]],Dropdown!$A$2:$D$4,4,FALSE)</f>
        <v>-</v>
      </c>
    </row>
    <row r="16" spans="1:20" x14ac:dyDescent="0.2">
      <c r="A16" s="6" t="str">
        <f>Tabelle1823[[#This Row],[Kurzbeleg]]</f>
        <v>Klo13</v>
      </c>
      <c r="B16" s="57" t="str">
        <f>VLOOKUP(Tabelle1823[[#This Row],[Kühlschränke]],Dropdown!$A$2:$D$4,4,FALSE)</f>
        <v>-</v>
      </c>
      <c r="C16" s="57" t="str">
        <f>VLOOKUP(Tabelle1823[[#This Row],[Geschirrspüler]],Dropdown!$A$2:$D$4,4,FALSE)</f>
        <v>-</v>
      </c>
      <c r="D16" s="57" t="str">
        <f>VLOOKUP(Tabelle1823[[#This Row],[Wäschetrockner]],Dropdown!$A$2:$D$4,4,FALSE)</f>
        <v>-</v>
      </c>
      <c r="E16" s="57" t="str">
        <f>VLOOKUP(Tabelle1823[[#This Row],[Waschmaschinen]],Dropdown!$A$2:$D$4,4,FALSE)</f>
        <v>-</v>
      </c>
      <c r="F16" s="57" t="str">
        <f>VLOOKUP(Tabelle1823[[#This Row],[Raumklimatisierung (Klimaanlagen)]],Dropdown!$A$2:$D$4,4,FALSE)</f>
        <v>-</v>
      </c>
      <c r="G16" s="57" t="str">
        <f>VLOOKUP(Tabelle1823[[#This Row],[Wärmepumpen]],Dropdown!$A$2:$D$4,4,FALSE)</f>
        <v>-</v>
      </c>
      <c r="H16" s="57" t="str">
        <f>VLOOKUP(Tabelle1823[[#This Row],[Hybrid-Wärmepumpen]],Dropdown!$A$2:$D$4,4,FALSE)</f>
        <v>-</v>
      </c>
      <c r="I16" s="57" t="str">
        <f>VLOOKUP(Tabelle1823[[#This Row],[Nachtspeicherheizungen]],Dropdown!$A$2:$D$4,4,FALSE)</f>
        <v>-</v>
      </c>
      <c r="J16" s="57" t="str">
        <f>VLOOKUP(Tabelle1823[[#This Row],[Kühl- und Gefrierkombinationen]],Dropdown!$A$2:$D$4,4,FALSE)</f>
        <v>-</v>
      </c>
      <c r="K16" s="57" t="str">
        <f>VLOOKUP(Tabelle1823[[#This Row],[elektrische Warmwassererzeugung]],Dropdown!$A$2:$D$4,4,FALSE)</f>
        <v>-</v>
      </c>
      <c r="L16" s="57" t="str">
        <f>VLOOKUP(Tabelle1823[[#This Row],[Gefrierschränke und -truhen]],Dropdown!$A$2:$D$4,4,FALSE)</f>
        <v>-</v>
      </c>
      <c r="M16" s="57" t="str">
        <f>VLOOKUP(Tabelle1823[[#This Row],[Elektrische Öfen]],Dropdown!$A$2:$D$4,4,FALSE)</f>
        <v>-</v>
      </c>
      <c r="N16" s="57" t="str">
        <f>VLOOKUP(Tabelle1823[[#This Row],[elektrische Direktheizungen]],Dropdown!$A$2:$D$4,4,FALSE)</f>
        <v>-</v>
      </c>
      <c r="O16" s="57" t="str">
        <f>VLOOKUP(Tabelle1823[[#This Row],[Heizungsumwälzpumpen]],Dropdown!$A$2:$D$4,4,FALSE)</f>
        <v>-</v>
      </c>
      <c r="P16" s="57" t="str">
        <f>VLOOKUP(Tabelle1823[[#This Row],[Elektromobilität]],Dropdown!$A$2:$D$4,4,FALSE)</f>
        <v>-</v>
      </c>
      <c r="Q16" s="57" t="str">
        <f>VLOOKUP(Tabelle1823[[#This Row],[Smart Meter / intelligente Geräte]],Dropdown!$A$2:$D$4,4,FALSE)</f>
        <v>-</v>
      </c>
      <c r="R16" s="57" t="str">
        <f>VLOOKUP(Tabelle1823[[#This Row],[Photovoltaik]],Dropdown!$A$2:$D$4,4,FALSE)</f>
        <v>-</v>
      </c>
      <c r="S16" s="57" t="str">
        <f>VLOOKUP(Tabelle1823[[#This Row],[Mini-/Mikro-BHKWs]],Dropdown!$A$2:$D$4,4,FALSE)</f>
        <v>-</v>
      </c>
      <c r="T16" s="57" t="str">
        <f>VLOOKUP(Tabelle1823[[#This Row],[Lastflexibilisierung mittels 
Batteriespeichern]],Dropdown!$A$2:$D$4,4,FALSE)</f>
        <v>-</v>
      </c>
    </row>
    <row r="17" spans="1:20" x14ac:dyDescent="0.2">
      <c r="A17" s="6" t="str">
        <f>Tabelle1823[[#This Row],[Kurzbeleg]]</f>
        <v>Krz13</v>
      </c>
      <c r="B17" s="57" t="str">
        <f>VLOOKUP(Tabelle1823[[#This Row],[Kühlschränke]],Dropdown!$A$2:$D$4,4,FALSE)</f>
        <v>-</v>
      </c>
      <c r="C17" s="57" t="str">
        <f>VLOOKUP(Tabelle1823[[#This Row],[Geschirrspüler]],Dropdown!$A$2:$D$4,4,FALSE)</f>
        <v>-</v>
      </c>
      <c r="D17" s="57" t="str">
        <f>VLOOKUP(Tabelle1823[[#This Row],[Wäschetrockner]],Dropdown!$A$2:$D$4,4,FALSE)</f>
        <v>-</v>
      </c>
      <c r="E17" s="57" t="str">
        <f>VLOOKUP(Tabelle1823[[#This Row],[Waschmaschinen]],Dropdown!$A$2:$D$4,4,FALSE)</f>
        <v>-</v>
      </c>
      <c r="F17" s="57" t="str">
        <f>VLOOKUP(Tabelle1823[[#This Row],[Raumklimatisierung (Klimaanlagen)]],Dropdown!$A$2:$D$4,4,FALSE)</f>
        <v>-</v>
      </c>
      <c r="G17" s="57" t="str">
        <f>VLOOKUP(Tabelle1823[[#This Row],[Wärmepumpen]],Dropdown!$A$2:$D$4,4,FALSE)</f>
        <v>X</v>
      </c>
      <c r="H17" s="57" t="str">
        <f>VLOOKUP(Tabelle1823[[#This Row],[Hybrid-Wärmepumpen]],Dropdown!$A$2:$D$4,4,FALSE)</f>
        <v>-</v>
      </c>
      <c r="I17" s="57" t="str">
        <f>VLOOKUP(Tabelle1823[[#This Row],[Nachtspeicherheizungen]],Dropdown!$A$2:$D$4,4,FALSE)</f>
        <v>X</v>
      </c>
      <c r="J17" s="57" t="str">
        <f>VLOOKUP(Tabelle1823[[#This Row],[Kühl- und Gefrierkombinationen]],Dropdown!$A$2:$D$4,4,FALSE)</f>
        <v>-</v>
      </c>
      <c r="K17" s="57" t="str">
        <f>VLOOKUP(Tabelle1823[[#This Row],[elektrische Warmwassererzeugung]],Dropdown!$A$2:$D$4,4,FALSE)</f>
        <v>-</v>
      </c>
      <c r="L17" s="57" t="str">
        <f>VLOOKUP(Tabelle1823[[#This Row],[Gefrierschränke und -truhen]],Dropdown!$A$2:$D$4,4,FALSE)</f>
        <v>-</v>
      </c>
      <c r="M17" s="57" t="str">
        <f>VLOOKUP(Tabelle1823[[#This Row],[Elektrische Öfen]],Dropdown!$A$2:$D$4,4,FALSE)</f>
        <v>-</v>
      </c>
      <c r="N17" s="57" t="str">
        <f>VLOOKUP(Tabelle1823[[#This Row],[elektrische Direktheizungen]],Dropdown!$A$2:$D$4,4,FALSE)</f>
        <v>-</v>
      </c>
      <c r="O17" s="57" t="str">
        <f>VLOOKUP(Tabelle1823[[#This Row],[Heizungsumwälzpumpen]],Dropdown!$A$2:$D$4,4,FALSE)</f>
        <v>-</v>
      </c>
      <c r="P17" s="57" t="str">
        <f>VLOOKUP(Tabelle1823[[#This Row],[Elektromobilität]],Dropdown!$A$2:$D$4,4,FALSE)</f>
        <v>-</v>
      </c>
      <c r="Q17" s="57" t="str">
        <f>VLOOKUP(Tabelle1823[[#This Row],[Smart Meter / intelligente Geräte]],Dropdown!$A$2:$D$4,4,FALSE)</f>
        <v>-</v>
      </c>
      <c r="R17" s="57" t="str">
        <f>VLOOKUP(Tabelle1823[[#This Row],[Photovoltaik]],Dropdown!$A$2:$D$4,4,FALSE)</f>
        <v>-</v>
      </c>
      <c r="S17" s="57" t="str">
        <f>VLOOKUP(Tabelle1823[[#This Row],[Mini-/Mikro-BHKWs]],Dropdown!$A$2:$D$4,4,FALSE)</f>
        <v>-</v>
      </c>
      <c r="T17" s="57" t="str">
        <f>VLOOKUP(Tabelle1823[[#This Row],[Lastflexibilisierung mittels 
Batteriespeichern]],Dropdown!$A$2:$D$4,4,FALSE)</f>
        <v>-</v>
      </c>
    </row>
    <row r="18" spans="1:20" x14ac:dyDescent="0.2">
      <c r="A18" s="6" t="str">
        <f>Tabelle1823[[#This Row],[Kurzbeleg]]</f>
        <v>Lad18</v>
      </c>
      <c r="B18" s="57" t="str">
        <f>VLOOKUP(Tabelle1823[[#This Row],[Kühlschränke]],Dropdown!$A$2:$D$4,4,FALSE)</f>
        <v>-</v>
      </c>
      <c r="C18" s="57" t="str">
        <f>VLOOKUP(Tabelle1823[[#This Row],[Geschirrspüler]],Dropdown!$A$2:$D$4,4,FALSE)</f>
        <v>-</v>
      </c>
      <c r="D18" s="57" t="str">
        <f>VLOOKUP(Tabelle1823[[#This Row],[Wäschetrockner]],Dropdown!$A$2:$D$4,4,FALSE)</f>
        <v>-</v>
      </c>
      <c r="E18" s="57" t="str">
        <f>VLOOKUP(Tabelle1823[[#This Row],[Waschmaschinen]],Dropdown!$A$2:$D$4,4,FALSE)</f>
        <v>-</v>
      </c>
      <c r="F18" s="57" t="str">
        <f>VLOOKUP(Tabelle1823[[#This Row],[Raumklimatisierung (Klimaanlagen)]],Dropdown!$A$2:$D$4,4,FALSE)</f>
        <v>-</v>
      </c>
      <c r="G18" s="57" t="str">
        <f>VLOOKUP(Tabelle1823[[#This Row],[Wärmepumpen]],Dropdown!$A$2:$D$4,4,FALSE)</f>
        <v>X</v>
      </c>
      <c r="H18" s="57" t="str">
        <f>VLOOKUP(Tabelle1823[[#This Row],[Hybrid-Wärmepumpen]],Dropdown!$A$2:$D$4,4,FALSE)</f>
        <v>-</v>
      </c>
      <c r="I18" s="57" t="str">
        <f>VLOOKUP(Tabelle1823[[#This Row],[Nachtspeicherheizungen]],Dropdown!$A$2:$D$4,4,FALSE)</f>
        <v>X</v>
      </c>
      <c r="J18" s="57" t="str">
        <f>VLOOKUP(Tabelle1823[[#This Row],[Kühl- und Gefrierkombinationen]],Dropdown!$A$2:$D$4,4,FALSE)</f>
        <v>-</v>
      </c>
      <c r="K18" s="57" t="str">
        <f>VLOOKUP(Tabelle1823[[#This Row],[elektrische Warmwassererzeugung]],Dropdown!$A$2:$D$4,4,FALSE)</f>
        <v>X</v>
      </c>
      <c r="L18" s="57" t="str">
        <f>VLOOKUP(Tabelle1823[[#This Row],[Gefrierschränke und -truhen]],Dropdown!$A$2:$D$4,4,FALSE)</f>
        <v>-</v>
      </c>
      <c r="M18" s="57" t="str">
        <f>VLOOKUP(Tabelle1823[[#This Row],[Elektrische Öfen]],Dropdown!$A$2:$D$4,4,FALSE)</f>
        <v>-</v>
      </c>
      <c r="N18" s="57" t="str">
        <f>VLOOKUP(Tabelle1823[[#This Row],[elektrische Direktheizungen]],Dropdown!$A$2:$D$4,4,FALSE)</f>
        <v>-</v>
      </c>
      <c r="O18" s="57" t="str">
        <f>VLOOKUP(Tabelle1823[[#This Row],[Heizungsumwälzpumpen]],Dropdown!$A$2:$D$4,4,FALSE)</f>
        <v>-</v>
      </c>
      <c r="P18" s="57" t="str">
        <f>VLOOKUP(Tabelle1823[[#This Row],[Elektromobilität]],Dropdown!$A$2:$D$4,4,FALSE)</f>
        <v>X</v>
      </c>
      <c r="Q18" s="57" t="str">
        <f>VLOOKUP(Tabelle1823[[#This Row],[Smart Meter / intelligente Geräte]],Dropdown!$A$2:$D$4,4,FALSE)</f>
        <v>-</v>
      </c>
      <c r="R18" s="57" t="str">
        <f>VLOOKUP(Tabelle1823[[#This Row],[Photovoltaik]],Dropdown!$A$2:$D$4,4,FALSE)</f>
        <v>-</v>
      </c>
      <c r="S18" s="57" t="str">
        <f>VLOOKUP(Tabelle1823[[#This Row],[Mini-/Mikro-BHKWs]],Dropdown!$A$2:$D$4,4,FALSE)</f>
        <v>-</v>
      </c>
      <c r="T18" s="57" t="str">
        <f>VLOOKUP(Tabelle1823[[#This Row],[Lastflexibilisierung mittels 
Batteriespeichern]],Dropdown!$A$2:$D$4,4,FALSE)</f>
        <v>-</v>
      </c>
    </row>
    <row r="19" spans="1:20" x14ac:dyDescent="0.2">
      <c r="A19" s="6" t="str">
        <f>Tabelle1823[[#This Row],[Kurzbeleg]]</f>
        <v>Lan15</v>
      </c>
      <c r="B19" s="57" t="str">
        <f>VLOOKUP(Tabelle1823[[#This Row],[Kühlschränke]],Dropdown!$A$2:$D$4,4,FALSE)</f>
        <v>-</v>
      </c>
      <c r="C19" s="57" t="str">
        <f>VLOOKUP(Tabelle1823[[#This Row],[Geschirrspüler]],Dropdown!$A$2:$D$4,4,FALSE)</f>
        <v>-</v>
      </c>
      <c r="D19" s="57" t="str">
        <f>VLOOKUP(Tabelle1823[[#This Row],[Wäschetrockner]],Dropdown!$A$2:$D$4,4,FALSE)</f>
        <v>-</v>
      </c>
      <c r="E19" s="57" t="str">
        <f>VLOOKUP(Tabelle1823[[#This Row],[Waschmaschinen]],Dropdown!$A$2:$D$4,4,FALSE)</f>
        <v>-</v>
      </c>
      <c r="F19" s="57" t="str">
        <f>VLOOKUP(Tabelle1823[[#This Row],[Raumklimatisierung (Klimaanlagen)]],Dropdown!$A$2:$D$4,4,FALSE)</f>
        <v>-</v>
      </c>
      <c r="G19" s="57" t="str">
        <f>VLOOKUP(Tabelle1823[[#This Row],[Wärmepumpen]],Dropdown!$A$2:$D$4,4,FALSE)</f>
        <v>-</v>
      </c>
      <c r="H19" s="57" t="str">
        <f>VLOOKUP(Tabelle1823[[#This Row],[Hybrid-Wärmepumpen]],Dropdown!$A$2:$D$4,4,FALSE)</f>
        <v>-</v>
      </c>
      <c r="I19" s="57" t="str">
        <f>VLOOKUP(Tabelle1823[[#This Row],[Nachtspeicherheizungen]],Dropdown!$A$2:$D$4,4,FALSE)</f>
        <v>-</v>
      </c>
      <c r="J19" s="57" t="str">
        <f>VLOOKUP(Tabelle1823[[#This Row],[Kühl- und Gefrierkombinationen]],Dropdown!$A$2:$D$4,4,FALSE)</f>
        <v>-</v>
      </c>
      <c r="K19" s="57" t="str">
        <f>VLOOKUP(Tabelle1823[[#This Row],[elektrische Warmwassererzeugung]],Dropdown!$A$2:$D$4,4,FALSE)</f>
        <v>-</v>
      </c>
      <c r="L19" s="57" t="str">
        <f>VLOOKUP(Tabelle1823[[#This Row],[Gefrierschränke und -truhen]],Dropdown!$A$2:$D$4,4,FALSE)</f>
        <v>-</v>
      </c>
      <c r="M19" s="57" t="str">
        <f>VLOOKUP(Tabelle1823[[#This Row],[Elektrische Öfen]],Dropdown!$A$2:$D$4,4,FALSE)</f>
        <v>-</v>
      </c>
      <c r="N19" s="57" t="str">
        <f>VLOOKUP(Tabelle1823[[#This Row],[elektrische Direktheizungen]],Dropdown!$A$2:$D$4,4,FALSE)</f>
        <v>-</v>
      </c>
      <c r="O19" s="57" t="str">
        <f>VLOOKUP(Tabelle1823[[#This Row],[Heizungsumwälzpumpen]],Dropdown!$A$2:$D$4,4,FALSE)</f>
        <v>-</v>
      </c>
      <c r="P19" s="57" t="str">
        <f>VLOOKUP(Tabelle1823[[#This Row],[Elektromobilität]],Dropdown!$A$2:$D$4,4,FALSE)</f>
        <v>-</v>
      </c>
      <c r="Q19" s="57" t="str">
        <f>VLOOKUP(Tabelle1823[[#This Row],[Smart Meter / intelligente Geräte]],Dropdown!$A$2:$D$4,4,FALSE)</f>
        <v>-</v>
      </c>
      <c r="R19" s="57" t="str">
        <f>VLOOKUP(Tabelle1823[[#This Row],[Photovoltaik]],Dropdown!$A$2:$D$4,4,FALSE)</f>
        <v>-</v>
      </c>
      <c r="S19" s="57" t="str">
        <f>VLOOKUP(Tabelle1823[[#This Row],[Mini-/Mikro-BHKWs]],Dropdown!$A$2:$D$4,4,FALSE)</f>
        <v>-</v>
      </c>
      <c r="T19" s="57" t="str">
        <f>VLOOKUP(Tabelle1823[[#This Row],[Lastflexibilisierung mittels 
Batteriespeichern]],Dropdown!$A$2:$D$4,4,FALSE)</f>
        <v>-</v>
      </c>
    </row>
    <row r="20" spans="1:20" x14ac:dyDescent="0.2">
      <c r="A20" s="6" t="str">
        <f>Tabelle1823[[#This Row],[Kurzbeleg]]</f>
        <v>Lie15</v>
      </c>
      <c r="B20" s="57" t="str">
        <f>VLOOKUP(Tabelle1823[[#This Row],[Kühlschränke]],Dropdown!$A$2:$D$4,4,FALSE)</f>
        <v>-</v>
      </c>
      <c r="C20" s="57" t="str">
        <f>VLOOKUP(Tabelle1823[[#This Row],[Geschirrspüler]],Dropdown!$A$2:$D$4,4,FALSE)</f>
        <v>-</v>
      </c>
      <c r="D20" s="57" t="str">
        <f>VLOOKUP(Tabelle1823[[#This Row],[Wäschetrockner]],Dropdown!$A$2:$D$4,4,FALSE)</f>
        <v>-</v>
      </c>
      <c r="E20" s="57" t="str">
        <f>VLOOKUP(Tabelle1823[[#This Row],[Waschmaschinen]],Dropdown!$A$2:$D$4,4,FALSE)</f>
        <v>-</v>
      </c>
      <c r="F20" s="57" t="str">
        <f>VLOOKUP(Tabelle1823[[#This Row],[Raumklimatisierung (Klimaanlagen)]],Dropdown!$A$2:$D$4,4,FALSE)</f>
        <v>X</v>
      </c>
      <c r="G20" s="57" t="str">
        <f>VLOOKUP(Tabelle1823[[#This Row],[Wärmepumpen]],Dropdown!$A$2:$D$4,4,FALSE)</f>
        <v>X</v>
      </c>
      <c r="H20" s="57" t="str">
        <f>VLOOKUP(Tabelle1823[[#This Row],[Hybrid-Wärmepumpen]],Dropdown!$A$2:$D$4,4,FALSE)</f>
        <v>-</v>
      </c>
      <c r="I20" s="57" t="str">
        <f>VLOOKUP(Tabelle1823[[#This Row],[Nachtspeicherheizungen]],Dropdown!$A$2:$D$4,4,FALSE)</f>
        <v>X</v>
      </c>
      <c r="J20" s="57" t="str">
        <f>VLOOKUP(Tabelle1823[[#This Row],[Kühl- und Gefrierkombinationen]],Dropdown!$A$2:$D$4,4,FALSE)</f>
        <v>-</v>
      </c>
      <c r="K20" s="57" t="str">
        <f>VLOOKUP(Tabelle1823[[#This Row],[elektrische Warmwassererzeugung]],Dropdown!$A$2:$D$4,4,FALSE)</f>
        <v>-</v>
      </c>
      <c r="L20" s="57" t="str">
        <f>VLOOKUP(Tabelle1823[[#This Row],[Gefrierschränke und -truhen]],Dropdown!$A$2:$D$4,4,FALSE)</f>
        <v>-</v>
      </c>
      <c r="M20" s="57" t="str">
        <f>VLOOKUP(Tabelle1823[[#This Row],[Elektrische Öfen]],Dropdown!$A$2:$D$4,4,FALSE)</f>
        <v>-</v>
      </c>
      <c r="N20" s="57" t="str">
        <f>VLOOKUP(Tabelle1823[[#This Row],[elektrische Direktheizungen]],Dropdown!$A$2:$D$4,4,FALSE)</f>
        <v>-</v>
      </c>
      <c r="O20" s="57" t="str">
        <f>VLOOKUP(Tabelle1823[[#This Row],[Heizungsumwälzpumpen]],Dropdown!$A$2:$D$4,4,FALSE)</f>
        <v>X</v>
      </c>
      <c r="P20" s="57" t="str">
        <f>VLOOKUP(Tabelle1823[[#This Row],[Elektromobilität]],Dropdown!$A$2:$D$4,4,FALSE)</f>
        <v>X</v>
      </c>
      <c r="Q20" s="57" t="str">
        <f>VLOOKUP(Tabelle1823[[#This Row],[Smart Meter / intelligente Geräte]],Dropdown!$A$2:$D$4,4,FALSE)</f>
        <v>(X)</v>
      </c>
      <c r="R20" s="57" t="str">
        <f>VLOOKUP(Tabelle1823[[#This Row],[Photovoltaik]],Dropdown!$A$2:$D$4,4,FALSE)</f>
        <v>(X)</v>
      </c>
      <c r="S20" s="57" t="str">
        <f>VLOOKUP(Tabelle1823[[#This Row],[Mini-/Mikro-BHKWs]],Dropdown!$A$2:$D$4,4,FALSE)</f>
        <v>(X)</v>
      </c>
      <c r="T20" s="57" t="str">
        <f>VLOOKUP(Tabelle1823[[#This Row],[Lastflexibilisierung mittels 
Batteriespeichern]],Dropdown!$A$2:$D$4,4,FALSE)</f>
        <v>-</v>
      </c>
    </row>
    <row r="21" spans="1:20" x14ac:dyDescent="0.2">
      <c r="A21" s="6" t="str">
        <f>Tabelle1823[[#This Row],[Kurzbeleg]]</f>
        <v>Mae18</v>
      </c>
      <c r="B21" s="57" t="str">
        <f>VLOOKUP(Tabelle1823[[#This Row],[Kühlschränke]],Dropdown!$A$2:$D$4,4,FALSE)</f>
        <v>X</v>
      </c>
      <c r="C21" s="57" t="str">
        <f>VLOOKUP(Tabelle1823[[#This Row],[Geschirrspüler]],Dropdown!$A$2:$D$4,4,FALSE)</f>
        <v>X</v>
      </c>
      <c r="D21" s="57" t="str">
        <f>VLOOKUP(Tabelle1823[[#This Row],[Wäschetrockner]],Dropdown!$A$2:$D$4,4,FALSE)</f>
        <v>X</v>
      </c>
      <c r="E21" s="57" t="str">
        <f>VLOOKUP(Tabelle1823[[#This Row],[Waschmaschinen]],Dropdown!$A$2:$D$4,4,FALSE)</f>
        <v>X</v>
      </c>
      <c r="F21" s="57" t="str">
        <f>VLOOKUP(Tabelle1823[[#This Row],[Raumklimatisierung (Klimaanlagen)]],Dropdown!$A$2:$D$4,4,FALSE)</f>
        <v>X</v>
      </c>
      <c r="G21" s="57" t="str">
        <f>VLOOKUP(Tabelle1823[[#This Row],[Wärmepumpen]],Dropdown!$A$2:$D$4,4,FALSE)</f>
        <v>X</v>
      </c>
      <c r="H21" s="57" t="str">
        <f>VLOOKUP(Tabelle1823[[#This Row],[Hybrid-Wärmepumpen]],Dropdown!$A$2:$D$4,4,FALSE)</f>
        <v>-</v>
      </c>
      <c r="I21" s="57" t="str">
        <f>VLOOKUP(Tabelle1823[[#This Row],[Nachtspeicherheizungen]],Dropdown!$A$2:$D$4,4,FALSE)</f>
        <v>X</v>
      </c>
      <c r="J21" s="57" t="str">
        <f>VLOOKUP(Tabelle1823[[#This Row],[Kühl- und Gefrierkombinationen]],Dropdown!$A$2:$D$4,4,FALSE)</f>
        <v>-</v>
      </c>
      <c r="K21" s="57" t="str">
        <f>VLOOKUP(Tabelle1823[[#This Row],[elektrische Warmwassererzeugung]],Dropdown!$A$2:$D$4,4,FALSE)</f>
        <v>-</v>
      </c>
      <c r="L21" s="57" t="str">
        <f>VLOOKUP(Tabelle1823[[#This Row],[Gefrierschränke und -truhen]],Dropdown!$A$2:$D$4,4,FALSE)</f>
        <v>X</v>
      </c>
      <c r="M21" s="57" t="str">
        <f>VLOOKUP(Tabelle1823[[#This Row],[Elektrische Öfen]],Dropdown!$A$2:$D$4,4,FALSE)</f>
        <v>-</v>
      </c>
      <c r="N21" s="57" t="str">
        <f>VLOOKUP(Tabelle1823[[#This Row],[elektrische Direktheizungen]],Dropdown!$A$2:$D$4,4,FALSE)</f>
        <v>X</v>
      </c>
      <c r="O21" s="57" t="str">
        <f>VLOOKUP(Tabelle1823[[#This Row],[Heizungsumwälzpumpen]],Dropdown!$A$2:$D$4,4,FALSE)</f>
        <v>-</v>
      </c>
      <c r="P21" s="57" t="str">
        <f>VLOOKUP(Tabelle1823[[#This Row],[Elektromobilität]],Dropdown!$A$2:$D$4,4,FALSE)</f>
        <v>-</v>
      </c>
      <c r="Q21" s="57" t="str">
        <f>VLOOKUP(Tabelle1823[[#This Row],[Smart Meter / intelligente Geräte]],Dropdown!$A$2:$D$4,4,FALSE)</f>
        <v>-</v>
      </c>
      <c r="R21" s="57" t="str">
        <f>VLOOKUP(Tabelle1823[[#This Row],[Photovoltaik]],Dropdown!$A$2:$D$4,4,FALSE)</f>
        <v>-</v>
      </c>
      <c r="S21" s="57" t="str">
        <f>VLOOKUP(Tabelle1823[[#This Row],[Mini-/Mikro-BHKWs]],Dropdown!$A$2:$D$4,4,FALSE)</f>
        <v>-</v>
      </c>
      <c r="T21" s="57" t="str">
        <f>VLOOKUP(Tabelle1823[[#This Row],[Lastflexibilisierung mittels 
Batteriespeichern]],Dropdown!$A$2:$D$4,4,FALSE)</f>
        <v>-</v>
      </c>
    </row>
    <row r="22" spans="1:20" x14ac:dyDescent="0.2">
      <c r="A22" s="6" t="str">
        <f>Tabelle1823[[#This Row],[Kurzbeleg]]</f>
        <v>Mol10</v>
      </c>
      <c r="B22" s="57" t="str">
        <f>VLOOKUP(Tabelle1823[[#This Row],[Kühlschränke]],Dropdown!$A$2:$D$4,4,FALSE)</f>
        <v>X</v>
      </c>
      <c r="C22" s="57" t="str">
        <f>VLOOKUP(Tabelle1823[[#This Row],[Geschirrspüler]],Dropdown!$A$2:$D$4,4,FALSE)</f>
        <v>X</v>
      </c>
      <c r="D22" s="57" t="str">
        <f>VLOOKUP(Tabelle1823[[#This Row],[Wäschetrockner]],Dropdown!$A$2:$D$4,4,FALSE)</f>
        <v>X</v>
      </c>
      <c r="E22" s="57" t="str">
        <f>VLOOKUP(Tabelle1823[[#This Row],[Waschmaschinen]],Dropdown!$A$2:$D$4,4,FALSE)</f>
        <v>X</v>
      </c>
      <c r="F22" s="57" t="str">
        <f>VLOOKUP(Tabelle1823[[#This Row],[Raumklimatisierung (Klimaanlagen)]],Dropdown!$A$2:$D$4,4,FALSE)</f>
        <v>-</v>
      </c>
      <c r="G22" s="57" t="str">
        <f>VLOOKUP(Tabelle1823[[#This Row],[Wärmepumpen]],Dropdown!$A$2:$D$4,4,FALSE)</f>
        <v>X</v>
      </c>
      <c r="H22" s="57" t="str">
        <f>VLOOKUP(Tabelle1823[[#This Row],[Hybrid-Wärmepumpen]],Dropdown!$A$2:$D$4,4,FALSE)</f>
        <v>-</v>
      </c>
      <c r="I22" s="57" t="str">
        <f>VLOOKUP(Tabelle1823[[#This Row],[Nachtspeicherheizungen]],Dropdown!$A$2:$D$4,4,FALSE)</f>
        <v>X</v>
      </c>
      <c r="J22" s="57" t="str">
        <f>VLOOKUP(Tabelle1823[[#This Row],[Kühl- und Gefrierkombinationen]],Dropdown!$A$2:$D$4,4,FALSE)</f>
        <v>-</v>
      </c>
      <c r="K22" s="57" t="str">
        <f>VLOOKUP(Tabelle1823[[#This Row],[elektrische Warmwassererzeugung]],Dropdown!$A$2:$D$4,4,FALSE)</f>
        <v>X</v>
      </c>
      <c r="L22" s="57" t="str">
        <f>VLOOKUP(Tabelle1823[[#This Row],[Gefrierschränke und -truhen]],Dropdown!$A$2:$D$4,4,FALSE)</f>
        <v>X</v>
      </c>
      <c r="M22" s="57" t="str">
        <f>VLOOKUP(Tabelle1823[[#This Row],[Elektrische Öfen]],Dropdown!$A$2:$D$4,4,FALSE)</f>
        <v>-</v>
      </c>
      <c r="N22" s="57" t="str">
        <f>VLOOKUP(Tabelle1823[[#This Row],[elektrische Direktheizungen]],Dropdown!$A$2:$D$4,4,FALSE)</f>
        <v>-</v>
      </c>
      <c r="O22" s="57" t="str">
        <f>VLOOKUP(Tabelle1823[[#This Row],[Heizungsumwälzpumpen]],Dropdown!$A$2:$D$4,4,FALSE)</f>
        <v>X</v>
      </c>
      <c r="P22" s="57" t="str">
        <f>VLOOKUP(Tabelle1823[[#This Row],[Elektromobilität]],Dropdown!$A$2:$D$4,4,FALSE)</f>
        <v>-</v>
      </c>
      <c r="Q22" s="57" t="str">
        <f>VLOOKUP(Tabelle1823[[#This Row],[Smart Meter / intelligente Geräte]],Dropdown!$A$2:$D$4,4,FALSE)</f>
        <v>-</v>
      </c>
      <c r="R22" s="57" t="str">
        <f>VLOOKUP(Tabelle1823[[#This Row],[Photovoltaik]],Dropdown!$A$2:$D$4,4,FALSE)</f>
        <v>-</v>
      </c>
      <c r="S22" s="57" t="str">
        <f>VLOOKUP(Tabelle1823[[#This Row],[Mini-/Mikro-BHKWs]],Dropdown!$A$2:$D$4,4,FALSE)</f>
        <v>-</v>
      </c>
      <c r="T22" s="57" t="str">
        <f>VLOOKUP(Tabelle1823[[#This Row],[Lastflexibilisierung mittels 
Batteriespeichern]],Dropdown!$A$2:$D$4,4,FALSE)</f>
        <v>-</v>
      </c>
    </row>
    <row r="23" spans="1:20" x14ac:dyDescent="0.2">
      <c r="A23" s="6" t="str">
        <f>Tabelle1823[[#This Row],[Kurzbeleg]]</f>
        <v>Mue19</v>
      </c>
      <c r="B23" s="57" t="str">
        <f>VLOOKUP(Tabelle1823[[#This Row],[Kühlschränke]],Dropdown!$A$2:$D$4,4,FALSE)</f>
        <v>-</v>
      </c>
      <c r="C23" s="57" t="str">
        <f>VLOOKUP(Tabelle1823[[#This Row],[Geschirrspüler]],Dropdown!$A$2:$D$4,4,FALSE)</f>
        <v>-</v>
      </c>
      <c r="D23" s="57" t="str">
        <f>VLOOKUP(Tabelle1823[[#This Row],[Wäschetrockner]],Dropdown!$A$2:$D$4,4,FALSE)</f>
        <v>-</v>
      </c>
      <c r="E23" s="57" t="str">
        <f>VLOOKUP(Tabelle1823[[#This Row],[Waschmaschinen]],Dropdown!$A$2:$D$4,4,FALSE)</f>
        <v>-</v>
      </c>
      <c r="F23" s="57" t="str">
        <f>VLOOKUP(Tabelle1823[[#This Row],[Raumklimatisierung (Klimaanlagen)]],Dropdown!$A$2:$D$4,4,FALSE)</f>
        <v>-</v>
      </c>
      <c r="G23" s="57" t="str">
        <f>VLOOKUP(Tabelle1823[[#This Row],[Wärmepumpen]],Dropdown!$A$2:$D$4,4,FALSE)</f>
        <v>X</v>
      </c>
      <c r="H23" s="57" t="str">
        <f>VLOOKUP(Tabelle1823[[#This Row],[Hybrid-Wärmepumpen]],Dropdown!$A$2:$D$4,4,FALSE)</f>
        <v>-</v>
      </c>
      <c r="I23" s="57" t="str">
        <f>VLOOKUP(Tabelle1823[[#This Row],[Nachtspeicherheizungen]],Dropdown!$A$2:$D$4,4,FALSE)</f>
        <v>X</v>
      </c>
      <c r="J23" s="57" t="str">
        <f>VLOOKUP(Tabelle1823[[#This Row],[Kühl- und Gefrierkombinationen]],Dropdown!$A$2:$D$4,4,FALSE)</f>
        <v>-</v>
      </c>
      <c r="K23" s="57" t="str">
        <f>VLOOKUP(Tabelle1823[[#This Row],[elektrische Warmwassererzeugung]],Dropdown!$A$2:$D$4,4,FALSE)</f>
        <v>-</v>
      </c>
      <c r="L23" s="57" t="str">
        <f>VLOOKUP(Tabelle1823[[#This Row],[Gefrierschränke und -truhen]],Dropdown!$A$2:$D$4,4,FALSE)</f>
        <v>-</v>
      </c>
      <c r="M23" s="57" t="str">
        <f>VLOOKUP(Tabelle1823[[#This Row],[Elektrische Öfen]],Dropdown!$A$2:$D$4,4,FALSE)</f>
        <v>-</v>
      </c>
      <c r="N23" s="57" t="str">
        <f>VLOOKUP(Tabelle1823[[#This Row],[elektrische Direktheizungen]],Dropdown!$A$2:$D$4,4,FALSE)</f>
        <v>-</v>
      </c>
      <c r="O23" s="57" t="str">
        <f>VLOOKUP(Tabelle1823[[#This Row],[Heizungsumwälzpumpen]],Dropdown!$A$2:$D$4,4,FALSE)</f>
        <v>-</v>
      </c>
      <c r="P23" s="57" t="str">
        <f>VLOOKUP(Tabelle1823[[#This Row],[Elektromobilität]],Dropdown!$A$2:$D$4,4,FALSE)</f>
        <v>-</v>
      </c>
      <c r="Q23" s="57" t="str">
        <f>VLOOKUP(Tabelle1823[[#This Row],[Smart Meter / intelligente Geräte]],Dropdown!$A$2:$D$4,4,FALSE)</f>
        <v>-</v>
      </c>
      <c r="R23" s="57" t="str">
        <f>VLOOKUP(Tabelle1823[[#This Row],[Photovoltaik]],Dropdown!$A$2:$D$4,4,FALSE)</f>
        <v>-</v>
      </c>
      <c r="S23" s="57" t="str">
        <f>VLOOKUP(Tabelle1823[[#This Row],[Mini-/Mikro-BHKWs]],Dropdown!$A$2:$D$4,4,FALSE)</f>
        <v>-</v>
      </c>
      <c r="T23" s="57" t="str">
        <f>VLOOKUP(Tabelle1823[[#This Row],[Lastflexibilisierung mittels 
Batteriespeichern]],Dropdown!$A$2:$D$4,4,FALSE)</f>
        <v>X</v>
      </c>
    </row>
    <row r="24" spans="1:20" x14ac:dyDescent="0.2">
      <c r="A24" s="6" t="str">
        <f>Tabelle1823[[#This Row],[Kurzbeleg]]</f>
        <v>Pau11</v>
      </c>
      <c r="B24" s="57" t="str">
        <f>VLOOKUP(Tabelle1823[[#This Row],[Kühlschränke]],Dropdown!$A$2:$D$4,4,FALSE)</f>
        <v>-</v>
      </c>
      <c r="C24" s="57" t="str">
        <f>VLOOKUP(Tabelle1823[[#This Row],[Geschirrspüler]],Dropdown!$A$2:$D$4,4,FALSE)</f>
        <v>-</v>
      </c>
      <c r="D24" s="57" t="str">
        <f>VLOOKUP(Tabelle1823[[#This Row],[Wäschetrockner]],Dropdown!$A$2:$D$4,4,FALSE)</f>
        <v>-</v>
      </c>
      <c r="E24" s="57" t="str">
        <f>VLOOKUP(Tabelle1823[[#This Row],[Waschmaschinen]],Dropdown!$A$2:$D$4,4,FALSE)</f>
        <v>-</v>
      </c>
      <c r="F24" s="57" t="str">
        <f>VLOOKUP(Tabelle1823[[#This Row],[Raumklimatisierung (Klimaanlagen)]],Dropdown!$A$2:$D$4,4,FALSE)</f>
        <v>-</v>
      </c>
      <c r="G24" s="57" t="str">
        <f>VLOOKUP(Tabelle1823[[#This Row],[Wärmepumpen]],Dropdown!$A$2:$D$4,4,FALSE)</f>
        <v>-</v>
      </c>
      <c r="H24" s="57" t="str">
        <f>VLOOKUP(Tabelle1823[[#This Row],[Hybrid-Wärmepumpen]],Dropdown!$A$2:$D$4,4,FALSE)</f>
        <v>-</v>
      </c>
      <c r="I24" s="57" t="str">
        <f>VLOOKUP(Tabelle1823[[#This Row],[Nachtspeicherheizungen]],Dropdown!$A$2:$D$4,4,FALSE)</f>
        <v>-</v>
      </c>
      <c r="J24" s="57" t="str">
        <f>VLOOKUP(Tabelle1823[[#This Row],[Kühl- und Gefrierkombinationen]],Dropdown!$A$2:$D$4,4,FALSE)</f>
        <v>-</v>
      </c>
      <c r="K24" s="57" t="str">
        <f>VLOOKUP(Tabelle1823[[#This Row],[elektrische Warmwassererzeugung]],Dropdown!$A$2:$D$4,4,FALSE)</f>
        <v>-</v>
      </c>
      <c r="L24" s="57" t="str">
        <f>VLOOKUP(Tabelle1823[[#This Row],[Gefrierschränke und -truhen]],Dropdown!$A$2:$D$4,4,FALSE)</f>
        <v>-</v>
      </c>
      <c r="M24" s="57" t="str">
        <f>VLOOKUP(Tabelle1823[[#This Row],[Elektrische Öfen]],Dropdown!$A$2:$D$4,4,FALSE)</f>
        <v>-</v>
      </c>
      <c r="N24" s="57" t="str">
        <f>VLOOKUP(Tabelle1823[[#This Row],[elektrische Direktheizungen]],Dropdown!$A$2:$D$4,4,FALSE)</f>
        <v>-</v>
      </c>
      <c r="O24" s="57" t="str">
        <f>VLOOKUP(Tabelle1823[[#This Row],[Heizungsumwälzpumpen]],Dropdown!$A$2:$D$4,4,FALSE)</f>
        <v>-</v>
      </c>
      <c r="P24" s="57" t="str">
        <f>VLOOKUP(Tabelle1823[[#This Row],[Elektromobilität]],Dropdown!$A$2:$D$4,4,FALSE)</f>
        <v>-</v>
      </c>
      <c r="Q24" s="57" t="str">
        <f>VLOOKUP(Tabelle1823[[#This Row],[Smart Meter / intelligente Geräte]],Dropdown!$A$2:$D$4,4,FALSE)</f>
        <v>-</v>
      </c>
      <c r="R24" s="57" t="str">
        <f>VLOOKUP(Tabelle1823[[#This Row],[Photovoltaik]],Dropdown!$A$2:$D$4,4,FALSE)</f>
        <v>-</v>
      </c>
      <c r="S24" s="57" t="str">
        <f>VLOOKUP(Tabelle1823[[#This Row],[Mini-/Mikro-BHKWs]],Dropdown!$A$2:$D$4,4,FALSE)</f>
        <v>-</v>
      </c>
      <c r="T24" s="57" t="str">
        <f>VLOOKUP(Tabelle1823[[#This Row],[Lastflexibilisierung mittels 
Batteriespeichern]],Dropdown!$A$2:$D$4,4,FALSE)</f>
        <v>-</v>
      </c>
    </row>
    <row r="25" spans="1:20" x14ac:dyDescent="0.2">
      <c r="A25" s="6" t="str">
        <f>Tabelle1823[[#This Row],[Kurzbeleg]]</f>
        <v>Pel16</v>
      </c>
      <c r="B25" s="57" t="str">
        <f>VLOOKUP(Tabelle1823[[#This Row],[Kühlschränke]],Dropdown!$A$2:$D$4,4,FALSE)</f>
        <v>X</v>
      </c>
      <c r="C25" s="57" t="str">
        <f>VLOOKUP(Tabelle1823[[#This Row],[Geschirrspüler]],Dropdown!$A$2:$D$4,4,FALSE)</f>
        <v>X</v>
      </c>
      <c r="D25" s="57" t="str">
        <f>VLOOKUP(Tabelle1823[[#This Row],[Wäschetrockner]],Dropdown!$A$2:$D$4,4,FALSE)</f>
        <v>X</v>
      </c>
      <c r="E25" s="57" t="str">
        <f>VLOOKUP(Tabelle1823[[#This Row],[Waschmaschinen]],Dropdown!$A$2:$D$4,4,FALSE)</f>
        <v>X</v>
      </c>
      <c r="F25" s="57" t="str">
        <f>VLOOKUP(Tabelle1823[[#This Row],[Raumklimatisierung (Klimaanlagen)]],Dropdown!$A$2:$D$4,4,FALSE)</f>
        <v>-</v>
      </c>
      <c r="G25" s="57" t="str">
        <f>VLOOKUP(Tabelle1823[[#This Row],[Wärmepumpen]],Dropdown!$A$2:$D$4,4,FALSE)</f>
        <v>X</v>
      </c>
      <c r="H25" s="57" t="str">
        <f>VLOOKUP(Tabelle1823[[#This Row],[Hybrid-Wärmepumpen]],Dropdown!$A$2:$D$4,4,FALSE)</f>
        <v>X</v>
      </c>
      <c r="I25" s="57" t="str">
        <f>VLOOKUP(Tabelle1823[[#This Row],[Nachtspeicherheizungen]],Dropdown!$A$2:$D$4,4,FALSE)</f>
        <v>X</v>
      </c>
      <c r="J25" s="57" t="str">
        <f>VLOOKUP(Tabelle1823[[#This Row],[Kühl- und Gefrierkombinationen]],Dropdown!$A$2:$D$4,4,FALSE)</f>
        <v>X</v>
      </c>
      <c r="K25" s="57" t="str">
        <f>VLOOKUP(Tabelle1823[[#This Row],[elektrische Warmwassererzeugung]],Dropdown!$A$2:$D$4,4,FALSE)</f>
        <v>X</v>
      </c>
      <c r="L25" s="57" t="str">
        <f>VLOOKUP(Tabelle1823[[#This Row],[Gefrierschränke und -truhen]],Dropdown!$A$2:$D$4,4,FALSE)</f>
        <v>X</v>
      </c>
      <c r="M25" s="57" t="str">
        <f>VLOOKUP(Tabelle1823[[#This Row],[Elektrische Öfen]],Dropdown!$A$2:$D$4,4,FALSE)</f>
        <v>-</v>
      </c>
      <c r="N25" s="57" t="str">
        <f>VLOOKUP(Tabelle1823[[#This Row],[elektrische Direktheizungen]],Dropdown!$A$2:$D$4,4,FALSE)</f>
        <v>-</v>
      </c>
      <c r="O25" s="57" t="str">
        <f>VLOOKUP(Tabelle1823[[#This Row],[Heizungsumwälzpumpen]],Dropdown!$A$2:$D$4,4,FALSE)</f>
        <v>-</v>
      </c>
      <c r="P25" s="57" t="str">
        <f>VLOOKUP(Tabelle1823[[#This Row],[Elektromobilität]],Dropdown!$A$2:$D$4,4,FALSE)</f>
        <v>-</v>
      </c>
      <c r="Q25" s="57" t="str">
        <f>VLOOKUP(Tabelle1823[[#This Row],[Smart Meter / intelligente Geräte]],Dropdown!$A$2:$D$4,4,FALSE)</f>
        <v>-</v>
      </c>
      <c r="R25" s="57" t="str">
        <f>VLOOKUP(Tabelle1823[[#This Row],[Photovoltaik]],Dropdown!$A$2:$D$4,4,FALSE)</f>
        <v>-</v>
      </c>
      <c r="S25" s="57" t="str">
        <f>VLOOKUP(Tabelle1823[[#This Row],[Mini-/Mikro-BHKWs]],Dropdown!$A$2:$D$4,4,FALSE)</f>
        <v>-</v>
      </c>
      <c r="T25" s="57" t="str">
        <f>VLOOKUP(Tabelle1823[[#This Row],[Lastflexibilisierung mittels 
Batteriespeichern]],Dropdown!$A$2:$D$4,4,FALSE)</f>
        <v>X</v>
      </c>
    </row>
    <row r="26" spans="1:20" x14ac:dyDescent="0.2">
      <c r="A26" s="6" t="str">
        <f>Tabelle1823[[#This Row],[Kurzbeleg]]</f>
        <v>r2b14</v>
      </c>
      <c r="B26" s="57" t="str">
        <f>VLOOKUP(Tabelle1823[[#This Row],[Kühlschränke]],Dropdown!$A$2:$D$4,4,FALSE)</f>
        <v>-</v>
      </c>
      <c r="C26" s="57" t="str">
        <f>VLOOKUP(Tabelle1823[[#This Row],[Geschirrspüler]],Dropdown!$A$2:$D$4,4,FALSE)</f>
        <v>-</v>
      </c>
      <c r="D26" s="57" t="str">
        <f>VLOOKUP(Tabelle1823[[#This Row],[Wäschetrockner]],Dropdown!$A$2:$D$4,4,FALSE)</f>
        <v>-</v>
      </c>
      <c r="E26" s="57" t="str">
        <f>VLOOKUP(Tabelle1823[[#This Row],[Waschmaschinen]],Dropdown!$A$2:$D$4,4,FALSE)</f>
        <v>-</v>
      </c>
      <c r="F26" s="57" t="str">
        <f>VLOOKUP(Tabelle1823[[#This Row],[Raumklimatisierung (Klimaanlagen)]],Dropdown!$A$2:$D$4,4,FALSE)</f>
        <v>-</v>
      </c>
      <c r="G26" s="57" t="str">
        <f>VLOOKUP(Tabelle1823[[#This Row],[Wärmepumpen]],Dropdown!$A$2:$D$4,4,FALSE)</f>
        <v>-</v>
      </c>
      <c r="H26" s="57" t="str">
        <f>VLOOKUP(Tabelle1823[[#This Row],[Hybrid-Wärmepumpen]],Dropdown!$A$2:$D$4,4,FALSE)</f>
        <v>-</v>
      </c>
      <c r="I26" s="57" t="str">
        <f>VLOOKUP(Tabelle1823[[#This Row],[Nachtspeicherheizungen]],Dropdown!$A$2:$D$4,4,FALSE)</f>
        <v>-</v>
      </c>
      <c r="J26" s="57" t="str">
        <f>VLOOKUP(Tabelle1823[[#This Row],[Kühl- und Gefrierkombinationen]],Dropdown!$A$2:$D$4,4,FALSE)</f>
        <v>-</v>
      </c>
      <c r="K26" s="57" t="str">
        <f>VLOOKUP(Tabelle1823[[#This Row],[elektrische Warmwassererzeugung]],Dropdown!$A$2:$D$4,4,FALSE)</f>
        <v>-</v>
      </c>
      <c r="L26" s="57" t="str">
        <f>VLOOKUP(Tabelle1823[[#This Row],[Gefrierschränke und -truhen]],Dropdown!$A$2:$D$4,4,FALSE)</f>
        <v>-</v>
      </c>
      <c r="M26" s="57" t="str">
        <f>VLOOKUP(Tabelle1823[[#This Row],[Elektrische Öfen]],Dropdown!$A$2:$D$4,4,FALSE)</f>
        <v>-</v>
      </c>
      <c r="N26" s="57" t="str">
        <f>VLOOKUP(Tabelle1823[[#This Row],[elektrische Direktheizungen]],Dropdown!$A$2:$D$4,4,FALSE)</f>
        <v>-</v>
      </c>
      <c r="O26" s="57" t="str">
        <f>VLOOKUP(Tabelle1823[[#This Row],[Heizungsumwälzpumpen]],Dropdown!$A$2:$D$4,4,FALSE)</f>
        <v>-</v>
      </c>
      <c r="P26" s="57" t="str">
        <f>VLOOKUP(Tabelle1823[[#This Row],[Elektromobilität]],Dropdown!$A$2:$D$4,4,FALSE)</f>
        <v>-</v>
      </c>
      <c r="Q26" s="57" t="str">
        <f>VLOOKUP(Tabelle1823[[#This Row],[Smart Meter / intelligente Geräte]],Dropdown!$A$2:$D$4,4,FALSE)</f>
        <v>-</v>
      </c>
      <c r="R26" s="57" t="str">
        <f>VLOOKUP(Tabelle1823[[#This Row],[Photovoltaik]],Dropdown!$A$2:$D$4,4,FALSE)</f>
        <v>-</v>
      </c>
      <c r="S26" s="57" t="str">
        <f>VLOOKUP(Tabelle1823[[#This Row],[Mini-/Mikro-BHKWs]],Dropdown!$A$2:$D$4,4,FALSE)</f>
        <v>-</v>
      </c>
      <c r="T26" s="57" t="str">
        <f>VLOOKUP(Tabelle1823[[#This Row],[Lastflexibilisierung mittels 
Batteriespeichern]],Dropdown!$A$2:$D$4,4,FALSE)</f>
        <v>-</v>
      </c>
    </row>
    <row r="27" spans="1:20" x14ac:dyDescent="0.2">
      <c r="A27" s="6" t="str">
        <f>Tabelle1823[[#This Row],[Kurzbeleg]]</f>
        <v>Roo10</v>
      </c>
      <c r="B27" s="57" t="str">
        <f>VLOOKUP(Tabelle1823[[#This Row],[Kühlschränke]],Dropdown!$A$2:$D$4,4,FALSE)</f>
        <v>-</v>
      </c>
      <c r="C27" s="57" t="str">
        <f>VLOOKUP(Tabelle1823[[#This Row],[Geschirrspüler]],Dropdown!$A$2:$D$4,4,FALSE)</f>
        <v>-</v>
      </c>
      <c r="D27" s="57" t="str">
        <f>VLOOKUP(Tabelle1823[[#This Row],[Wäschetrockner]],Dropdown!$A$2:$D$4,4,FALSE)</f>
        <v>-</v>
      </c>
      <c r="E27" s="57" t="str">
        <f>VLOOKUP(Tabelle1823[[#This Row],[Waschmaschinen]],Dropdown!$A$2:$D$4,4,FALSE)</f>
        <v>-</v>
      </c>
      <c r="F27" s="57" t="str">
        <f>VLOOKUP(Tabelle1823[[#This Row],[Raumklimatisierung (Klimaanlagen)]],Dropdown!$A$2:$D$4,4,FALSE)</f>
        <v>-</v>
      </c>
      <c r="G27" s="57" t="str">
        <f>VLOOKUP(Tabelle1823[[#This Row],[Wärmepumpen]],Dropdown!$A$2:$D$4,4,FALSE)</f>
        <v>-</v>
      </c>
      <c r="H27" s="57" t="str">
        <f>VLOOKUP(Tabelle1823[[#This Row],[Hybrid-Wärmepumpen]],Dropdown!$A$2:$D$4,4,FALSE)</f>
        <v>-</v>
      </c>
      <c r="I27" s="57" t="str">
        <f>VLOOKUP(Tabelle1823[[#This Row],[Nachtspeicherheizungen]],Dropdown!$A$2:$D$4,4,FALSE)</f>
        <v>-</v>
      </c>
      <c r="J27" s="57" t="str">
        <f>VLOOKUP(Tabelle1823[[#This Row],[Kühl- und Gefrierkombinationen]],Dropdown!$A$2:$D$4,4,FALSE)</f>
        <v>-</v>
      </c>
      <c r="K27" s="57" t="str">
        <f>VLOOKUP(Tabelle1823[[#This Row],[elektrische Warmwassererzeugung]],Dropdown!$A$2:$D$4,4,FALSE)</f>
        <v>-</v>
      </c>
      <c r="L27" s="57" t="str">
        <f>VLOOKUP(Tabelle1823[[#This Row],[Gefrierschränke und -truhen]],Dropdown!$A$2:$D$4,4,FALSE)</f>
        <v>-</v>
      </c>
      <c r="M27" s="57" t="str">
        <f>VLOOKUP(Tabelle1823[[#This Row],[Elektrische Öfen]],Dropdown!$A$2:$D$4,4,FALSE)</f>
        <v>-</v>
      </c>
      <c r="N27" s="57" t="str">
        <f>VLOOKUP(Tabelle1823[[#This Row],[elektrische Direktheizungen]],Dropdown!$A$2:$D$4,4,FALSE)</f>
        <v>-</v>
      </c>
      <c r="O27" s="57" t="str">
        <f>VLOOKUP(Tabelle1823[[#This Row],[Heizungsumwälzpumpen]],Dropdown!$A$2:$D$4,4,FALSE)</f>
        <v>-</v>
      </c>
      <c r="P27" s="57" t="str">
        <f>VLOOKUP(Tabelle1823[[#This Row],[Elektromobilität]],Dropdown!$A$2:$D$4,4,FALSE)</f>
        <v>-</v>
      </c>
      <c r="Q27" s="57" t="str">
        <f>VLOOKUP(Tabelle1823[[#This Row],[Smart Meter / intelligente Geräte]],Dropdown!$A$2:$D$4,4,FALSE)</f>
        <v>-</v>
      </c>
      <c r="R27" s="57" t="str">
        <f>VLOOKUP(Tabelle1823[[#This Row],[Photovoltaik]],Dropdown!$A$2:$D$4,4,FALSE)</f>
        <v>-</v>
      </c>
      <c r="S27" s="57" t="str">
        <f>VLOOKUP(Tabelle1823[[#This Row],[Mini-/Mikro-BHKWs]],Dropdown!$A$2:$D$4,4,FALSE)</f>
        <v>-</v>
      </c>
      <c r="T27" s="57" t="str">
        <f>VLOOKUP(Tabelle1823[[#This Row],[Lastflexibilisierung mittels 
Batteriespeichern]],Dropdown!$A$2:$D$4,4,FALSE)</f>
        <v>-</v>
      </c>
    </row>
    <row r="28" spans="1:20" x14ac:dyDescent="0.2">
      <c r="A28" s="6" t="str">
        <f>Tabelle1823[[#This Row],[Kurzbeleg]]</f>
        <v>Sau19</v>
      </c>
      <c r="B28" s="57" t="str">
        <f>VLOOKUP(Tabelle1823[[#This Row],[Kühlschränke]],Dropdown!$A$2:$D$4,4,FALSE)</f>
        <v>-</v>
      </c>
      <c r="C28" s="57" t="str">
        <f>VLOOKUP(Tabelle1823[[#This Row],[Geschirrspüler]],Dropdown!$A$2:$D$4,4,FALSE)</f>
        <v>-</v>
      </c>
      <c r="D28" s="57" t="str">
        <f>VLOOKUP(Tabelle1823[[#This Row],[Wäschetrockner]],Dropdown!$A$2:$D$4,4,FALSE)</f>
        <v>-</v>
      </c>
      <c r="E28" s="57" t="str">
        <f>VLOOKUP(Tabelle1823[[#This Row],[Waschmaschinen]],Dropdown!$A$2:$D$4,4,FALSE)</f>
        <v>-</v>
      </c>
      <c r="F28" s="57" t="str">
        <f>VLOOKUP(Tabelle1823[[#This Row],[Raumklimatisierung (Klimaanlagen)]],Dropdown!$A$2:$D$4,4,FALSE)</f>
        <v>-</v>
      </c>
      <c r="G28" s="57" t="str">
        <f>VLOOKUP(Tabelle1823[[#This Row],[Wärmepumpen]],Dropdown!$A$2:$D$4,4,FALSE)</f>
        <v>-</v>
      </c>
      <c r="H28" s="57" t="str">
        <f>VLOOKUP(Tabelle1823[[#This Row],[Hybrid-Wärmepumpen]],Dropdown!$A$2:$D$4,4,FALSE)</f>
        <v>-</v>
      </c>
      <c r="I28" s="57" t="str">
        <f>VLOOKUP(Tabelle1823[[#This Row],[Nachtspeicherheizungen]],Dropdown!$A$2:$D$4,4,FALSE)</f>
        <v>-</v>
      </c>
      <c r="J28" s="57" t="str">
        <f>VLOOKUP(Tabelle1823[[#This Row],[Kühl- und Gefrierkombinationen]],Dropdown!$A$2:$D$4,4,FALSE)</f>
        <v>-</v>
      </c>
      <c r="K28" s="57" t="str">
        <f>VLOOKUP(Tabelle1823[[#This Row],[elektrische Warmwassererzeugung]],Dropdown!$A$2:$D$4,4,FALSE)</f>
        <v>-</v>
      </c>
      <c r="L28" s="57" t="str">
        <f>VLOOKUP(Tabelle1823[[#This Row],[Gefrierschränke und -truhen]],Dropdown!$A$2:$D$4,4,FALSE)</f>
        <v>-</v>
      </c>
      <c r="M28" s="57" t="str">
        <f>VLOOKUP(Tabelle1823[[#This Row],[Elektrische Öfen]],Dropdown!$A$2:$D$4,4,FALSE)</f>
        <v>-</v>
      </c>
      <c r="N28" s="57" t="str">
        <f>VLOOKUP(Tabelle1823[[#This Row],[elektrische Direktheizungen]],Dropdown!$A$2:$D$4,4,FALSE)</f>
        <v>-</v>
      </c>
      <c r="O28" s="57" t="str">
        <f>VLOOKUP(Tabelle1823[[#This Row],[Heizungsumwälzpumpen]],Dropdown!$A$2:$D$4,4,FALSE)</f>
        <v>-</v>
      </c>
      <c r="P28" s="57" t="str">
        <f>VLOOKUP(Tabelle1823[[#This Row],[Elektromobilität]],Dropdown!$A$2:$D$4,4,FALSE)</f>
        <v>-</v>
      </c>
      <c r="Q28" s="57" t="str">
        <f>VLOOKUP(Tabelle1823[[#This Row],[Smart Meter / intelligente Geräte]],Dropdown!$A$2:$D$4,4,FALSE)</f>
        <v>-</v>
      </c>
      <c r="R28" s="57" t="str">
        <f>VLOOKUP(Tabelle1823[[#This Row],[Photovoltaik]],Dropdown!$A$2:$D$4,4,FALSE)</f>
        <v>-</v>
      </c>
      <c r="S28" s="57" t="str">
        <f>VLOOKUP(Tabelle1823[[#This Row],[Mini-/Mikro-BHKWs]],Dropdown!$A$2:$D$4,4,FALSE)</f>
        <v>-</v>
      </c>
      <c r="T28" s="57" t="str">
        <f>VLOOKUP(Tabelle1823[[#This Row],[Lastflexibilisierung mittels 
Batteriespeichern]],Dropdown!$A$2:$D$4,4,FALSE)</f>
        <v>-</v>
      </c>
    </row>
    <row r="29" spans="1:20" x14ac:dyDescent="0.2">
      <c r="A29" s="6" t="str">
        <f>Tabelle1823[[#This Row],[Kurzbeleg]]</f>
        <v>Sch14</v>
      </c>
      <c r="B29" s="57" t="str">
        <f>VLOOKUP(Tabelle1823[[#This Row],[Kühlschränke]],Dropdown!$A$2:$D$4,4,FALSE)</f>
        <v>X</v>
      </c>
      <c r="C29" s="57" t="str">
        <f>VLOOKUP(Tabelle1823[[#This Row],[Geschirrspüler]],Dropdown!$A$2:$D$4,4,FALSE)</f>
        <v>X</v>
      </c>
      <c r="D29" s="57" t="str">
        <f>VLOOKUP(Tabelle1823[[#This Row],[Wäschetrockner]],Dropdown!$A$2:$D$4,4,FALSE)</f>
        <v>X</v>
      </c>
      <c r="E29" s="57" t="str">
        <f>VLOOKUP(Tabelle1823[[#This Row],[Waschmaschinen]],Dropdown!$A$2:$D$4,4,FALSE)</f>
        <v>X</v>
      </c>
      <c r="F29" s="57" t="str">
        <f>VLOOKUP(Tabelle1823[[#This Row],[Raumklimatisierung (Klimaanlagen)]],Dropdown!$A$2:$D$4,4,FALSE)</f>
        <v>X</v>
      </c>
      <c r="G29" s="57" t="str">
        <f>VLOOKUP(Tabelle1823[[#This Row],[Wärmepumpen]],Dropdown!$A$2:$D$4,4,FALSE)</f>
        <v>X</v>
      </c>
      <c r="H29" s="57" t="str">
        <f>VLOOKUP(Tabelle1823[[#This Row],[Hybrid-Wärmepumpen]],Dropdown!$A$2:$D$4,4,FALSE)</f>
        <v>-</v>
      </c>
      <c r="I29" s="57" t="str">
        <f>VLOOKUP(Tabelle1823[[#This Row],[Nachtspeicherheizungen]],Dropdown!$A$2:$D$4,4,FALSE)</f>
        <v>X</v>
      </c>
      <c r="J29" s="57" t="str">
        <f>VLOOKUP(Tabelle1823[[#This Row],[Kühl- und Gefrierkombinationen]],Dropdown!$A$2:$D$4,4,FALSE)</f>
        <v>X</v>
      </c>
      <c r="K29" s="57" t="str">
        <f>VLOOKUP(Tabelle1823[[#This Row],[elektrische Warmwassererzeugung]],Dropdown!$A$2:$D$4,4,FALSE)</f>
        <v>X</v>
      </c>
      <c r="L29" s="57" t="str">
        <f>VLOOKUP(Tabelle1823[[#This Row],[Gefrierschränke und -truhen]],Dropdown!$A$2:$D$4,4,FALSE)</f>
        <v>X</v>
      </c>
      <c r="M29" s="57" t="str">
        <f>VLOOKUP(Tabelle1823[[#This Row],[Elektrische Öfen]],Dropdown!$A$2:$D$4,4,FALSE)</f>
        <v>-</v>
      </c>
      <c r="N29" s="57" t="str">
        <f>VLOOKUP(Tabelle1823[[#This Row],[elektrische Direktheizungen]],Dropdown!$A$2:$D$4,4,FALSE)</f>
        <v>-</v>
      </c>
      <c r="O29" s="57" t="str">
        <f>VLOOKUP(Tabelle1823[[#This Row],[Heizungsumwälzpumpen]],Dropdown!$A$2:$D$4,4,FALSE)</f>
        <v>X</v>
      </c>
      <c r="P29" s="57" t="str">
        <f>VLOOKUP(Tabelle1823[[#This Row],[Elektromobilität]],Dropdown!$A$2:$D$4,4,FALSE)</f>
        <v>-</v>
      </c>
      <c r="Q29" s="57" t="str">
        <f>VLOOKUP(Tabelle1823[[#This Row],[Smart Meter / intelligente Geräte]],Dropdown!$A$2:$D$4,4,FALSE)</f>
        <v>-</v>
      </c>
      <c r="R29" s="57" t="str">
        <f>VLOOKUP(Tabelle1823[[#This Row],[Photovoltaik]],Dropdown!$A$2:$D$4,4,FALSE)</f>
        <v>-</v>
      </c>
      <c r="S29" s="57" t="str">
        <f>VLOOKUP(Tabelle1823[[#This Row],[Mini-/Mikro-BHKWs]],Dropdown!$A$2:$D$4,4,FALSE)</f>
        <v>-</v>
      </c>
      <c r="T29" s="57" t="str">
        <f>VLOOKUP(Tabelle1823[[#This Row],[Lastflexibilisierung mittels 
Batteriespeichern]],Dropdown!$A$2:$D$4,4,FALSE)</f>
        <v>-</v>
      </c>
    </row>
    <row r="30" spans="1:20" x14ac:dyDescent="0.2">
      <c r="A30" s="6" t="str">
        <f>Tabelle1823[[#This Row],[Kurzbeleg]]</f>
        <v>Sta06</v>
      </c>
      <c r="B30" s="57" t="str">
        <f>VLOOKUP(Tabelle1823[[#This Row],[Kühlschränke]],Dropdown!$A$2:$D$4,4,FALSE)</f>
        <v>X</v>
      </c>
      <c r="C30" s="57" t="str">
        <f>VLOOKUP(Tabelle1823[[#This Row],[Geschirrspüler]],Dropdown!$A$2:$D$4,4,FALSE)</f>
        <v>-</v>
      </c>
      <c r="D30" s="57" t="str">
        <f>VLOOKUP(Tabelle1823[[#This Row],[Wäschetrockner]],Dropdown!$A$2:$D$4,4,FALSE)</f>
        <v>-</v>
      </c>
      <c r="E30" s="57" t="str">
        <f>VLOOKUP(Tabelle1823[[#This Row],[Waschmaschinen]],Dropdown!$A$2:$D$4,4,FALSE)</f>
        <v>-</v>
      </c>
      <c r="F30" s="57" t="str">
        <f>VLOOKUP(Tabelle1823[[#This Row],[Raumklimatisierung (Klimaanlagen)]],Dropdown!$A$2:$D$4,4,FALSE)</f>
        <v>-</v>
      </c>
      <c r="G30" s="57" t="str">
        <f>VLOOKUP(Tabelle1823[[#This Row],[Wärmepumpen]],Dropdown!$A$2:$D$4,4,FALSE)</f>
        <v>X</v>
      </c>
      <c r="H30" s="57" t="str">
        <f>VLOOKUP(Tabelle1823[[#This Row],[Hybrid-Wärmepumpen]],Dropdown!$A$2:$D$4,4,FALSE)</f>
        <v>-</v>
      </c>
      <c r="I30" s="57" t="str">
        <f>VLOOKUP(Tabelle1823[[#This Row],[Nachtspeicherheizungen]],Dropdown!$A$2:$D$4,4,FALSE)</f>
        <v>X</v>
      </c>
      <c r="J30" s="57" t="str">
        <f>VLOOKUP(Tabelle1823[[#This Row],[Kühl- und Gefrierkombinationen]],Dropdown!$A$2:$D$4,4,FALSE)</f>
        <v>X</v>
      </c>
      <c r="K30" s="57" t="str">
        <f>VLOOKUP(Tabelle1823[[#This Row],[elektrische Warmwassererzeugung]],Dropdown!$A$2:$D$4,4,FALSE)</f>
        <v>X</v>
      </c>
      <c r="L30" s="57" t="str">
        <f>VLOOKUP(Tabelle1823[[#This Row],[Gefrierschränke und -truhen]],Dropdown!$A$2:$D$4,4,FALSE)</f>
        <v>X</v>
      </c>
      <c r="M30" s="57" t="str">
        <f>VLOOKUP(Tabelle1823[[#This Row],[Elektrische Öfen]],Dropdown!$A$2:$D$4,4,FALSE)</f>
        <v>-</v>
      </c>
      <c r="N30" s="57" t="str">
        <f>VLOOKUP(Tabelle1823[[#This Row],[elektrische Direktheizungen]],Dropdown!$A$2:$D$4,4,FALSE)</f>
        <v>-</v>
      </c>
      <c r="O30" s="57" t="str">
        <f>VLOOKUP(Tabelle1823[[#This Row],[Heizungsumwälzpumpen]],Dropdown!$A$2:$D$4,4,FALSE)</f>
        <v>-</v>
      </c>
      <c r="P30" s="57" t="str">
        <f>VLOOKUP(Tabelle1823[[#This Row],[Elektromobilität]],Dropdown!$A$2:$D$4,4,FALSE)</f>
        <v>-</v>
      </c>
      <c r="Q30" s="57" t="str">
        <f>VLOOKUP(Tabelle1823[[#This Row],[Smart Meter / intelligente Geräte]],Dropdown!$A$2:$D$4,4,FALSE)</f>
        <v>-</v>
      </c>
      <c r="R30" s="57" t="str">
        <f>VLOOKUP(Tabelle1823[[#This Row],[Photovoltaik]],Dropdown!$A$2:$D$4,4,FALSE)</f>
        <v>-</v>
      </c>
      <c r="S30" s="57" t="str">
        <f>VLOOKUP(Tabelle1823[[#This Row],[Mini-/Mikro-BHKWs]],Dropdown!$A$2:$D$4,4,FALSE)</f>
        <v>-</v>
      </c>
      <c r="T30" s="57" t="str">
        <f>VLOOKUP(Tabelle1823[[#This Row],[Lastflexibilisierung mittels 
Batteriespeichern]],Dropdown!$A$2:$D$4,4,FALSE)</f>
        <v>-</v>
      </c>
    </row>
    <row r="31" spans="1:20" x14ac:dyDescent="0.2">
      <c r="A31" s="6" t="str">
        <f>Tabelle1823[[#This Row],[Kurzbeleg]]</f>
        <v>Ste17</v>
      </c>
      <c r="B31" s="57" t="str">
        <f>VLOOKUP(Tabelle1823[[#This Row],[Kühlschränke]],Dropdown!$A$2:$D$4,4,FALSE)</f>
        <v>X</v>
      </c>
      <c r="C31" s="57" t="str">
        <f>VLOOKUP(Tabelle1823[[#This Row],[Geschirrspüler]],Dropdown!$A$2:$D$4,4,FALSE)</f>
        <v>X</v>
      </c>
      <c r="D31" s="57" t="str">
        <f>VLOOKUP(Tabelle1823[[#This Row],[Wäschetrockner]],Dropdown!$A$2:$D$4,4,FALSE)</f>
        <v>X</v>
      </c>
      <c r="E31" s="57" t="str">
        <f>VLOOKUP(Tabelle1823[[#This Row],[Waschmaschinen]],Dropdown!$A$2:$D$4,4,FALSE)</f>
        <v>X</v>
      </c>
      <c r="F31" s="57" t="str">
        <f>VLOOKUP(Tabelle1823[[#This Row],[Raumklimatisierung (Klimaanlagen)]],Dropdown!$A$2:$D$4,4,FALSE)</f>
        <v>X</v>
      </c>
      <c r="G31" s="57" t="str">
        <f>VLOOKUP(Tabelle1823[[#This Row],[Wärmepumpen]],Dropdown!$A$2:$D$4,4,FALSE)</f>
        <v>X</v>
      </c>
      <c r="H31" s="57" t="str">
        <f>VLOOKUP(Tabelle1823[[#This Row],[Hybrid-Wärmepumpen]],Dropdown!$A$2:$D$4,4,FALSE)</f>
        <v>-</v>
      </c>
      <c r="I31" s="57" t="str">
        <f>VLOOKUP(Tabelle1823[[#This Row],[Nachtspeicherheizungen]],Dropdown!$A$2:$D$4,4,FALSE)</f>
        <v>X</v>
      </c>
      <c r="J31" s="57" t="str">
        <f>VLOOKUP(Tabelle1823[[#This Row],[Kühl- und Gefrierkombinationen]],Dropdown!$A$2:$D$4,4,FALSE)</f>
        <v>X</v>
      </c>
      <c r="K31" s="57" t="str">
        <f>VLOOKUP(Tabelle1823[[#This Row],[elektrische Warmwassererzeugung]],Dropdown!$A$2:$D$4,4,FALSE)</f>
        <v>X</v>
      </c>
      <c r="L31" s="57" t="str">
        <f>VLOOKUP(Tabelle1823[[#This Row],[Gefrierschränke und -truhen]],Dropdown!$A$2:$D$4,4,FALSE)</f>
        <v>X</v>
      </c>
      <c r="M31" s="57" t="str">
        <f>VLOOKUP(Tabelle1823[[#This Row],[Elektrische Öfen]],Dropdown!$A$2:$D$4,4,FALSE)</f>
        <v>-</v>
      </c>
      <c r="N31" s="57" t="str">
        <f>VLOOKUP(Tabelle1823[[#This Row],[elektrische Direktheizungen]],Dropdown!$A$2:$D$4,4,FALSE)</f>
        <v>-</v>
      </c>
      <c r="O31" s="57" t="str">
        <f>VLOOKUP(Tabelle1823[[#This Row],[Heizungsumwälzpumpen]],Dropdown!$A$2:$D$4,4,FALSE)</f>
        <v>X</v>
      </c>
      <c r="P31" s="57" t="str">
        <f>VLOOKUP(Tabelle1823[[#This Row],[Elektromobilität]],Dropdown!$A$2:$D$4,4,FALSE)</f>
        <v>-</v>
      </c>
      <c r="Q31" s="57" t="str">
        <f>VLOOKUP(Tabelle1823[[#This Row],[Smart Meter / intelligente Geräte]],Dropdown!$A$2:$D$4,4,FALSE)</f>
        <v>-</v>
      </c>
      <c r="R31" s="57" t="str">
        <f>VLOOKUP(Tabelle1823[[#This Row],[Photovoltaik]],Dropdown!$A$2:$D$4,4,FALSE)</f>
        <v>-</v>
      </c>
      <c r="S31" s="57" t="str">
        <f>VLOOKUP(Tabelle1823[[#This Row],[Mini-/Mikro-BHKWs]],Dropdown!$A$2:$D$4,4,FALSE)</f>
        <v>-</v>
      </c>
      <c r="T31" s="57" t="str">
        <f>VLOOKUP(Tabelle1823[[#This Row],[Lastflexibilisierung mittels 
Batteriespeichern]],Dropdown!$A$2:$D$4,4,FALSE)</f>
        <v>-</v>
      </c>
    </row>
    <row r="32" spans="1:20" x14ac:dyDescent="0.2">
      <c r="A32" s="6" t="str">
        <f>Tabelle1823[[#This Row],[Kurzbeleg]]</f>
        <v>Sty15</v>
      </c>
      <c r="B32" s="57" t="str">
        <f>VLOOKUP(Tabelle1823[[#This Row],[Kühlschränke]],Dropdown!$A$2:$D$4,4,FALSE)</f>
        <v>X</v>
      </c>
      <c r="C32" s="57" t="str">
        <f>VLOOKUP(Tabelle1823[[#This Row],[Geschirrspüler]],Dropdown!$A$2:$D$4,4,FALSE)</f>
        <v>-</v>
      </c>
      <c r="D32" s="57" t="str">
        <f>VLOOKUP(Tabelle1823[[#This Row],[Wäschetrockner]],Dropdown!$A$2:$D$4,4,FALSE)</f>
        <v>X</v>
      </c>
      <c r="E32" s="57" t="str">
        <f>VLOOKUP(Tabelle1823[[#This Row],[Waschmaschinen]],Dropdown!$A$2:$D$4,4,FALSE)</f>
        <v>-</v>
      </c>
      <c r="F32" s="57" t="str">
        <f>VLOOKUP(Tabelle1823[[#This Row],[Raumklimatisierung (Klimaanlagen)]],Dropdown!$A$2:$D$4,4,FALSE)</f>
        <v>X</v>
      </c>
      <c r="G32" s="57" t="str">
        <f>VLOOKUP(Tabelle1823[[#This Row],[Wärmepumpen]],Dropdown!$A$2:$D$4,4,FALSE)</f>
        <v>-</v>
      </c>
      <c r="H32" s="57" t="str">
        <f>VLOOKUP(Tabelle1823[[#This Row],[Hybrid-Wärmepumpen]],Dropdown!$A$2:$D$4,4,FALSE)</f>
        <v>-</v>
      </c>
      <c r="I32" s="57" t="str">
        <f>VLOOKUP(Tabelle1823[[#This Row],[Nachtspeicherheizungen]],Dropdown!$A$2:$D$4,4,FALSE)</f>
        <v>-</v>
      </c>
      <c r="J32" s="57" t="str">
        <f>VLOOKUP(Tabelle1823[[#This Row],[Kühl- und Gefrierkombinationen]],Dropdown!$A$2:$D$4,4,FALSE)</f>
        <v>X</v>
      </c>
      <c r="K32" s="57" t="str">
        <f>VLOOKUP(Tabelle1823[[#This Row],[elektrische Warmwassererzeugung]],Dropdown!$A$2:$D$4,4,FALSE)</f>
        <v>-</v>
      </c>
      <c r="L32" s="57" t="str">
        <f>VLOOKUP(Tabelle1823[[#This Row],[Gefrierschränke und -truhen]],Dropdown!$A$2:$D$4,4,FALSE)</f>
        <v>X</v>
      </c>
      <c r="M32" s="57" t="str">
        <f>VLOOKUP(Tabelle1823[[#This Row],[Elektrische Öfen]],Dropdown!$A$2:$D$4,4,FALSE)</f>
        <v>-</v>
      </c>
      <c r="N32" s="57" t="str">
        <f>VLOOKUP(Tabelle1823[[#This Row],[elektrische Direktheizungen]],Dropdown!$A$2:$D$4,4,FALSE)</f>
        <v>-</v>
      </c>
      <c r="O32" s="57" t="str">
        <f>VLOOKUP(Tabelle1823[[#This Row],[Heizungsumwälzpumpen]],Dropdown!$A$2:$D$4,4,FALSE)</f>
        <v>X</v>
      </c>
      <c r="P32" s="57" t="str">
        <f>VLOOKUP(Tabelle1823[[#This Row],[Elektromobilität]],Dropdown!$A$2:$D$4,4,FALSE)</f>
        <v>X</v>
      </c>
      <c r="Q32" s="57" t="str">
        <f>VLOOKUP(Tabelle1823[[#This Row],[Smart Meter / intelligente Geräte]],Dropdown!$A$2:$D$4,4,FALSE)</f>
        <v>-</v>
      </c>
      <c r="R32" s="57" t="str">
        <f>VLOOKUP(Tabelle1823[[#This Row],[Photovoltaik]],Dropdown!$A$2:$D$4,4,FALSE)</f>
        <v>X</v>
      </c>
      <c r="S32" s="57" t="str">
        <f>VLOOKUP(Tabelle1823[[#This Row],[Mini-/Mikro-BHKWs]],Dropdown!$A$2:$D$4,4,FALSE)</f>
        <v>-</v>
      </c>
      <c r="T32" s="57" t="str">
        <f>VLOOKUP(Tabelle1823[[#This Row],[Lastflexibilisierung mittels 
Batteriespeichern]],Dropdown!$A$2:$D$4,4,FALSE)</f>
        <v>X</v>
      </c>
    </row>
    <row r="33" spans="1:20" x14ac:dyDescent="0.2">
      <c r="A33" s="6" t="str">
        <f>Tabelle1823[[#This Row],[Kurzbeleg]]</f>
        <v>Woh20</v>
      </c>
      <c r="B33" s="57" t="str">
        <f>VLOOKUP(Tabelle1823[[#This Row],[Kühlschränke]],Dropdown!$A$2:$D$4,4,FALSE)</f>
        <v>-</v>
      </c>
      <c r="C33" s="57" t="str">
        <f>VLOOKUP(Tabelle1823[[#This Row],[Geschirrspüler]],Dropdown!$A$2:$D$4,4,FALSE)</f>
        <v>-</v>
      </c>
      <c r="D33" s="57" t="str">
        <f>VLOOKUP(Tabelle1823[[#This Row],[Wäschetrockner]],Dropdown!$A$2:$D$4,4,FALSE)</f>
        <v>-</v>
      </c>
      <c r="E33" s="57" t="str">
        <f>VLOOKUP(Tabelle1823[[#This Row],[Waschmaschinen]],Dropdown!$A$2:$D$4,4,FALSE)</f>
        <v>-</v>
      </c>
      <c r="F33" s="57" t="str">
        <f>VLOOKUP(Tabelle1823[[#This Row],[Raumklimatisierung (Klimaanlagen)]],Dropdown!$A$2:$D$4,4,FALSE)</f>
        <v>-</v>
      </c>
      <c r="G33" s="57" t="str">
        <f>VLOOKUP(Tabelle1823[[#This Row],[Wärmepumpen]],Dropdown!$A$2:$D$4,4,FALSE)</f>
        <v>-</v>
      </c>
      <c r="H33" s="57" t="str">
        <f>VLOOKUP(Tabelle1823[[#This Row],[Hybrid-Wärmepumpen]],Dropdown!$A$2:$D$4,4,FALSE)</f>
        <v>-</v>
      </c>
      <c r="I33" s="57" t="str">
        <f>VLOOKUP(Tabelle1823[[#This Row],[Nachtspeicherheizungen]],Dropdown!$A$2:$D$4,4,FALSE)</f>
        <v>-</v>
      </c>
      <c r="J33" s="57" t="str">
        <f>VLOOKUP(Tabelle1823[[#This Row],[Kühl- und Gefrierkombinationen]],Dropdown!$A$2:$D$4,4,FALSE)</f>
        <v>-</v>
      </c>
      <c r="K33" s="57" t="str">
        <f>VLOOKUP(Tabelle1823[[#This Row],[elektrische Warmwassererzeugung]],Dropdown!$A$2:$D$4,4,FALSE)</f>
        <v>-</v>
      </c>
      <c r="L33" s="57" t="str">
        <f>VLOOKUP(Tabelle1823[[#This Row],[Gefrierschränke und -truhen]],Dropdown!$A$2:$D$4,4,FALSE)</f>
        <v>-</v>
      </c>
      <c r="M33" s="57" t="str">
        <f>VLOOKUP(Tabelle1823[[#This Row],[Elektrische Öfen]],Dropdown!$A$2:$D$4,4,FALSE)</f>
        <v>-</v>
      </c>
      <c r="N33" s="57" t="str">
        <f>VLOOKUP(Tabelle1823[[#This Row],[elektrische Direktheizungen]],Dropdown!$A$2:$D$4,4,FALSE)</f>
        <v>-</v>
      </c>
      <c r="O33" s="57" t="str">
        <f>VLOOKUP(Tabelle1823[[#This Row],[Heizungsumwälzpumpen]],Dropdown!$A$2:$D$4,4,FALSE)</f>
        <v>-</v>
      </c>
      <c r="P33" s="57" t="str">
        <f>VLOOKUP(Tabelle1823[[#This Row],[Elektromobilität]],Dropdown!$A$2:$D$4,4,FALSE)</f>
        <v>-</v>
      </c>
      <c r="Q33" s="57" t="str">
        <f>VLOOKUP(Tabelle1823[[#This Row],[Smart Meter / intelligente Geräte]],Dropdown!$A$2:$D$4,4,FALSE)</f>
        <v>-</v>
      </c>
      <c r="R33" s="57" t="str">
        <f>VLOOKUP(Tabelle1823[[#This Row],[Photovoltaik]],Dropdown!$A$2:$D$4,4,FALSE)</f>
        <v>-</v>
      </c>
      <c r="S33" s="57" t="str">
        <f>VLOOKUP(Tabelle1823[[#This Row],[Mini-/Mikro-BHKWs]],Dropdown!$A$2:$D$4,4,FALSE)</f>
        <v>-</v>
      </c>
      <c r="T33" s="57" t="str">
        <f>VLOOKUP(Tabelle1823[[#This Row],[Lastflexibilisierung mittels 
Batteriespeichern]],Dropdown!$A$2:$D$4,4,FALSE)</f>
        <v>-</v>
      </c>
    </row>
    <row r="34" spans="1:20" x14ac:dyDescent="0.2">
      <c r="A34" s="6" t="str">
        <f>Tabelle1823[[#This Row],[Kurzbeleg]]</f>
        <v>Häufigkeit</v>
      </c>
      <c r="B34" s="140">
        <f>Tabelle1823[[#This Row],[Kühlschränke]]</f>
        <v>14</v>
      </c>
      <c r="C34" s="140">
        <f>Tabelle1823[[#This Row],[Geschirrspüler]]</f>
        <v>11</v>
      </c>
      <c r="D34" s="140">
        <f>Tabelle1823[[#This Row],[Wäschetrockner]]</f>
        <v>13</v>
      </c>
      <c r="E34" s="140">
        <f>Tabelle1823[[#This Row],[Waschmaschinen]]</f>
        <v>12</v>
      </c>
      <c r="F34" s="140">
        <f>Tabelle1823[[#This Row],[Raumklimatisierung (Klimaanlagen)]]</f>
        <v>9</v>
      </c>
      <c r="G34" s="140">
        <f>Tabelle1823[[#This Row],[Wärmepumpen]]</f>
        <v>16</v>
      </c>
      <c r="H34" s="140">
        <f>Tabelle1823[[#This Row],[Hybrid-Wärmepumpen]]</f>
        <v>2</v>
      </c>
      <c r="I34" s="140">
        <f>Tabelle1823[[#This Row],[Nachtspeicherheizungen]]</f>
        <v>17</v>
      </c>
      <c r="J34" s="140">
        <f>Tabelle1823[[#This Row],[Kühl- und Gefrierkombinationen]]</f>
        <v>11</v>
      </c>
      <c r="K34" s="140">
        <f>Tabelle1823[[#This Row],[elektrische Warmwassererzeugung]]</f>
        <v>14</v>
      </c>
      <c r="L34" s="140">
        <f>Tabelle1823[[#This Row],[Gefrierschränke und -truhen]]</f>
        <v>15</v>
      </c>
      <c r="M34" s="140">
        <f>Tabelle1823[[#This Row],[Elektrische Öfen]]</f>
        <v>1</v>
      </c>
      <c r="N34" s="140">
        <f>Tabelle1823[[#This Row],[elektrische Direktheizungen]]</f>
        <v>2</v>
      </c>
      <c r="O34" s="140">
        <f>Tabelle1823[[#This Row],[Heizungsumwälzpumpen]]</f>
        <v>8</v>
      </c>
      <c r="P34" s="140">
        <f>Tabelle1823[[#This Row],[Elektromobilität]]</f>
        <v>4</v>
      </c>
      <c r="Q34" s="140">
        <f>Tabelle1823[[#This Row],[Smart Meter / intelligente Geräte]]</f>
        <v>0.5</v>
      </c>
      <c r="R34" s="140">
        <f>Tabelle1823[[#This Row],[Photovoltaik]]</f>
        <v>1.5</v>
      </c>
      <c r="S34" s="140">
        <f>Tabelle1823[[#This Row],[Mini-/Mikro-BHKWs]]</f>
        <v>0.5</v>
      </c>
      <c r="T34" s="140">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3" sqref="B3:J35"/>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49" t="s">
        <v>1195</v>
      </c>
      <c r="C2" s="41" t="s">
        <v>1597</v>
      </c>
      <c r="D2" s="41" t="s">
        <v>1598</v>
      </c>
      <c r="E2" s="49" t="s">
        <v>1196</v>
      </c>
      <c r="F2" s="49" t="s">
        <v>1197</v>
      </c>
      <c r="G2" s="49" t="s">
        <v>1198</v>
      </c>
      <c r="H2" s="49" t="s">
        <v>1199</v>
      </c>
      <c r="I2" s="50" t="s">
        <v>1200</v>
      </c>
      <c r="J2" s="49" t="s">
        <v>1201</v>
      </c>
      <c r="K2" s="46" t="s">
        <v>114</v>
      </c>
    </row>
    <row r="3" spans="1:11" x14ac:dyDescent="0.25">
      <c r="A3" s="6" t="str">
        <f>Ueberblick[[#This Row],[Kürzel]]</f>
        <v>Ape12</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Ary17</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Aus18</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Blu13</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Foc11</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Gil15</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Gob12</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Gro13</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Gru17</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Haa17</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Hei21</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Hen15</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Jet21</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Klo09</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Klo13</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Krz13</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Lad18</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Lan15</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Lie15</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Mae18</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Mol10</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Mue19</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Pau11</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Pel16</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r2b14</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Roo10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Sau19</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Sch14</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Sta06</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Ste17</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Sty15</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Woh20</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4" t="s">
        <v>853</v>
      </c>
      <c r="B35" s="112">
        <f>SUM(B2:B34)</f>
        <v>25.5</v>
      </c>
      <c r="C35" s="112">
        <f t="shared" ref="C35:J35" si="0">SUM(C2:C34)</f>
        <v>32</v>
      </c>
      <c r="D35" s="112">
        <f t="shared" si="0"/>
        <v>30</v>
      </c>
      <c r="E35" s="112">
        <f t="shared" si="0"/>
        <v>14.5</v>
      </c>
      <c r="F35" s="112">
        <f t="shared" si="0"/>
        <v>21.5</v>
      </c>
      <c r="G35" s="112">
        <f t="shared" si="0"/>
        <v>18</v>
      </c>
      <c r="H35" s="112">
        <f t="shared" si="0"/>
        <v>15</v>
      </c>
      <c r="I35" s="112">
        <f t="shared" si="0"/>
        <v>12.5</v>
      </c>
      <c r="J35" s="112">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3" sqref="B3:J35"/>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49" t="s">
        <v>1195</v>
      </c>
      <c r="C2" s="41" t="s">
        <v>1202</v>
      </c>
      <c r="D2" s="41" t="s">
        <v>1203</v>
      </c>
      <c r="E2" s="49" t="s">
        <v>1196</v>
      </c>
      <c r="F2" s="49" t="s">
        <v>1197</v>
      </c>
      <c r="G2" s="49" t="s">
        <v>1198</v>
      </c>
      <c r="H2" s="49" t="s">
        <v>1199</v>
      </c>
      <c r="I2" s="50" t="s">
        <v>1200</v>
      </c>
      <c r="J2" s="49" t="s">
        <v>1201</v>
      </c>
      <c r="K2" s="58" t="s">
        <v>114</v>
      </c>
    </row>
    <row r="3" spans="1:11" x14ac:dyDescent="0.25">
      <c r="A3" s="6" t="str">
        <f>'03_Flexparameter_kodiert'!A3</f>
        <v>Ape12</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Ary17</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Aus18</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Blu13</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Foc11</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Gil15</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Gob12</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Gro13</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Gru17</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Haa17</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Hei21</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Hen15</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Jet21</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Klo09</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Klo13</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Krz13</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Lad18</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Lan15</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Lie15</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Mae18</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Mol10</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Mue19</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Pau11</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Pel16</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r2b14</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Roo10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Sau19</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Sch14</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Sta06</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Ste17</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Sty15</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Woh20</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5">
        <f>'03_Flexparameter_kodiert'!B35</f>
        <v>25.5</v>
      </c>
      <c r="C35" s="65">
        <f>'03_Flexparameter_kodiert'!C35</f>
        <v>32</v>
      </c>
      <c r="D35" s="65">
        <f>'03_Flexparameter_kodiert'!D35</f>
        <v>30</v>
      </c>
      <c r="E35" s="65">
        <f>'03_Flexparameter_kodiert'!E35</f>
        <v>14.5</v>
      </c>
      <c r="F35" s="65">
        <f>'03_Flexparameter_kodiert'!F35</f>
        <v>21.5</v>
      </c>
      <c r="G35" s="65">
        <f>'03_Flexparameter_kodiert'!G35</f>
        <v>18</v>
      </c>
      <c r="H35" s="65">
        <f>'03_Flexparameter_kodiert'!H35</f>
        <v>15</v>
      </c>
      <c r="I35" s="65">
        <f>'03_Flexparameter_kodiert'!I35</f>
        <v>12.5</v>
      </c>
      <c r="J35" s="65">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1599</v>
      </c>
      <c r="C2" s="4" t="s">
        <v>1421</v>
      </c>
      <c r="D2" s="4" t="s">
        <v>1423</v>
      </c>
      <c r="E2" s="4" t="s">
        <v>1424</v>
      </c>
      <c r="F2" s="4" t="s">
        <v>1425</v>
      </c>
      <c r="G2" s="4" t="s">
        <v>1426</v>
      </c>
      <c r="H2" s="4" t="s">
        <v>1398</v>
      </c>
    </row>
    <row r="3" spans="1:8" x14ac:dyDescent="0.25">
      <c r="A3" s="6" t="str">
        <f>Ueberblick[[#This Row],[Kürzel]]</f>
        <v>Ape12</v>
      </c>
      <c r="B3" s="132">
        <f>Ueberblick[[#This Row],[Benutzungsstunden / Auslastungsgrade angegeben?]]</f>
        <v>1</v>
      </c>
      <c r="C3" s="132">
        <f>Ueberblick[[#This Row],[Saisonalität berücksichtigt?]]</f>
        <v>1</v>
      </c>
      <c r="D3" s="132">
        <f>Ueberblick[[#This Row],[Tageszeitliche Abhängigkeit berücksichtigt?]]</f>
        <v>1</v>
      </c>
      <c r="E3" s="132">
        <f>Ueberblick[[#This Row],[Temperaturabhängigkeit berücksichtigt?]]</f>
        <v>0.5</v>
      </c>
      <c r="F3" s="132">
        <f>Ueberblick[[#This Row],[Lastgänge / Lastblöcke berücksichtigt?]]</f>
        <v>1</v>
      </c>
      <c r="G3" s="132">
        <f>Ueberblick[[#This Row],[Zeitverfügbarkeitszeitreihen generiert?]]</f>
        <v>0</v>
      </c>
      <c r="H3" s="82" t="str">
        <f>Ueberblick[[#This Row],[Quellen Zeitverfügbarkeit]]</f>
        <v>S. 34-58</v>
      </c>
    </row>
    <row r="4" spans="1:8" x14ac:dyDescent="0.25">
      <c r="A4" s="6" t="str">
        <f>Ueberblick[[#This Row],[Kürzel]]</f>
        <v>Ary17</v>
      </c>
      <c r="B4" s="132">
        <f>Ueberblick[[#This Row],[Benutzungsstunden / Auslastungsgrade angegeben?]]</f>
        <v>0</v>
      </c>
      <c r="C4" s="132">
        <f>Ueberblick[[#This Row],[Saisonalität berücksichtigt?]]</f>
        <v>1</v>
      </c>
      <c r="D4" s="132">
        <f>Ueberblick[[#This Row],[Tageszeitliche Abhängigkeit berücksichtigt?]]</f>
        <v>1</v>
      </c>
      <c r="E4" s="132">
        <f>Ueberblick[[#This Row],[Temperaturabhängigkeit berücksichtigt?]]</f>
        <v>1</v>
      </c>
      <c r="F4" s="132">
        <f>Ueberblick[[#This Row],[Lastgänge / Lastblöcke berücksichtigt?]]</f>
        <v>1</v>
      </c>
      <c r="G4" s="132">
        <f>Ueberblick[[#This Row],[Zeitverfügbarkeitszeitreihen generiert?]]</f>
        <v>1</v>
      </c>
      <c r="H4" s="82" t="str">
        <f>Ueberblick[[#This Row],[Quellen Zeitverfügbarkeit]]</f>
        <v>im gesamten Artikel; zudem: Zeitreihen im Supplementary Material</v>
      </c>
    </row>
    <row r="5" spans="1:8" s="11" customFormat="1" x14ac:dyDescent="0.25">
      <c r="A5" s="6" t="str">
        <f>Ueberblick[[#This Row],[Kürzel]]</f>
        <v>Aus18</v>
      </c>
      <c r="B5" s="132">
        <f>Ueberblick[[#This Row],[Benutzungsstunden / Auslastungsgrade angegeben?]]</f>
        <v>1</v>
      </c>
      <c r="C5" s="132">
        <f>Ueberblick[[#This Row],[Saisonalität berücksichtigt?]]</f>
        <v>1</v>
      </c>
      <c r="D5" s="132">
        <f>Ueberblick[[#This Row],[Tageszeitliche Abhängigkeit berücksichtigt?]]</f>
        <v>1</v>
      </c>
      <c r="E5" s="132">
        <f>Ueberblick[[#This Row],[Temperaturabhängigkeit berücksichtigt?]]</f>
        <v>0.5</v>
      </c>
      <c r="F5" s="132">
        <f>Ueberblick[[#This Row],[Lastgänge / Lastblöcke berücksichtigt?]]</f>
        <v>1</v>
      </c>
      <c r="G5" s="132">
        <f>Ueberblick[[#This Row],[Zeitverfügbarkeitszeitreihen generiert?]]</f>
        <v>0</v>
      </c>
      <c r="H5" s="82" t="str">
        <f>Ueberblick[[#This Row],[Quellen Zeitverfügbarkeit]]</f>
        <v>47ff.</v>
      </c>
    </row>
    <row r="6" spans="1:8" s="11" customFormat="1" x14ac:dyDescent="0.25">
      <c r="A6" s="6" t="str">
        <f>Ueberblick[[#This Row],[Kürzel]]</f>
        <v>Blu13</v>
      </c>
      <c r="B6" s="132">
        <f>Ueberblick[[#This Row],[Benutzungsstunden / Auslastungsgrade angegeben?]]</f>
        <v>1</v>
      </c>
      <c r="C6" s="132">
        <f>Ueberblick[[#This Row],[Saisonalität berücksichtigt?]]</f>
        <v>0</v>
      </c>
      <c r="D6" s="132">
        <f>Ueberblick[[#This Row],[Tageszeitliche Abhängigkeit berücksichtigt?]]</f>
        <v>0</v>
      </c>
      <c r="E6" s="132">
        <f>Ueberblick[[#This Row],[Temperaturabhängigkeit berücksichtigt?]]</f>
        <v>0</v>
      </c>
      <c r="F6" s="132">
        <f>Ueberblick[[#This Row],[Lastgänge / Lastblöcke berücksichtigt?]]</f>
        <v>0</v>
      </c>
      <c r="G6" s="132">
        <f>Ueberblick[[#This Row],[Zeitverfügbarkeitszeitreihen generiert?]]</f>
        <v>0</v>
      </c>
      <c r="H6" s="82" t="str">
        <f>Ueberblick[[#This Row],[Quellen Zeitverfügbarkeit]]</f>
        <v>-</v>
      </c>
    </row>
    <row r="7" spans="1:8" s="11" customFormat="1" x14ac:dyDescent="0.25">
      <c r="A7" s="6" t="str">
        <f>Ueberblick[[#This Row],[Kürzel]]</f>
        <v>Foc11</v>
      </c>
      <c r="B7" s="132">
        <f>Ueberblick[[#This Row],[Benutzungsstunden / Auslastungsgrade angegeben?]]</f>
        <v>0.5</v>
      </c>
      <c r="C7" s="132">
        <f>Ueberblick[[#This Row],[Saisonalität berücksichtigt?]]</f>
        <v>0.5</v>
      </c>
      <c r="D7" s="132">
        <f>Ueberblick[[#This Row],[Tageszeitliche Abhängigkeit berücksichtigt?]]</f>
        <v>1</v>
      </c>
      <c r="E7" s="132">
        <f>Ueberblick[[#This Row],[Temperaturabhängigkeit berücksichtigt?]]</f>
        <v>0</v>
      </c>
      <c r="F7" s="132">
        <f>Ueberblick[[#This Row],[Lastgänge / Lastblöcke berücksichtigt?]]</f>
        <v>1</v>
      </c>
      <c r="G7" s="132">
        <f>Ueberblick[[#This Row],[Zeitverfügbarkeitszeitreihen generiert?]]</f>
        <v>0</v>
      </c>
      <c r="H7" s="82" t="str">
        <f>Ueberblick[[#This Row],[Quellen Zeitverfügbarkeit]]</f>
        <v>S. 59-99</v>
      </c>
    </row>
    <row r="8" spans="1:8" s="11" customFormat="1" x14ac:dyDescent="0.25">
      <c r="A8" s="6" t="str">
        <f>Ueberblick[[#This Row],[Kürzel]]</f>
        <v>Gil15</v>
      </c>
      <c r="B8" s="132">
        <f>Ueberblick[[#This Row],[Benutzungsstunden / Auslastungsgrade angegeben?]]</f>
        <v>1</v>
      </c>
      <c r="C8" s="132">
        <f>Ueberblick[[#This Row],[Saisonalität berücksichtigt?]]</f>
        <v>1</v>
      </c>
      <c r="D8" s="132">
        <f>Ueberblick[[#This Row],[Tageszeitliche Abhängigkeit berücksichtigt?]]</f>
        <v>1</v>
      </c>
      <c r="E8" s="132">
        <f>Ueberblick[[#This Row],[Temperaturabhängigkeit berücksichtigt?]]</f>
        <v>1</v>
      </c>
      <c r="F8" s="132">
        <f>Ueberblick[[#This Row],[Lastgänge / Lastblöcke berücksichtigt?]]</f>
        <v>1</v>
      </c>
      <c r="G8" s="132">
        <f>Ueberblick[[#This Row],[Zeitverfügbarkeitszeitreihen generiert?]]</f>
        <v>1</v>
      </c>
      <c r="H8" s="82" t="str">
        <f>Ueberblick[[#This Row],[Quellen Zeitverfügbarkeit]]</f>
        <v>S. 13, 16-17</v>
      </c>
    </row>
    <row r="9" spans="1:8" x14ac:dyDescent="0.25">
      <c r="A9" s="6" t="str">
        <f>Ueberblick[[#This Row],[Kürzel]]</f>
        <v>Gob12</v>
      </c>
      <c r="B9" s="132">
        <f>Ueberblick[[#This Row],[Benutzungsstunden / Auslastungsgrade angegeben?]]</f>
        <v>0</v>
      </c>
      <c r="C9" s="132">
        <f>Ueberblick[[#This Row],[Saisonalität berücksichtigt?]]</f>
        <v>0</v>
      </c>
      <c r="D9" s="132">
        <f>Ueberblick[[#This Row],[Tageszeitliche Abhängigkeit berücksichtigt?]]</f>
        <v>0</v>
      </c>
      <c r="E9" s="132">
        <f>Ueberblick[[#This Row],[Temperaturabhängigkeit berücksichtigt?]]</f>
        <v>0</v>
      </c>
      <c r="F9" s="132">
        <f>Ueberblick[[#This Row],[Lastgänge / Lastblöcke berücksichtigt?]]</f>
        <v>0</v>
      </c>
      <c r="G9" s="132">
        <f>Ueberblick[[#This Row],[Zeitverfügbarkeitszeitreihen generiert?]]</f>
        <v>0</v>
      </c>
      <c r="H9" s="82" t="str">
        <f>Ueberblick[[#This Row],[Quellen Zeitverfügbarkeit]]</f>
        <v>keine (i.e.S.)</v>
      </c>
    </row>
    <row r="10" spans="1:8" x14ac:dyDescent="0.25">
      <c r="A10" s="6" t="str">
        <f>Ueberblick[[#This Row],[Kürzel]]</f>
        <v>Gro13</v>
      </c>
      <c r="B10" s="132">
        <f>Ueberblick[[#This Row],[Benutzungsstunden / Auslastungsgrade angegeben?]]</f>
        <v>0</v>
      </c>
      <c r="C10" s="132">
        <f>Ueberblick[[#This Row],[Saisonalität berücksichtigt?]]</f>
        <v>0</v>
      </c>
      <c r="D10" s="132">
        <f>Ueberblick[[#This Row],[Tageszeitliche Abhängigkeit berücksichtigt?]]</f>
        <v>0</v>
      </c>
      <c r="E10" s="132">
        <f>Ueberblick[[#This Row],[Temperaturabhängigkeit berücksichtigt?]]</f>
        <v>1</v>
      </c>
      <c r="F10" s="132">
        <f>Ueberblick[[#This Row],[Lastgänge / Lastblöcke berücksichtigt?]]</f>
        <v>0</v>
      </c>
      <c r="G10" s="132">
        <f>Ueberblick[[#This Row],[Zeitverfügbarkeitszeitreihen generiert?]]</f>
        <v>1</v>
      </c>
      <c r="H10" s="82" t="str">
        <f>Ueberblick[[#This Row],[Quellen Zeitverfügbarkeit]]</f>
        <v>S. 34</v>
      </c>
    </row>
    <row r="11" spans="1:8" s="11" customFormat="1" x14ac:dyDescent="0.25">
      <c r="A11" s="6" t="str">
        <f>Ueberblick[[#This Row],[Kürzel]]</f>
        <v>Gru17</v>
      </c>
      <c r="B11" s="132">
        <f>Ueberblick[[#This Row],[Benutzungsstunden / Auslastungsgrade angegeben?]]</f>
        <v>1</v>
      </c>
      <c r="C11" s="132">
        <f>Ueberblick[[#This Row],[Saisonalität berücksichtigt?]]</f>
        <v>1</v>
      </c>
      <c r="D11" s="132">
        <f>Ueberblick[[#This Row],[Tageszeitliche Abhängigkeit berücksichtigt?]]</f>
        <v>1</v>
      </c>
      <c r="E11" s="132">
        <f>Ueberblick[[#This Row],[Temperaturabhängigkeit berücksichtigt?]]</f>
        <v>0</v>
      </c>
      <c r="F11" s="132">
        <f>Ueberblick[[#This Row],[Lastgänge / Lastblöcke berücksichtigt?]]</f>
        <v>0.5</v>
      </c>
      <c r="G11" s="132">
        <f>Ueberblick[[#This Row],[Zeitverfügbarkeitszeitreihen generiert?]]</f>
        <v>0</v>
      </c>
      <c r="H11" s="82" t="str">
        <f>Ueberblick[[#This Row],[Quellen Zeitverfügbarkeit]]</f>
        <v>S. 22, 63-64, 100-104</v>
      </c>
    </row>
    <row r="12" spans="1:8" s="11" customFormat="1" x14ac:dyDescent="0.25">
      <c r="A12" s="6" t="str">
        <f>Ueberblick[[#This Row],[Kürzel]]</f>
        <v>Haa17</v>
      </c>
      <c r="B12" s="132">
        <f>Ueberblick[[#This Row],[Benutzungsstunden / Auslastungsgrade angegeben?]]</f>
        <v>0</v>
      </c>
      <c r="C12" s="132">
        <f>Ueberblick[[#This Row],[Saisonalität berücksichtigt?]]</f>
        <v>1</v>
      </c>
      <c r="D12" s="132">
        <f>Ueberblick[[#This Row],[Tageszeitliche Abhängigkeit berücksichtigt?]]</f>
        <v>0</v>
      </c>
      <c r="E12" s="132">
        <f>Ueberblick[[#This Row],[Temperaturabhängigkeit berücksichtigt?]]</f>
        <v>1</v>
      </c>
      <c r="F12" s="132">
        <f>Ueberblick[[#This Row],[Lastgänge / Lastblöcke berücksichtigt?]]</f>
        <v>1</v>
      </c>
      <c r="G12" s="132">
        <f>Ueberblick[[#This Row],[Zeitverfügbarkeitszeitreihen generiert?]]</f>
        <v>0.5</v>
      </c>
      <c r="H12" s="82" t="str">
        <f>Ueberblick[[#This Row],[Quellen Zeitverfügbarkeit]]</f>
        <v>S. 65-81</v>
      </c>
    </row>
    <row r="13" spans="1:8" x14ac:dyDescent="0.25">
      <c r="A13" s="6" t="str">
        <f>Ueberblick[[#This Row],[Kürzel]]</f>
        <v>Hei21</v>
      </c>
      <c r="B13" s="132">
        <f>Ueberblick[[#This Row],[Benutzungsstunden / Auslastungsgrade angegeben?]]</f>
        <v>1</v>
      </c>
      <c r="C13" s="132">
        <f>Ueberblick[[#This Row],[Saisonalität berücksichtigt?]]</f>
        <v>1</v>
      </c>
      <c r="D13" s="132">
        <f>Ueberblick[[#This Row],[Tageszeitliche Abhängigkeit berücksichtigt?]]</f>
        <v>1</v>
      </c>
      <c r="E13" s="132">
        <f>Ueberblick[[#This Row],[Temperaturabhängigkeit berücksichtigt?]]</f>
        <v>1</v>
      </c>
      <c r="F13" s="132">
        <f>Ueberblick[[#This Row],[Lastgänge / Lastblöcke berücksichtigt?]]</f>
        <v>1</v>
      </c>
      <c r="G13" s="132">
        <f>Ueberblick[[#This Row],[Zeitverfügbarkeitszeitreihen generiert?]]</f>
        <v>1</v>
      </c>
      <c r="H13" s="82" t="str">
        <f>Ueberblick[[#This Row],[Quellen Zeitverfügbarkeit]]</f>
        <v>100003-10008; supplementary data</v>
      </c>
    </row>
    <row r="14" spans="1:8" s="11" customFormat="1" x14ac:dyDescent="0.25">
      <c r="A14" s="6" t="str">
        <f>Ueberblick[[#This Row],[Kürzel]]</f>
        <v>Hen15</v>
      </c>
      <c r="B14" s="132">
        <f>Ueberblick[[#This Row],[Benutzungsstunden / Auslastungsgrade angegeben?]]</f>
        <v>1</v>
      </c>
      <c r="C14" s="132">
        <f>Ueberblick[[#This Row],[Saisonalität berücksichtigt?]]</f>
        <v>0.5</v>
      </c>
      <c r="D14" s="132">
        <f>Ueberblick[[#This Row],[Tageszeitliche Abhängigkeit berücksichtigt?]]</f>
        <v>0</v>
      </c>
      <c r="E14" s="132">
        <f>Ueberblick[[#This Row],[Temperaturabhängigkeit berücksichtigt?]]</f>
        <v>0</v>
      </c>
      <c r="F14" s="132">
        <f>Ueberblick[[#This Row],[Lastgänge / Lastblöcke berücksichtigt?]]</f>
        <v>0</v>
      </c>
      <c r="G14" s="132">
        <f>Ueberblick[[#This Row],[Zeitverfügbarkeitszeitreihen generiert?]]</f>
        <v>0</v>
      </c>
      <c r="H14" s="82" t="str">
        <f>Ueberblick[[#This Row],[Quellen Zeitverfügbarkeit]]</f>
        <v>-</v>
      </c>
    </row>
    <row r="15" spans="1:8" x14ac:dyDescent="0.25">
      <c r="A15" s="6" t="str">
        <f>Ueberblick[[#This Row],[Kürzel]]</f>
        <v>Jet21</v>
      </c>
      <c r="B15" s="132">
        <f>Ueberblick[[#This Row],[Benutzungsstunden / Auslastungsgrade angegeben?]]</f>
        <v>1</v>
      </c>
      <c r="C15" s="132">
        <f>Ueberblick[[#This Row],[Saisonalität berücksichtigt?]]</f>
        <v>1</v>
      </c>
      <c r="D15" s="132">
        <f>Ueberblick[[#This Row],[Tageszeitliche Abhängigkeit berücksichtigt?]]</f>
        <v>1</v>
      </c>
      <c r="E15" s="132">
        <f>Ueberblick[[#This Row],[Temperaturabhängigkeit berücksichtigt?]]</f>
        <v>1</v>
      </c>
      <c r="F15" s="132">
        <f>Ueberblick[[#This Row],[Lastgänge / Lastblöcke berücksichtigt?]]</f>
        <v>1</v>
      </c>
      <c r="G15" s="132">
        <f>Ueberblick[[#This Row],[Zeitverfügbarkeitszeitreihen generiert?]]</f>
        <v>1</v>
      </c>
      <c r="H15" s="82" t="str">
        <f>Ueberblick[[#This Row],[Quellen Zeitverfügbarkeit]]</f>
        <v>53-55</v>
      </c>
    </row>
    <row r="16" spans="1:8" s="11" customFormat="1" x14ac:dyDescent="0.25">
      <c r="A16" s="6" t="str">
        <f>Ueberblick[[#This Row],[Kürzel]]</f>
        <v>Klo09</v>
      </c>
      <c r="B16" s="132">
        <f>Ueberblick[[#This Row],[Benutzungsstunden / Auslastungsgrade angegeben?]]</f>
        <v>0</v>
      </c>
      <c r="C16" s="132">
        <f>Ueberblick[[#This Row],[Saisonalität berücksichtigt?]]</f>
        <v>0.5</v>
      </c>
      <c r="D16" s="132">
        <f>Ueberblick[[#This Row],[Tageszeitliche Abhängigkeit berücksichtigt?]]</f>
        <v>0.5</v>
      </c>
      <c r="E16" s="132">
        <f>Ueberblick[[#This Row],[Temperaturabhängigkeit berücksichtigt?]]</f>
        <v>0</v>
      </c>
      <c r="F16" s="132">
        <f>Ueberblick[[#This Row],[Lastgänge / Lastblöcke berücksichtigt?]]</f>
        <v>0</v>
      </c>
      <c r="G16" s="132">
        <f>Ueberblick[[#This Row],[Zeitverfügbarkeitszeitreihen generiert?]]</f>
        <v>0</v>
      </c>
      <c r="H16" s="82" t="str">
        <f>Ueberblick[[#This Row],[Quellen Zeitverfügbarkeit]]</f>
        <v>S. 52-66</v>
      </c>
    </row>
    <row r="17" spans="1:8" x14ac:dyDescent="0.25">
      <c r="A17" s="6" t="str">
        <f>Ueberblick[[#This Row],[Kürzel]]</f>
        <v>Klo13</v>
      </c>
      <c r="B17" s="132">
        <f>Ueberblick[[#This Row],[Benutzungsstunden / Auslastungsgrade angegeben?]]</f>
        <v>0</v>
      </c>
      <c r="C17" s="132">
        <f>Ueberblick[[#This Row],[Saisonalität berücksichtigt?]]</f>
        <v>0</v>
      </c>
      <c r="D17" s="132">
        <f>Ueberblick[[#This Row],[Tageszeitliche Abhängigkeit berücksichtigt?]]</f>
        <v>1</v>
      </c>
      <c r="E17" s="132">
        <f>Ueberblick[[#This Row],[Temperaturabhängigkeit berücksichtigt?]]</f>
        <v>1</v>
      </c>
      <c r="F17" s="132">
        <f>Ueberblick[[#This Row],[Lastgänge / Lastblöcke berücksichtigt?]]</f>
        <v>0.5</v>
      </c>
      <c r="G17" s="132">
        <f>Ueberblick[[#This Row],[Zeitverfügbarkeitszeitreihen generiert?]]</f>
        <v>0</v>
      </c>
      <c r="H17" s="82" t="str">
        <f>Ueberblick[[#This Row],[Quellen Zeitverfügbarkeit]]</f>
        <v>S. 41, 44-50</v>
      </c>
    </row>
    <row r="18" spans="1:8" s="11" customFormat="1" x14ac:dyDescent="0.25">
      <c r="A18" s="6" t="str">
        <f>Ueberblick[[#This Row],[Kürzel]]</f>
        <v>Krz13</v>
      </c>
      <c r="B18" s="132">
        <f>Ueberblick[[#This Row],[Benutzungsstunden / Auslastungsgrade angegeben?]]</f>
        <v>0</v>
      </c>
      <c r="C18" s="132">
        <f>Ueberblick[[#This Row],[Saisonalität berücksichtigt?]]</f>
        <v>0</v>
      </c>
      <c r="D18" s="132">
        <f>Ueberblick[[#This Row],[Tageszeitliche Abhängigkeit berücksichtigt?]]</f>
        <v>0</v>
      </c>
      <c r="E18" s="132">
        <f>Ueberblick[[#This Row],[Temperaturabhängigkeit berücksichtigt?]]</f>
        <v>0</v>
      </c>
      <c r="F18" s="132">
        <f>Ueberblick[[#This Row],[Lastgänge / Lastblöcke berücksichtigt?]]</f>
        <v>0</v>
      </c>
      <c r="G18" s="132">
        <f>Ueberblick[[#This Row],[Zeitverfügbarkeitszeitreihen generiert?]]</f>
        <v>0</v>
      </c>
      <c r="H18" s="82" t="str">
        <f>Ueberblick[[#This Row],[Quellen Zeitverfügbarkeit]]</f>
        <v>keine (i.e.S.)</v>
      </c>
    </row>
    <row r="19" spans="1:8" x14ac:dyDescent="0.25">
      <c r="A19" s="6" t="str">
        <f>Ueberblick[[#This Row],[Kürzel]]</f>
        <v>Lad18</v>
      </c>
      <c r="B19" s="132">
        <f>Ueberblick[[#This Row],[Benutzungsstunden / Auslastungsgrade angegeben?]]</f>
        <v>1</v>
      </c>
      <c r="C19" s="132">
        <f>Ueberblick[[#This Row],[Saisonalität berücksichtigt?]]</f>
        <v>1</v>
      </c>
      <c r="D19" s="132">
        <f>Ueberblick[[#This Row],[Tageszeitliche Abhängigkeit berücksichtigt?]]</f>
        <v>1</v>
      </c>
      <c r="E19" s="132">
        <f>Ueberblick[[#This Row],[Temperaturabhängigkeit berücksichtigt?]]</f>
        <v>1</v>
      </c>
      <c r="F19" s="132">
        <f>Ueberblick[[#This Row],[Lastgänge / Lastblöcke berücksichtigt?]]</f>
        <v>1</v>
      </c>
      <c r="G19" s="132">
        <f>Ueberblick[[#This Row],[Zeitverfügbarkeitszeitreihen generiert?]]</f>
        <v>1</v>
      </c>
      <c r="H19" s="82" t="str">
        <f>Ueberblick[[#This Row],[Quellen Zeitverfügbarkeit]]</f>
        <v>S. 23, 44-59, 65-67, 197-208</v>
      </c>
    </row>
    <row r="20" spans="1:8" s="11" customFormat="1" x14ac:dyDescent="0.25">
      <c r="A20" s="6" t="str">
        <f>Ueberblick[[#This Row],[Kürzel]]</f>
        <v>Lan15</v>
      </c>
      <c r="B20" s="132">
        <f>Ueberblick[[#This Row],[Benutzungsstunden / Auslastungsgrade angegeben?]]</f>
        <v>1</v>
      </c>
      <c r="C20" s="132">
        <f>Ueberblick[[#This Row],[Saisonalität berücksichtigt?]]</f>
        <v>0</v>
      </c>
      <c r="D20" s="132">
        <f>Ueberblick[[#This Row],[Tageszeitliche Abhängigkeit berücksichtigt?]]</f>
        <v>0</v>
      </c>
      <c r="E20" s="132">
        <f>Ueberblick[[#This Row],[Temperaturabhängigkeit berücksichtigt?]]</f>
        <v>0</v>
      </c>
      <c r="F20" s="132">
        <f>Ueberblick[[#This Row],[Lastgänge / Lastblöcke berücksichtigt?]]</f>
        <v>0</v>
      </c>
      <c r="G20" s="132">
        <f>Ueberblick[[#This Row],[Zeitverfügbarkeitszeitreihen generiert?]]</f>
        <v>0</v>
      </c>
      <c r="H20" s="82" t="str">
        <f>Ueberblick[[#This Row],[Quellen Zeitverfügbarkeit]]</f>
        <v>S. 17, 103-153</v>
      </c>
    </row>
    <row r="21" spans="1:8" x14ac:dyDescent="0.25">
      <c r="A21" s="6" t="str">
        <f>Ueberblick[[#This Row],[Kürzel]]</f>
        <v>Lie15</v>
      </c>
      <c r="B21" s="132">
        <f>Ueberblick[[#This Row],[Benutzungsstunden / Auslastungsgrade angegeben?]]</f>
        <v>0.5</v>
      </c>
      <c r="C21" s="132">
        <f>Ueberblick[[#This Row],[Saisonalität berücksichtigt?]]</f>
        <v>0</v>
      </c>
      <c r="D21" s="132">
        <f>Ueberblick[[#This Row],[Tageszeitliche Abhängigkeit berücksichtigt?]]</f>
        <v>0.5</v>
      </c>
      <c r="E21" s="132">
        <f>Ueberblick[[#This Row],[Temperaturabhängigkeit berücksichtigt?]]</f>
        <v>0.5</v>
      </c>
      <c r="F21" s="132">
        <f>Ueberblick[[#This Row],[Lastgänge / Lastblöcke berücksichtigt?]]</f>
        <v>0</v>
      </c>
      <c r="G21" s="132">
        <f>Ueberblick[[#This Row],[Zeitverfügbarkeitszeitreihen generiert?]]</f>
        <v>0</v>
      </c>
      <c r="H21" s="82" t="str">
        <f>Ueberblick[[#This Row],[Quellen Zeitverfügbarkeit]]</f>
        <v>S. 19-20, 22-23, 25, 27, 34-35</v>
      </c>
    </row>
    <row r="22" spans="1:8" s="11" customFormat="1" x14ac:dyDescent="0.25">
      <c r="A22" s="6" t="str">
        <f>Ueberblick[[#This Row],[Kürzel]]</f>
        <v>Mae18</v>
      </c>
      <c r="B22" s="132">
        <f>Ueberblick[[#This Row],[Benutzungsstunden / Auslastungsgrade angegeben?]]</f>
        <v>0</v>
      </c>
      <c r="C22" s="132">
        <f>Ueberblick[[#This Row],[Saisonalität berücksichtigt?]]</f>
        <v>0</v>
      </c>
      <c r="D22" s="132">
        <f>Ueberblick[[#This Row],[Tageszeitliche Abhängigkeit berücksichtigt?]]</f>
        <v>0</v>
      </c>
      <c r="E22" s="132">
        <f>Ueberblick[[#This Row],[Temperaturabhängigkeit berücksichtigt?]]</f>
        <v>0</v>
      </c>
      <c r="F22" s="132">
        <f>Ueberblick[[#This Row],[Lastgänge / Lastblöcke berücksichtigt?]]</f>
        <v>0</v>
      </c>
      <c r="G22" s="132">
        <f>Ueberblick[[#This Row],[Zeitverfügbarkeitszeitreihen generiert?]]</f>
        <v>0</v>
      </c>
      <c r="H22" s="82" t="str">
        <f>Ueberblick[[#This Row],[Quellen Zeitverfügbarkeit]]</f>
        <v>-</v>
      </c>
    </row>
    <row r="23" spans="1:8" x14ac:dyDescent="0.25">
      <c r="A23" s="6" t="str">
        <f>Ueberblick[[#This Row],[Kürzel]]</f>
        <v>Mol10</v>
      </c>
      <c r="B23" s="132">
        <f>Ueberblick[[#This Row],[Benutzungsstunden / Auslastungsgrade angegeben?]]</f>
        <v>1</v>
      </c>
      <c r="C23" s="132">
        <f>Ueberblick[[#This Row],[Saisonalität berücksichtigt?]]</f>
        <v>1</v>
      </c>
      <c r="D23" s="132">
        <f>Ueberblick[[#This Row],[Tageszeitliche Abhängigkeit berücksichtigt?]]</f>
        <v>1</v>
      </c>
      <c r="E23" s="132">
        <f>Ueberblick[[#This Row],[Temperaturabhängigkeit berücksichtigt?]]</f>
        <v>1</v>
      </c>
      <c r="F23" s="132">
        <f>Ueberblick[[#This Row],[Lastgänge / Lastblöcke berücksichtigt?]]</f>
        <v>0</v>
      </c>
      <c r="G23" s="132">
        <f>Ueberblick[[#This Row],[Zeitverfügbarkeitszeitreihen generiert?]]</f>
        <v>0.5</v>
      </c>
      <c r="H23" s="82" t="str">
        <f>Ueberblick[[#This Row],[Quellen Zeitverfügbarkeit]]</f>
        <v>S. 412-425</v>
      </c>
    </row>
    <row r="24" spans="1:8" s="11" customFormat="1" x14ac:dyDescent="0.25">
      <c r="A24" s="6" t="str">
        <f>Ueberblick[[#This Row],[Kürzel]]</f>
        <v>Mue19</v>
      </c>
      <c r="B24" s="132">
        <f>Ueberblick[[#This Row],[Benutzungsstunden / Auslastungsgrade angegeben?]]</f>
        <v>1</v>
      </c>
      <c r="C24" s="132">
        <f>Ueberblick[[#This Row],[Saisonalität berücksichtigt?]]</f>
        <v>1</v>
      </c>
      <c r="D24" s="132">
        <f>Ueberblick[[#This Row],[Tageszeitliche Abhängigkeit berücksichtigt?]]</f>
        <v>1</v>
      </c>
      <c r="E24" s="132">
        <f>Ueberblick[[#This Row],[Temperaturabhängigkeit berücksichtigt?]]</f>
        <v>1</v>
      </c>
      <c r="F24" s="132">
        <f>Ueberblick[[#This Row],[Lastgänge / Lastblöcke berücksichtigt?]]</f>
        <v>1</v>
      </c>
      <c r="G24" s="132">
        <f>Ueberblick[[#This Row],[Zeitverfügbarkeitszeitreihen generiert?]]</f>
        <v>1</v>
      </c>
      <c r="H24" s="82" t="str">
        <f>Ueberblick[[#This Row],[Quellen Zeitverfügbarkeit]]</f>
        <v>4-8</v>
      </c>
    </row>
    <row r="25" spans="1:8" x14ac:dyDescent="0.25">
      <c r="A25" s="6" t="str">
        <f>Ueberblick[[#This Row],[Kürzel]]</f>
        <v>Pau11</v>
      </c>
      <c r="B25" s="132">
        <f>Ueberblick[[#This Row],[Benutzungsstunden / Auslastungsgrade angegeben?]]</f>
        <v>1</v>
      </c>
      <c r="C25" s="132">
        <f>Ueberblick[[#This Row],[Saisonalität berücksichtigt?]]</f>
        <v>0</v>
      </c>
      <c r="D25" s="132">
        <f>Ueberblick[[#This Row],[Tageszeitliche Abhängigkeit berücksichtigt?]]</f>
        <v>0</v>
      </c>
      <c r="E25" s="132">
        <f>Ueberblick[[#This Row],[Temperaturabhängigkeit berücksichtigt?]]</f>
        <v>0</v>
      </c>
      <c r="F25" s="132">
        <f>Ueberblick[[#This Row],[Lastgänge / Lastblöcke berücksichtigt?]]</f>
        <v>0</v>
      </c>
      <c r="G25" s="132">
        <f>Ueberblick[[#This Row],[Zeitverfügbarkeitszeitreihen generiert?]]</f>
        <v>0.5</v>
      </c>
      <c r="H25" s="82" t="str">
        <f>Ueberblick[[#This Row],[Quellen Zeitverfügbarkeit]]</f>
        <v>S. 434-435, 437</v>
      </c>
    </row>
    <row r="26" spans="1:8" s="11" customFormat="1" x14ac:dyDescent="0.25">
      <c r="A26" s="6" t="str">
        <f>Ueberblick[[#This Row],[Kürzel]]</f>
        <v>Pel16</v>
      </c>
      <c r="B26" s="132">
        <f>Ueberblick[[#This Row],[Benutzungsstunden / Auslastungsgrade angegeben?]]</f>
        <v>1</v>
      </c>
      <c r="C26" s="132">
        <f>Ueberblick[[#This Row],[Saisonalität berücksichtigt?]]</f>
        <v>1</v>
      </c>
      <c r="D26" s="132">
        <f>Ueberblick[[#This Row],[Tageszeitliche Abhängigkeit berücksichtigt?]]</f>
        <v>1</v>
      </c>
      <c r="E26" s="132">
        <f>Ueberblick[[#This Row],[Temperaturabhängigkeit berücksichtigt?]]</f>
        <v>1</v>
      </c>
      <c r="F26" s="132">
        <f>Ueberblick[[#This Row],[Lastgänge / Lastblöcke berücksichtigt?]]</f>
        <v>1</v>
      </c>
      <c r="G26" s="132">
        <f>Ueberblick[[#This Row],[Zeitverfügbarkeitszeitreihen generiert?]]</f>
        <v>0</v>
      </c>
      <c r="H26" s="82" t="str">
        <f>Ueberblick[[#This Row],[Quellen Zeitverfügbarkeit]]</f>
        <v>S. 88-93, 97-98, 101, 103, 108-109, 137-139, 209-213</v>
      </c>
    </row>
    <row r="27" spans="1:8" s="11" customFormat="1" x14ac:dyDescent="0.25">
      <c r="A27" s="6" t="str">
        <f>Ueberblick[[#This Row],[Kürzel]]</f>
        <v>r2b14</v>
      </c>
      <c r="B27" s="132">
        <f>Ueberblick[[#This Row],[Benutzungsstunden / Auslastungsgrade angegeben?]]</f>
        <v>0</v>
      </c>
      <c r="C27" s="132">
        <f>Ueberblick[[#This Row],[Saisonalität berücksichtigt?]]</f>
        <v>0</v>
      </c>
      <c r="D27" s="132">
        <f>Ueberblick[[#This Row],[Tageszeitliche Abhängigkeit berücksichtigt?]]</f>
        <v>0</v>
      </c>
      <c r="E27" s="132">
        <f>Ueberblick[[#This Row],[Temperaturabhängigkeit berücksichtigt?]]</f>
        <v>0</v>
      </c>
      <c r="F27" s="132">
        <f>Ueberblick[[#This Row],[Lastgänge / Lastblöcke berücksichtigt?]]</f>
        <v>0</v>
      </c>
      <c r="G27" s="132">
        <f>Ueberblick[[#This Row],[Zeitverfügbarkeitszeitreihen generiert?]]</f>
        <v>0</v>
      </c>
      <c r="H27" s="82" t="str">
        <f>Ueberblick[[#This Row],[Quellen Zeitverfügbarkeit]]</f>
        <v>keine (i.e.S.)</v>
      </c>
    </row>
    <row r="28" spans="1:8" s="11" customFormat="1" x14ac:dyDescent="0.25">
      <c r="A28" s="6" t="str">
        <f>Ueberblick[[#This Row],[Kürzel]]</f>
        <v>Roo10</v>
      </c>
      <c r="B28" s="132">
        <f>Ueberblick[[#This Row],[Benutzungsstunden / Auslastungsgrade angegeben?]]</f>
        <v>0</v>
      </c>
      <c r="C28" s="132">
        <f>Ueberblick[[#This Row],[Saisonalität berücksichtigt?]]</f>
        <v>0</v>
      </c>
      <c r="D28" s="132">
        <f>Ueberblick[[#This Row],[Tageszeitliche Abhängigkeit berücksichtigt?]]</f>
        <v>0</v>
      </c>
      <c r="E28" s="132">
        <f>Ueberblick[[#This Row],[Temperaturabhängigkeit berücksichtigt?]]</f>
        <v>0</v>
      </c>
      <c r="F28" s="132">
        <f>Ueberblick[[#This Row],[Lastgänge / Lastblöcke berücksichtigt?]]</f>
        <v>0</v>
      </c>
      <c r="G28" s="132">
        <f>Ueberblick[[#This Row],[Zeitverfügbarkeitszeitreihen generiert?]]</f>
        <v>0</v>
      </c>
      <c r="H28" s="82" t="str">
        <f>Ueberblick[[#This Row],[Quellen Zeitverfügbarkeit]]</f>
        <v>keine (i.e.S.)</v>
      </c>
    </row>
    <row r="29" spans="1:8" s="11" customFormat="1" x14ac:dyDescent="0.25">
      <c r="A29" s="6" t="str">
        <f>Ueberblick[[#This Row],[Kürzel]]</f>
        <v>Sau19</v>
      </c>
      <c r="B29" s="132">
        <f>Ueberblick[[#This Row],[Benutzungsstunden / Auslastungsgrade angegeben?]]</f>
        <v>1</v>
      </c>
      <c r="C29" s="132">
        <f>Ueberblick[[#This Row],[Saisonalität berücksichtigt?]]</f>
        <v>1</v>
      </c>
      <c r="D29" s="132">
        <f>Ueberblick[[#This Row],[Tageszeitliche Abhängigkeit berücksichtigt?]]</f>
        <v>1</v>
      </c>
      <c r="E29" s="132">
        <f>Ueberblick[[#This Row],[Temperaturabhängigkeit berücksichtigt?]]</f>
        <v>0.5</v>
      </c>
      <c r="F29" s="132">
        <f>Ueberblick[[#This Row],[Lastgänge / Lastblöcke berücksichtigt?]]</f>
        <v>1</v>
      </c>
      <c r="G29" s="132">
        <f>Ueberblick[[#This Row],[Zeitverfügbarkeitszeitreihen generiert?]]</f>
        <v>0</v>
      </c>
      <c r="H29" s="82" t="str">
        <f>Ueberblick[[#This Row],[Quellen Zeitverfügbarkeit]]</f>
        <v>447ff.</v>
      </c>
    </row>
    <row r="30" spans="1:8" s="11" customFormat="1" x14ac:dyDescent="0.25">
      <c r="A30" s="6" t="str">
        <f>Ueberblick[[#This Row],[Kürzel]]</f>
        <v>Sch14</v>
      </c>
      <c r="B30" s="132">
        <f>Ueberblick[[#This Row],[Benutzungsstunden / Auslastungsgrade angegeben?]]</f>
        <v>1</v>
      </c>
      <c r="C30" s="132">
        <f>Ueberblick[[#This Row],[Saisonalität berücksichtigt?]]</f>
        <v>1</v>
      </c>
      <c r="D30" s="132">
        <f>Ueberblick[[#This Row],[Tageszeitliche Abhängigkeit berücksichtigt?]]</f>
        <v>1</v>
      </c>
      <c r="E30" s="132">
        <f>Ueberblick[[#This Row],[Temperaturabhängigkeit berücksichtigt?]]</f>
        <v>1</v>
      </c>
      <c r="F30" s="132">
        <f>Ueberblick[[#This Row],[Lastgänge / Lastblöcke berücksichtigt?]]</f>
        <v>1</v>
      </c>
      <c r="G30" s="132">
        <f>Ueberblick[[#This Row],[Zeitverfügbarkeitszeitreihen generiert?]]</f>
        <v>1</v>
      </c>
      <c r="H30" s="82" t="str">
        <f>Ueberblick[[#This Row],[Quellen Zeitverfügbarkeit]]</f>
        <v>S. 50-55</v>
      </c>
    </row>
    <row r="31" spans="1:8" s="11" customFormat="1" x14ac:dyDescent="0.25">
      <c r="A31" s="6" t="str">
        <f>Ueberblick[[#This Row],[Kürzel]]</f>
        <v>Sta06</v>
      </c>
      <c r="B31" s="132">
        <f>Ueberblick[[#This Row],[Benutzungsstunden / Auslastungsgrade angegeben?]]</f>
        <v>0</v>
      </c>
      <c r="C31" s="132">
        <f>Ueberblick[[#This Row],[Saisonalität berücksichtigt?]]</f>
        <v>1</v>
      </c>
      <c r="D31" s="132">
        <f>Ueberblick[[#This Row],[Tageszeitliche Abhängigkeit berücksichtigt?]]</f>
        <v>1</v>
      </c>
      <c r="E31" s="132">
        <f>Ueberblick[[#This Row],[Temperaturabhängigkeit berücksichtigt?]]</f>
        <v>1</v>
      </c>
      <c r="F31" s="132">
        <f>Ueberblick[[#This Row],[Lastgänge / Lastblöcke berücksichtigt?]]</f>
        <v>1</v>
      </c>
      <c r="G31" s="132">
        <f>Ueberblick[[#This Row],[Zeitverfügbarkeitszeitreihen generiert?]]</f>
        <v>0</v>
      </c>
      <c r="H31" s="82" t="str">
        <f>Ueberblick[[#This Row],[Quellen Zeitverfügbarkeit]]</f>
        <v>S. 49-53, 66, 92, 96-97, 114, 168-170</v>
      </c>
    </row>
    <row r="32" spans="1:8" s="11" customFormat="1" x14ac:dyDescent="0.25">
      <c r="A32" s="6" t="str">
        <f>Ueberblick[[#This Row],[Kürzel]]</f>
        <v>Ste17</v>
      </c>
      <c r="B32" s="132">
        <f>Ueberblick[[#This Row],[Benutzungsstunden / Auslastungsgrade angegeben?]]</f>
        <v>1</v>
      </c>
      <c r="C32" s="132">
        <f>Ueberblick[[#This Row],[Saisonalität berücksichtigt?]]</f>
        <v>1</v>
      </c>
      <c r="D32" s="132">
        <f>Ueberblick[[#This Row],[Tageszeitliche Abhängigkeit berücksichtigt?]]</f>
        <v>1</v>
      </c>
      <c r="E32" s="132">
        <f>Ueberblick[[#This Row],[Temperaturabhängigkeit berücksichtigt?]]</f>
        <v>1</v>
      </c>
      <c r="F32" s="132">
        <f>Ueberblick[[#This Row],[Lastgänge / Lastblöcke berücksichtigt?]]</f>
        <v>1</v>
      </c>
      <c r="G32" s="132">
        <f>Ueberblick[[#This Row],[Zeitverfügbarkeitszeitreihen generiert?]]</f>
        <v>1</v>
      </c>
      <c r="H32" s="82" t="str">
        <f>Ueberblick[[#This Row],[Quellen Zeitverfügbarkeit]]</f>
        <v>S. 71-73, 164-213</v>
      </c>
    </row>
    <row r="33" spans="1:8" s="11" customFormat="1" x14ac:dyDescent="0.25">
      <c r="A33" s="6" t="str">
        <f>Ueberblick[[#This Row],[Kürzel]]</f>
        <v>Sty15</v>
      </c>
      <c r="B33" s="132">
        <f>Ueberblick[[#This Row],[Benutzungsstunden / Auslastungsgrade angegeben?]]</f>
        <v>1</v>
      </c>
      <c r="C33" s="132">
        <f>Ueberblick[[#This Row],[Saisonalität berücksichtigt?]]</f>
        <v>1</v>
      </c>
      <c r="D33" s="132">
        <f>Ueberblick[[#This Row],[Tageszeitliche Abhängigkeit berücksichtigt?]]</f>
        <v>1</v>
      </c>
      <c r="E33" s="132">
        <f>Ueberblick[[#This Row],[Temperaturabhängigkeit berücksichtigt?]]</f>
        <v>1</v>
      </c>
      <c r="F33" s="132">
        <f>Ueberblick[[#This Row],[Lastgänge / Lastblöcke berücksichtigt?]]</f>
        <v>0</v>
      </c>
      <c r="G33" s="132">
        <f>Ueberblick[[#This Row],[Zeitverfügbarkeitszeitreihen generiert?]]</f>
        <v>0</v>
      </c>
      <c r="H33" s="82" t="str">
        <f>Ueberblick[[#This Row],[Quellen Zeitverfügbarkeit]]</f>
        <v>S. 13-22, 31-37</v>
      </c>
    </row>
    <row r="34" spans="1:8" s="11" customFormat="1" x14ac:dyDescent="0.25">
      <c r="A34" s="6" t="str">
        <f>Ueberblick[[#This Row],[Kürzel]]</f>
        <v>Woh20</v>
      </c>
      <c r="B34" s="132">
        <f>Ueberblick[[#This Row],[Benutzungsstunden / Auslastungsgrade angegeben?]]</f>
        <v>0</v>
      </c>
      <c r="C34" s="132">
        <f>Ueberblick[[#This Row],[Saisonalität berücksichtigt?]]</f>
        <v>0</v>
      </c>
      <c r="D34" s="132">
        <f>Ueberblick[[#This Row],[Tageszeitliche Abhängigkeit berücksichtigt?]]</f>
        <v>0</v>
      </c>
      <c r="E34" s="132">
        <f>Ueberblick[[#This Row],[Temperaturabhängigkeit berücksichtigt?]]</f>
        <v>0</v>
      </c>
      <c r="F34" s="132">
        <f>Ueberblick[[#This Row],[Lastgänge / Lastblöcke berücksichtigt?]]</f>
        <v>0</v>
      </c>
      <c r="G34" s="132">
        <f>Ueberblick[[#This Row],[Zeitverfügbarkeitszeitreihen generiert?]]</f>
        <v>0</v>
      </c>
      <c r="H34" s="82" t="str">
        <f>Ueberblick[[#This Row],[Quellen Zeitverfügbarkeit]]</f>
        <v>-</v>
      </c>
    </row>
    <row r="35" spans="1:8" x14ac:dyDescent="0.25">
      <c r="A35" s="52" t="s">
        <v>853</v>
      </c>
      <c r="B35" s="133">
        <f>SUM(B3:B34)</f>
        <v>19</v>
      </c>
      <c r="C35" s="42">
        <f>SUM(C3:C34)</f>
        <v>18.5</v>
      </c>
      <c r="D35" s="42">
        <f>SUM(D3:D34)</f>
        <v>19</v>
      </c>
      <c r="E35" s="42">
        <f>SUM(E3:E34)</f>
        <v>17</v>
      </c>
      <c r="F35" s="42">
        <f>SUM(F3:F34)</f>
        <v>16</v>
      </c>
      <c r="G35" s="42">
        <f>SUM(G3:G34)</f>
        <v>10.5</v>
      </c>
      <c r="H35" s="16">
        <f>SUM(H3:H34)</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1422</v>
      </c>
      <c r="C2" s="4" t="s">
        <v>1421</v>
      </c>
      <c r="D2" s="4" t="s">
        <v>1423</v>
      </c>
      <c r="E2" s="4" t="s">
        <v>1424</v>
      </c>
      <c r="F2" s="4" t="s">
        <v>1425</v>
      </c>
      <c r="G2" s="4" t="s">
        <v>1426</v>
      </c>
      <c r="H2" s="4" t="s">
        <v>1398</v>
      </c>
    </row>
    <row r="3" spans="1:8" x14ac:dyDescent="0.25">
      <c r="A3" s="6" t="str">
        <f>Ueberblick451[[#This Row],[Kurzbeleg]]</f>
        <v>Ape12</v>
      </c>
      <c r="B3" s="132" t="str">
        <f>VLOOKUP(Ueberblick451[[#This Row],[Benutzungsstunden / 
Auslastung]],Dropdown!$A$2:$D$4,4,FALSE)</f>
        <v>X</v>
      </c>
      <c r="C3" s="132" t="str">
        <f>VLOOKUP(Ueberblick451[[#This Row],[Saisonalität]],Dropdown!$A$2:$D$4,4,FALSE)</f>
        <v>X</v>
      </c>
      <c r="D3" s="132" t="str">
        <f>VLOOKUP(Ueberblick451[[#This Row],[Tageszeit]],Dropdown!$A$2:$D$4,4,FALSE)</f>
        <v>X</v>
      </c>
      <c r="E3" s="132" t="str">
        <f>VLOOKUP(Ueberblick451[[#This Row],[Temperaturabhängigkeit]],Dropdown!$A$2:$D$4,4,FALSE)</f>
        <v>(X)</v>
      </c>
      <c r="F3" s="132" t="str">
        <f>VLOOKUP(Ueberblick451[[#This Row],[Lastgänge / Lastblöcke]],Dropdown!$A$2:$D$4,4,FALSE)</f>
        <v>X</v>
      </c>
      <c r="G3" s="132" t="str">
        <f>VLOOKUP(Ueberblick451[[#This Row],[Zeitverfügbarkeitszeitreihen]],Dropdown!$A$2:$D$4,4,FALSE)</f>
        <v>-</v>
      </c>
      <c r="H3" s="82" t="str">
        <f>Ueberblick[[#This Row],[Quellen Zeitverfügbarkeit]]</f>
        <v>S. 34-58</v>
      </c>
    </row>
    <row r="4" spans="1:8" x14ac:dyDescent="0.25">
      <c r="A4" s="6" t="str">
        <f>Ueberblick451[[#This Row],[Kurzbeleg]]</f>
        <v>Ary17</v>
      </c>
      <c r="B4" s="132" t="str">
        <f>VLOOKUP(Ueberblick451[[#This Row],[Benutzungsstunden / 
Auslastung]],Dropdown!$A$2:$D$4,4,FALSE)</f>
        <v>-</v>
      </c>
      <c r="C4" s="132" t="str">
        <f>VLOOKUP(Ueberblick451[[#This Row],[Saisonalität]],Dropdown!$A$2:$D$4,4,FALSE)</f>
        <v>X</v>
      </c>
      <c r="D4" s="132" t="str">
        <f>VLOOKUP(Ueberblick451[[#This Row],[Tageszeit]],Dropdown!$A$2:$D$4,4,FALSE)</f>
        <v>X</v>
      </c>
      <c r="E4" s="132" t="str">
        <f>VLOOKUP(Ueberblick451[[#This Row],[Temperaturabhängigkeit]],Dropdown!$A$2:$D$4,4,FALSE)</f>
        <v>X</v>
      </c>
      <c r="F4" s="132" t="str">
        <f>VLOOKUP(Ueberblick451[[#This Row],[Lastgänge / Lastblöcke]],Dropdown!$A$2:$D$4,4,FALSE)</f>
        <v>X</v>
      </c>
      <c r="G4" s="132" t="str">
        <f>VLOOKUP(Ueberblick451[[#This Row],[Zeitverfügbarkeitszeitreihen]],Dropdown!$A$2:$D$4,4,FALSE)</f>
        <v>X</v>
      </c>
      <c r="H4" s="82" t="str">
        <f>Ueberblick[[#This Row],[Quellen Zeitverfügbarkeit]]</f>
        <v>im gesamten Artikel; zudem: Zeitreihen im Supplementary Material</v>
      </c>
    </row>
    <row r="5" spans="1:8" s="11" customFormat="1" x14ac:dyDescent="0.25">
      <c r="A5" s="6" t="str">
        <f>Ueberblick451[[#This Row],[Kurzbeleg]]</f>
        <v>Aus18</v>
      </c>
      <c r="B5" s="132" t="str">
        <f>VLOOKUP(Ueberblick451[[#This Row],[Benutzungsstunden / 
Auslastung]],Dropdown!$A$2:$D$4,4,FALSE)</f>
        <v>X</v>
      </c>
      <c r="C5" s="132" t="str">
        <f>VLOOKUP(Ueberblick451[[#This Row],[Saisonalität]],Dropdown!$A$2:$D$4,4,FALSE)</f>
        <v>X</v>
      </c>
      <c r="D5" s="132" t="str">
        <f>VLOOKUP(Ueberblick451[[#This Row],[Tageszeit]],Dropdown!$A$2:$D$4,4,FALSE)</f>
        <v>X</v>
      </c>
      <c r="E5" s="132" t="str">
        <f>VLOOKUP(Ueberblick451[[#This Row],[Temperaturabhängigkeit]],Dropdown!$A$2:$D$4,4,FALSE)</f>
        <v>(X)</v>
      </c>
      <c r="F5" s="132" t="str">
        <f>VLOOKUP(Ueberblick451[[#This Row],[Lastgänge / Lastblöcke]],Dropdown!$A$2:$D$4,4,FALSE)</f>
        <v>X</v>
      </c>
      <c r="G5" s="132" t="str">
        <f>VLOOKUP(Ueberblick451[[#This Row],[Zeitverfügbarkeitszeitreihen]],Dropdown!$A$2:$D$4,4,FALSE)</f>
        <v>-</v>
      </c>
      <c r="H5" s="82" t="str">
        <f>Ueberblick[[#This Row],[Quellen Zeitverfügbarkeit]]</f>
        <v>47ff.</v>
      </c>
    </row>
    <row r="6" spans="1:8" s="11" customFormat="1" x14ac:dyDescent="0.25">
      <c r="A6" s="6" t="str">
        <f>Ueberblick451[[#This Row],[Kurzbeleg]]</f>
        <v>Blu13</v>
      </c>
      <c r="B6" s="132" t="str">
        <f>VLOOKUP(Ueberblick451[[#This Row],[Benutzungsstunden / 
Auslastung]],Dropdown!$A$2:$D$4,4,FALSE)</f>
        <v>X</v>
      </c>
      <c r="C6" s="132" t="str">
        <f>VLOOKUP(Ueberblick451[[#This Row],[Saisonalität]],Dropdown!$A$2:$D$4,4,FALSE)</f>
        <v>-</v>
      </c>
      <c r="D6" s="132" t="str">
        <f>VLOOKUP(Ueberblick451[[#This Row],[Tageszeit]],Dropdown!$A$2:$D$4,4,FALSE)</f>
        <v>-</v>
      </c>
      <c r="E6" s="132" t="str">
        <f>VLOOKUP(Ueberblick451[[#This Row],[Temperaturabhängigkeit]],Dropdown!$A$2:$D$4,4,FALSE)</f>
        <v>-</v>
      </c>
      <c r="F6" s="132" t="str">
        <f>VLOOKUP(Ueberblick451[[#This Row],[Lastgänge / Lastblöcke]],Dropdown!$A$2:$D$4,4,FALSE)</f>
        <v>-</v>
      </c>
      <c r="G6" s="132" t="str">
        <f>VLOOKUP(Ueberblick451[[#This Row],[Zeitverfügbarkeitszeitreihen]],Dropdown!$A$2:$D$4,4,FALSE)</f>
        <v>-</v>
      </c>
      <c r="H6" s="82" t="str">
        <f>Ueberblick[[#This Row],[Quellen Zeitverfügbarkeit]]</f>
        <v>-</v>
      </c>
    </row>
    <row r="7" spans="1:8" s="11" customFormat="1" x14ac:dyDescent="0.25">
      <c r="A7" s="6" t="str">
        <f>Ueberblick451[[#This Row],[Kurzbeleg]]</f>
        <v>Foc11</v>
      </c>
      <c r="B7" s="132" t="str">
        <f>VLOOKUP(Ueberblick451[[#This Row],[Benutzungsstunden / 
Auslastung]],Dropdown!$A$2:$D$4,4,FALSE)</f>
        <v>(X)</v>
      </c>
      <c r="C7" s="132" t="str">
        <f>VLOOKUP(Ueberblick451[[#This Row],[Saisonalität]],Dropdown!$A$2:$D$4,4,FALSE)</f>
        <v>(X)</v>
      </c>
      <c r="D7" s="132" t="str">
        <f>VLOOKUP(Ueberblick451[[#This Row],[Tageszeit]],Dropdown!$A$2:$D$4,4,FALSE)</f>
        <v>X</v>
      </c>
      <c r="E7" s="132" t="str">
        <f>VLOOKUP(Ueberblick451[[#This Row],[Temperaturabhängigkeit]],Dropdown!$A$2:$D$4,4,FALSE)</f>
        <v>-</v>
      </c>
      <c r="F7" s="132" t="str">
        <f>VLOOKUP(Ueberblick451[[#This Row],[Lastgänge / Lastblöcke]],Dropdown!$A$2:$D$4,4,FALSE)</f>
        <v>X</v>
      </c>
      <c r="G7" s="132" t="str">
        <f>VLOOKUP(Ueberblick451[[#This Row],[Zeitverfügbarkeitszeitreihen]],Dropdown!$A$2:$D$4,4,FALSE)</f>
        <v>-</v>
      </c>
      <c r="H7" s="82" t="str">
        <f>Ueberblick[[#This Row],[Quellen Zeitverfügbarkeit]]</f>
        <v>S. 59-99</v>
      </c>
    </row>
    <row r="8" spans="1:8" s="11" customFormat="1" x14ac:dyDescent="0.25">
      <c r="A8" s="6" t="str">
        <f>Ueberblick451[[#This Row],[Kurzbeleg]]</f>
        <v>Gil15</v>
      </c>
      <c r="B8" s="132" t="str">
        <f>VLOOKUP(Ueberblick451[[#This Row],[Benutzungsstunden / 
Auslastung]],Dropdown!$A$2:$D$4,4,FALSE)</f>
        <v>X</v>
      </c>
      <c r="C8" s="132" t="str">
        <f>VLOOKUP(Ueberblick451[[#This Row],[Saisonalität]],Dropdown!$A$2:$D$4,4,FALSE)</f>
        <v>X</v>
      </c>
      <c r="D8" s="132" t="str">
        <f>VLOOKUP(Ueberblick451[[#This Row],[Tageszeit]],Dropdown!$A$2:$D$4,4,FALSE)</f>
        <v>X</v>
      </c>
      <c r="E8" s="132" t="str">
        <f>VLOOKUP(Ueberblick451[[#This Row],[Temperaturabhängigkeit]],Dropdown!$A$2:$D$4,4,FALSE)</f>
        <v>X</v>
      </c>
      <c r="F8" s="132" t="str">
        <f>VLOOKUP(Ueberblick451[[#This Row],[Lastgänge / Lastblöcke]],Dropdown!$A$2:$D$4,4,FALSE)</f>
        <v>X</v>
      </c>
      <c r="G8" s="132" t="str">
        <f>VLOOKUP(Ueberblick451[[#This Row],[Zeitverfügbarkeitszeitreihen]],Dropdown!$A$2:$D$4,4,FALSE)</f>
        <v>X</v>
      </c>
      <c r="H8" s="82" t="str">
        <f>Ueberblick[[#This Row],[Quellen Zeitverfügbarkeit]]</f>
        <v>S. 13, 16-17</v>
      </c>
    </row>
    <row r="9" spans="1:8" x14ac:dyDescent="0.25">
      <c r="A9" s="6" t="str">
        <f>Ueberblick451[[#This Row],[Kurzbeleg]]</f>
        <v>Gob12</v>
      </c>
      <c r="B9" s="132" t="str">
        <f>VLOOKUP(Ueberblick451[[#This Row],[Benutzungsstunden / 
Auslastung]],Dropdown!$A$2:$D$4,4,FALSE)</f>
        <v>-</v>
      </c>
      <c r="C9" s="132" t="str">
        <f>VLOOKUP(Ueberblick451[[#This Row],[Saisonalität]],Dropdown!$A$2:$D$4,4,FALSE)</f>
        <v>-</v>
      </c>
      <c r="D9" s="132" t="str">
        <f>VLOOKUP(Ueberblick451[[#This Row],[Tageszeit]],Dropdown!$A$2:$D$4,4,FALSE)</f>
        <v>-</v>
      </c>
      <c r="E9" s="132" t="str">
        <f>VLOOKUP(Ueberblick451[[#This Row],[Temperaturabhängigkeit]],Dropdown!$A$2:$D$4,4,FALSE)</f>
        <v>-</v>
      </c>
      <c r="F9" s="132" t="str">
        <f>VLOOKUP(Ueberblick451[[#This Row],[Lastgänge / Lastblöcke]],Dropdown!$A$2:$D$4,4,FALSE)</f>
        <v>-</v>
      </c>
      <c r="G9" s="132" t="str">
        <f>VLOOKUP(Ueberblick451[[#This Row],[Zeitverfügbarkeitszeitreihen]],Dropdown!$A$2:$D$4,4,FALSE)</f>
        <v>-</v>
      </c>
      <c r="H9" s="82" t="str">
        <f>Ueberblick[[#This Row],[Quellen Zeitverfügbarkeit]]</f>
        <v>keine (i.e.S.)</v>
      </c>
    </row>
    <row r="10" spans="1:8" x14ac:dyDescent="0.25">
      <c r="A10" s="6" t="str">
        <f>Ueberblick451[[#This Row],[Kurzbeleg]]</f>
        <v>Gro13</v>
      </c>
      <c r="B10" s="132" t="str">
        <f>VLOOKUP(Ueberblick451[[#This Row],[Benutzungsstunden / 
Auslastung]],Dropdown!$A$2:$D$4,4,FALSE)</f>
        <v>-</v>
      </c>
      <c r="C10" s="132" t="str">
        <f>VLOOKUP(Ueberblick451[[#This Row],[Saisonalität]],Dropdown!$A$2:$D$4,4,FALSE)</f>
        <v>-</v>
      </c>
      <c r="D10" s="132" t="str">
        <f>VLOOKUP(Ueberblick451[[#This Row],[Tageszeit]],Dropdown!$A$2:$D$4,4,FALSE)</f>
        <v>-</v>
      </c>
      <c r="E10" s="132" t="str">
        <f>VLOOKUP(Ueberblick451[[#This Row],[Temperaturabhängigkeit]],Dropdown!$A$2:$D$4,4,FALSE)</f>
        <v>X</v>
      </c>
      <c r="F10" s="132" t="str">
        <f>VLOOKUP(Ueberblick451[[#This Row],[Lastgänge / Lastblöcke]],Dropdown!$A$2:$D$4,4,FALSE)</f>
        <v>-</v>
      </c>
      <c r="G10" s="132" t="str">
        <f>VLOOKUP(Ueberblick451[[#This Row],[Zeitverfügbarkeitszeitreihen]],Dropdown!$A$2:$D$4,4,FALSE)</f>
        <v>X</v>
      </c>
      <c r="H10" s="82" t="str">
        <f>Ueberblick[[#This Row],[Quellen Zeitverfügbarkeit]]</f>
        <v>S. 34</v>
      </c>
    </row>
    <row r="11" spans="1:8" s="11" customFormat="1" x14ac:dyDescent="0.25">
      <c r="A11" s="6" t="str">
        <f>Ueberblick451[[#This Row],[Kurzbeleg]]</f>
        <v>Gru17</v>
      </c>
      <c r="B11" s="132" t="str">
        <f>VLOOKUP(Ueberblick451[[#This Row],[Benutzungsstunden / 
Auslastung]],Dropdown!$A$2:$D$4,4,FALSE)</f>
        <v>X</v>
      </c>
      <c r="C11" s="132" t="str">
        <f>VLOOKUP(Ueberblick451[[#This Row],[Saisonalität]],Dropdown!$A$2:$D$4,4,FALSE)</f>
        <v>X</v>
      </c>
      <c r="D11" s="132" t="str">
        <f>VLOOKUP(Ueberblick451[[#This Row],[Tageszeit]],Dropdown!$A$2:$D$4,4,FALSE)</f>
        <v>X</v>
      </c>
      <c r="E11" s="132" t="str">
        <f>VLOOKUP(Ueberblick451[[#This Row],[Temperaturabhängigkeit]],Dropdown!$A$2:$D$4,4,FALSE)</f>
        <v>-</v>
      </c>
      <c r="F11" s="132" t="str">
        <f>VLOOKUP(Ueberblick451[[#This Row],[Lastgänge / Lastblöcke]],Dropdown!$A$2:$D$4,4,FALSE)</f>
        <v>(X)</v>
      </c>
      <c r="G11" s="132" t="str">
        <f>VLOOKUP(Ueberblick451[[#This Row],[Zeitverfügbarkeitszeitreihen]],Dropdown!$A$2:$D$4,4,FALSE)</f>
        <v>-</v>
      </c>
      <c r="H11" s="82" t="str">
        <f>Ueberblick[[#This Row],[Quellen Zeitverfügbarkeit]]</f>
        <v>S. 22, 63-64, 100-104</v>
      </c>
    </row>
    <row r="12" spans="1:8" s="11" customFormat="1" x14ac:dyDescent="0.25">
      <c r="A12" s="6" t="str">
        <f>Ueberblick451[[#This Row],[Kurzbeleg]]</f>
        <v>Haa17</v>
      </c>
      <c r="B12" s="132" t="str">
        <f>VLOOKUP(Ueberblick451[[#This Row],[Benutzungsstunden / 
Auslastung]],Dropdown!$A$2:$D$4,4,FALSE)</f>
        <v>-</v>
      </c>
      <c r="C12" s="132" t="str">
        <f>VLOOKUP(Ueberblick451[[#This Row],[Saisonalität]],Dropdown!$A$2:$D$4,4,FALSE)</f>
        <v>X</v>
      </c>
      <c r="D12" s="132" t="str">
        <f>VLOOKUP(Ueberblick451[[#This Row],[Tageszeit]],Dropdown!$A$2:$D$4,4,FALSE)</f>
        <v>-</v>
      </c>
      <c r="E12" s="132" t="str">
        <f>VLOOKUP(Ueberblick451[[#This Row],[Temperaturabhängigkeit]],Dropdown!$A$2:$D$4,4,FALSE)</f>
        <v>X</v>
      </c>
      <c r="F12" s="132" t="str">
        <f>VLOOKUP(Ueberblick451[[#This Row],[Lastgänge / Lastblöcke]],Dropdown!$A$2:$D$4,4,FALSE)</f>
        <v>X</v>
      </c>
      <c r="G12" s="132" t="str">
        <f>VLOOKUP(Ueberblick451[[#This Row],[Zeitverfügbarkeitszeitreihen]],Dropdown!$A$2:$D$4,4,FALSE)</f>
        <v>(X)</v>
      </c>
      <c r="H12" s="82" t="str">
        <f>Ueberblick[[#This Row],[Quellen Zeitverfügbarkeit]]</f>
        <v>S. 65-81</v>
      </c>
    </row>
    <row r="13" spans="1:8" x14ac:dyDescent="0.25">
      <c r="A13" s="6" t="str">
        <f>Ueberblick451[[#This Row],[Kurzbeleg]]</f>
        <v>Hei21</v>
      </c>
      <c r="B13" s="132" t="str">
        <f>VLOOKUP(Ueberblick451[[#This Row],[Benutzungsstunden / 
Auslastung]],Dropdown!$A$2:$D$4,4,FALSE)</f>
        <v>X</v>
      </c>
      <c r="C13" s="132" t="str">
        <f>VLOOKUP(Ueberblick451[[#This Row],[Saisonalität]],Dropdown!$A$2:$D$4,4,FALSE)</f>
        <v>X</v>
      </c>
      <c r="D13" s="132" t="str">
        <f>VLOOKUP(Ueberblick451[[#This Row],[Tageszeit]],Dropdown!$A$2:$D$4,4,FALSE)</f>
        <v>X</v>
      </c>
      <c r="E13" s="132" t="str">
        <f>VLOOKUP(Ueberblick451[[#This Row],[Temperaturabhängigkeit]],Dropdown!$A$2:$D$4,4,FALSE)</f>
        <v>X</v>
      </c>
      <c r="F13" s="132" t="str">
        <f>VLOOKUP(Ueberblick451[[#This Row],[Lastgänge / Lastblöcke]],Dropdown!$A$2:$D$4,4,FALSE)</f>
        <v>X</v>
      </c>
      <c r="G13" s="132" t="str">
        <f>VLOOKUP(Ueberblick451[[#This Row],[Zeitverfügbarkeitszeitreihen]],Dropdown!$A$2:$D$4,4,FALSE)</f>
        <v>X</v>
      </c>
      <c r="H13" s="82" t="str">
        <f>Ueberblick[[#This Row],[Quellen Zeitverfügbarkeit]]</f>
        <v>100003-10008; supplementary data</v>
      </c>
    </row>
    <row r="14" spans="1:8" s="11" customFormat="1" x14ac:dyDescent="0.25">
      <c r="A14" s="6" t="str">
        <f>Ueberblick451[[#This Row],[Kurzbeleg]]</f>
        <v>Hen15</v>
      </c>
      <c r="B14" s="132" t="str">
        <f>VLOOKUP(Ueberblick451[[#This Row],[Benutzungsstunden / 
Auslastung]],Dropdown!$A$2:$D$4,4,FALSE)</f>
        <v>X</v>
      </c>
      <c r="C14" s="132" t="str">
        <f>VLOOKUP(Ueberblick451[[#This Row],[Saisonalität]],Dropdown!$A$2:$D$4,4,FALSE)</f>
        <v>(X)</v>
      </c>
      <c r="D14" s="132" t="str">
        <f>VLOOKUP(Ueberblick451[[#This Row],[Tageszeit]],Dropdown!$A$2:$D$4,4,FALSE)</f>
        <v>-</v>
      </c>
      <c r="E14" s="132" t="str">
        <f>VLOOKUP(Ueberblick451[[#This Row],[Temperaturabhängigkeit]],Dropdown!$A$2:$D$4,4,FALSE)</f>
        <v>-</v>
      </c>
      <c r="F14" s="132" t="str">
        <f>VLOOKUP(Ueberblick451[[#This Row],[Lastgänge / Lastblöcke]],Dropdown!$A$2:$D$4,4,FALSE)</f>
        <v>-</v>
      </c>
      <c r="G14" s="132" t="str">
        <f>VLOOKUP(Ueberblick451[[#This Row],[Zeitverfügbarkeitszeitreihen]],Dropdown!$A$2:$D$4,4,FALSE)</f>
        <v>-</v>
      </c>
      <c r="H14" s="82" t="str">
        <f>Ueberblick[[#This Row],[Quellen Zeitverfügbarkeit]]</f>
        <v>-</v>
      </c>
    </row>
    <row r="15" spans="1:8" x14ac:dyDescent="0.25">
      <c r="A15" s="6" t="str">
        <f>Ueberblick451[[#This Row],[Kurzbeleg]]</f>
        <v>Jet21</v>
      </c>
      <c r="B15" s="132" t="str">
        <f>VLOOKUP(Ueberblick451[[#This Row],[Benutzungsstunden / 
Auslastung]],Dropdown!$A$2:$D$4,4,FALSE)</f>
        <v>X</v>
      </c>
      <c r="C15" s="132" t="str">
        <f>VLOOKUP(Ueberblick451[[#This Row],[Saisonalität]],Dropdown!$A$2:$D$4,4,FALSE)</f>
        <v>X</v>
      </c>
      <c r="D15" s="132" t="str">
        <f>VLOOKUP(Ueberblick451[[#This Row],[Tageszeit]],Dropdown!$A$2:$D$4,4,FALSE)</f>
        <v>X</v>
      </c>
      <c r="E15" s="132" t="str">
        <f>VLOOKUP(Ueberblick451[[#This Row],[Temperaturabhängigkeit]],Dropdown!$A$2:$D$4,4,FALSE)</f>
        <v>X</v>
      </c>
      <c r="F15" s="132" t="str">
        <f>VLOOKUP(Ueberblick451[[#This Row],[Lastgänge / Lastblöcke]],Dropdown!$A$2:$D$4,4,FALSE)</f>
        <v>X</v>
      </c>
      <c r="G15" s="132" t="str">
        <f>VLOOKUP(Ueberblick451[[#This Row],[Zeitverfügbarkeitszeitreihen]],Dropdown!$A$2:$D$4,4,FALSE)</f>
        <v>X</v>
      </c>
      <c r="H15" s="82" t="str">
        <f>Ueberblick[[#This Row],[Quellen Zeitverfügbarkeit]]</f>
        <v>53-55</v>
      </c>
    </row>
    <row r="16" spans="1:8" s="11" customFormat="1" x14ac:dyDescent="0.25">
      <c r="A16" s="6" t="str">
        <f>Ueberblick451[[#This Row],[Kurzbeleg]]</f>
        <v>Klo09</v>
      </c>
      <c r="B16" s="132" t="str">
        <f>VLOOKUP(Ueberblick451[[#This Row],[Benutzungsstunden / 
Auslastung]],Dropdown!$A$2:$D$4,4,FALSE)</f>
        <v>-</v>
      </c>
      <c r="C16" s="132" t="str">
        <f>VLOOKUP(Ueberblick451[[#This Row],[Saisonalität]],Dropdown!$A$2:$D$4,4,FALSE)</f>
        <v>(X)</v>
      </c>
      <c r="D16" s="132" t="str">
        <f>VLOOKUP(Ueberblick451[[#This Row],[Tageszeit]],Dropdown!$A$2:$D$4,4,FALSE)</f>
        <v>(X)</v>
      </c>
      <c r="E16" s="132" t="str">
        <f>VLOOKUP(Ueberblick451[[#This Row],[Temperaturabhängigkeit]],Dropdown!$A$2:$D$4,4,FALSE)</f>
        <v>-</v>
      </c>
      <c r="F16" s="132" t="str">
        <f>VLOOKUP(Ueberblick451[[#This Row],[Lastgänge / Lastblöcke]],Dropdown!$A$2:$D$4,4,FALSE)</f>
        <v>-</v>
      </c>
      <c r="G16" s="132" t="str">
        <f>VLOOKUP(Ueberblick451[[#This Row],[Zeitverfügbarkeitszeitreihen]],Dropdown!$A$2:$D$4,4,FALSE)</f>
        <v>-</v>
      </c>
      <c r="H16" s="82" t="str">
        <f>Ueberblick[[#This Row],[Quellen Zeitverfügbarkeit]]</f>
        <v>S. 52-66</v>
      </c>
    </row>
    <row r="17" spans="1:8" x14ac:dyDescent="0.25">
      <c r="A17" s="6" t="str">
        <f>Ueberblick451[[#This Row],[Kurzbeleg]]</f>
        <v>Klo13</v>
      </c>
      <c r="B17" s="132" t="str">
        <f>VLOOKUP(Ueberblick451[[#This Row],[Benutzungsstunden / 
Auslastung]],Dropdown!$A$2:$D$4,4,FALSE)</f>
        <v>-</v>
      </c>
      <c r="C17" s="132" t="str">
        <f>VLOOKUP(Ueberblick451[[#This Row],[Saisonalität]],Dropdown!$A$2:$D$4,4,FALSE)</f>
        <v>-</v>
      </c>
      <c r="D17" s="132" t="str">
        <f>VLOOKUP(Ueberblick451[[#This Row],[Tageszeit]],Dropdown!$A$2:$D$4,4,FALSE)</f>
        <v>X</v>
      </c>
      <c r="E17" s="132" t="str">
        <f>VLOOKUP(Ueberblick451[[#This Row],[Temperaturabhängigkeit]],Dropdown!$A$2:$D$4,4,FALSE)</f>
        <v>X</v>
      </c>
      <c r="F17" s="132" t="str">
        <f>VLOOKUP(Ueberblick451[[#This Row],[Lastgänge / Lastblöcke]],Dropdown!$A$2:$D$4,4,FALSE)</f>
        <v>(X)</v>
      </c>
      <c r="G17" s="132" t="str">
        <f>VLOOKUP(Ueberblick451[[#This Row],[Zeitverfügbarkeitszeitreihen]],Dropdown!$A$2:$D$4,4,FALSE)</f>
        <v>-</v>
      </c>
      <c r="H17" s="82" t="str">
        <f>Ueberblick[[#This Row],[Quellen Zeitverfügbarkeit]]</f>
        <v>S. 41, 44-50</v>
      </c>
    </row>
    <row r="18" spans="1:8" s="11" customFormat="1" x14ac:dyDescent="0.25">
      <c r="A18" s="6" t="str">
        <f>Ueberblick451[[#This Row],[Kurzbeleg]]</f>
        <v>Krz13</v>
      </c>
      <c r="B18" s="132" t="str">
        <f>VLOOKUP(Ueberblick451[[#This Row],[Benutzungsstunden / 
Auslastung]],Dropdown!$A$2:$D$4,4,FALSE)</f>
        <v>-</v>
      </c>
      <c r="C18" s="132" t="str">
        <f>VLOOKUP(Ueberblick451[[#This Row],[Saisonalität]],Dropdown!$A$2:$D$4,4,FALSE)</f>
        <v>-</v>
      </c>
      <c r="D18" s="132" t="str">
        <f>VLOOKUP(Ueberblick451[[#This Row],[Tageszeit]],Dropdown!$A$2:$D$4,4,FALSE)</f>
        <v>-</v>
      </c>
      <c r="E18" s="132" t="str">
        <f>VLOOKUP(Ueberblick451[[#This Row],[Temperaturabhängigkeit]],Dropdown!$A$2:$D$4,4,FALSE)</f>
        <v>-</v>
      </c>
      <c r="F18" s="132" t="str">
        <f>VLOOKUP(Ueberblick451[[#This Row],[Lastgänge / Lastblöcke]],Dropdown!$A$2:$D$4,4,FALSE)</f>
        <v>-</v>
      </c>
      <c r="G18" s="132" t="str">
        <f>VLOOKUP(Ueberblick451[[#This Row],[Zeitverfügbarkeitszeitreihen]],Dropdown!$A$2:$D$4,4,FALSE)</f>
        <v>-</v>
      </c>
      <c r="H18" s="82" t="str">
        <f>Ueberblick[[#This Row],[Quellen Zeitverfügbarkeit]]</f>
        <v>keine (i.e.S.)</v>
      </c>
    </row>
    <row r="19" spans="1:8" x14ac:dyDescent="0.25">
      <c r="A19" s="6" t="str">
        <f>Ueberblick451[[#This Row],[Kurzbeleg]]</f>
        <v>Lad18</v>
      </c>
      <c r="B19" s="132" t="str">
        <f>VLOOKUP(Ueberblick451[[#This Row],[Benutzungsstunden / 
Auslastung]],Dropdown!$A$2:$D$4,4,FALSE)</f>
        <v>X</v>
      </c>
      <c r="C19" s="132" t="str">
        <f>VLOOKUP(Ueberblick451[[#This Row],[Saisonalität]],Dropdown!$A$2:$D$4,4,FALSE)</f>
        <v>X</v>
      </c>
      <c r="D19" s="132" t="str">
        <f>VLOOKUP(Ueberblick451[[#This Row],[Tageszeit]],Dropdown!$A$2:$D$4,4,FALSE)</f>
        <v>X</v>
      </c>
      <c r="E19" s="132" t="str">
        <f>VLOOKUP(Ueberblick451[[#This Row],[Temperaturabhängigkeit]],Dropdown!$A$2:$D$4,4,FALSE)</f>
        <v>X</v>
      </c>
      <c r="F19" s="132" t="str">
        <f>VLOOKUP(Ueberblick451[[#This Row],[Lastgänge / Lastblöcke]],Dropdown!$A$2:$D$4,4,FALSE)</f>
        <v>X</v>
      </c>
      <c r="G19" s="132" t="str">
        <f>VLOOKUP(Ueberblick451[[#This Row],[Zeitverfügbarkeitszeitreihen]],Dropdown!$A$2:$D$4,4,FALSE)</f>
        <v>X</v>
      </c>
      <c r="H19" s="82" t="str">
        <f>Ueberblick[[#This Row],[Quellen Zeitverfügbarkeit]]</f>
        <v>S. 23, 44-59, 65-67, 197-208</v>
      </c>
    </row>
    <row r="20" spans="1:8" s="11" customFormat="1" x14ac:dyDescent="0.25">
      <c r="A20" s="6" t="str">
        <f>Ueberblick451[[#This Row],[Kurzbeleg]]</f>
        <v>Lan15</v>
      </c>
      <c r="B20" s="132" t="str">
        <f>VLOOKUP(Ueberblick451[[#This Row],[Benutzungsstunden / 
Auslastung]],Dropdown!$A$2:$D$4,4,FALSE)</f>
        <v>X</v>
      </c>
      <c r="C20" s="132" t="str">
        <f>VLOOKUP(Ueberblick451[[#This Row],[Saisonalität]],Dropdown!$A$2:$D$4,4,FALSE)</f>
        <v>-</v>
      </c>
      <c r="D20" s="132" t="str">
        <f>VLOOKUP(Ueberblick451[[#This Row],[Tageszeit]],Dropdown!$A$2:$D$4,4,FALSE)</f>
        <v>-</v>
      </c>
      <c r="E20" s="132" t="str">
        <f>VLOOKUP(Ueberblick451[[#This Row],[Temperaturabhängigkeit]],Dropdown!$A$2:$D$4,4,FALSE)</f>
        <v>-</v>
      </c>
      <c r="F20" s="132" t="str">
        <f>VLOOKUP(Ueberblick451[[#This Row],[Lastgänge / Lastblöcke]],Dropdown!$A$2:$D$4,4,FALSE)</f>
        <v>-</v>
      </c>
      <c r="G20" s="132" t="str">
        <f>VLOOKUP(Ueberblick451[[#This Row],[Zeitverfügbarkeitszeitreihen]],Dropdown!$A$2:$D$4,4,FALSE)</f>
        <v>-</v>
      </c>
      <c r="H20" s="82" t="str">
        <f>Ueberblick[[#This Row],[Quellen Zeitverfügbarkeit]]</f>
        <v>S. 17, 103-153</v>
      </c>
    </row>
    <row r="21" spans="1:8" x14ac:dyDescent="0.25">
      <c r="A21" s="6" t="str">
        <f>Ueberblick451[[#This Row],[Kurzbeleg]]</f>
        <v>Lie15</v>
      </c>
      <c r="B21" s="132" t="str">
        <f>VLOOKUP(Ueberblick451[[#This Row],[Benutzungsstunden / 
Auslastung]],Dropdown!$A$2:$D$4,4,FALSE)</f>
        <v>(X)</v>
      </c>
      <c r="C21" s="132" t="str">
        <f>VLOOKUP(Ueberblick451[[#This Row],[Saisonalität]],Dropdown!$A$2:$D$4,4,FALSE)</f>
        <v>-</v>
      </c>
      <c r="D21" s="132" t="str">
        <f>VLOOKUP(Ueberblick451[[#This Row],[Tageszeit]],Dropdown!$A$2:$D$4,4,FALSE)</f>
        <v>(X)</v>
      </c>
      <c r="E21" s="132" t="str">
        <f>VLOOKUP(Ueberblick451[[#This Row],[Temperaturabhängigkeit]],Dropdown!$A$2:$D$4,4,FALSE)</f>
        <v>(X)</v>
      </c>
      <c r="F21" s="132" t="str">
        <f>VLOOKUP(Ueberblick451[[#This Row],[Lastgänge / Lastblöcke]],Dropdown!$A$2:$D$4,4,FALSE)</f>
        <v>-</v>
      </c>
      <c r="G21" s="132" t="str">
        <f>VLOOKUP(Ueberblick451[[#This Row],[Zeitverfügbarkeitszeitreihen]],Dropdown!$A$2:$D$4,4,FALSE)</f>
        <v>-</v>
      </c>
      <c r="H21" s="82" t="str">
        <f>Ueberblick[[#This Row],[Quellen Zeitverfügbarkeit]]</f>
        <v>S. 19-20, 22-23, 25, 27, 34-35</v>
      </c>
    </row>
    <row r="22" spans="1:8" s="11" customFormat="1" x14ac:dyDescent="0.25">
      <c r="A22" s="6" t="str">
        <f>Ueberblick451[[#This Row],[Kurzbeleg]]</f>
        <v>Mae18</v>
      </c>
      <c r="B22" s="132" t="str">
        <f>VLOOKUP(Ueberblick451[[#This Row],[Benutzungsstunden / 
Auslastung]],Dropdown!$A$2:$D$4,4,FALSE)</f>
        <v>-</v>
      </c>
      <c r="C22" s="132" t="str">
        <f>VLOOKUP(Ueberblick451[[#This Row],[Saisonalität]],Dropdown!$A$2:$D$4,4,FALSE)</f>
        <v>-</v>
      </c>
      <c r="D22" s="132" t="str">
        <f>VLOOKUP(Ueberblick451[[#This Row],[Tageszeit]],Dropdown!$A$2:$D$4,4,FALSE)</f>
        <v>-</v>
      </c>
      <c r="E22" s="132" t="str">
        <f>VLOOKUP(Ueberblick451[[#This Row],[Temperaturabhängigkeit]],Dropdown!$A$2:$D$4,4,FALSE)</f>
        <v>-</v>
      </c>
      <c r="F22" s="132" t="str">
        <f>VLOOKUP(Ueberblick451[[#This Row],[Lastgänge / Lastblöcke]],Dropdown!$A$2:$D$4,4,FALSE)</f>
        <v>-</v>
      </c>
      <c r="G22" s="132" t="str">
        <f>VLOOKUP(Ueberblick451[[#This Row],[Zeitverfügbarkeitszeitreihen]],Dropdown!$A$2:$D$4,4,FALSE)</f>
        <v>-</v>
      </c>
      <c r="H22" s="82" t="str">
        <f>Ueberblick[[#This Row],[Quellen Zeitverfügbarkeit]]</f>
        <v>-</v>
      </c>
    </row>
    <row r="23" spans="1:8" x14ac:dyDescent="0.25">
      <c r="A23" s="6" t="str">
        <f>Ueberblick451[[#This Row],[Kurzbeleg]]</f>
        <v>Mol10</v>
      </c>
      <c r="B23" s="132" t="str">
        <f>VLOOKUP(Ueberblick451[[#This Row],[Benutzungsstunden / 
Auslastung]],Dropdown!$A$2:$D$4,4,FALSE)</f>
        <v>X</v>
      </c>
      <c r="C23" s="132" t="str">
        <f>VLOOKUP(Ueberblick451[[#This Row],[Saisonalität]],Dropdown!$A$2:$D$4,4,FALSE)</f>
        <v>X</v>
      </c>
      <c r="D23" s="132" t="str">
        <f>VLOOKUP(Ueberblick451[[#This Row],[Tageszeit]],Dropdown!$A$2:$D$4,4,FALSE)</f>
        <v>X</v>
      </c>
      <c r="E23" s="132" t="str">
        <f>VLOOKUP(Ueberblick451[[#This Row],[Temperaturabhängigkeit]],Dropdown!$A$2:$D$4,4,FALSE)</f>
        <v>X</v>
      </c>
      <c r="F23" s="132" t="str">
        <f>VLOOKUP(Ueberblick451[[#This Row],[Lastgänge / Lastblöcke]],Dropdown!$A$2:$D$4,4,FALSE)</f>
        <v>-</v>
      </c>
      <c r="G23" s="132" t="str">
        <f>VLOOKUP(Ueberblick451[[#This Row],[Zeitverfügbarkeitszeitreihen]],Dropdown!$A$2:$D$4,4,FALSE)</f>
        <v>(X)</v>
      </c>
      <c r="H23" s="82" t="str">
        <f>Ueberblick[[#This Row],[Quellen Zeitverfügbarkeit]]</f>
        <v>S. 412-425</v>
      </c>
    </row>
    <row r="24" spans="1:8" s="11" customFormat="1" x14ac:dyDescent="0.25">
      <c r="A24" s="6" t="str">
        <f>Ueberblick451[[#This Row],[Kurzbeleg]]</f>
        <v>Mue19</v>
      </c>
      <c r="B24" s="132" t="str">
        <f>VLOOKUP(Ueberblick451[[#This Row],[Benutzungsstunden / 
Auslastung]],Dropdown!$A$2:$D$4,4,FALSE)</f>
        <v>X</v>
      </c>
      <c r="C24" s="132" t="str">
        <f>VLOOKUP(Ueberblick451[[#This Row],[Saisonalität]],Dropdown!$A$2:$D$4,4,FALSE)</f>
        <v>X</v>
      </c>
      <c r="D24" s="132" t="str">
        <f>VLOOKUP(Ueberblick451[[#This Row],[Tageszeit]],Dropdown!$A$2:$D$4,4,FALSE)</f>
        <v>X</v>
      </c>
      <c r="E24" s="132" t="str">
        <f>VLOOKUP(Ueberblick451[[#This Row],[Temperaturabhängigkeit]],Dropdown!$A$2:$D$4,4,FALSE)</f>
        <v>X</v>
      </c>
      <c r="F24" s="132" t="str">
        <f>VLOOKUP(Ueberblick451[[#This Row],[Lastgänge / Lastblöcke]],Dropdown!$A$2:$D$4,4,FALSE)</f>
        <v>X</v>
      </c>
      <c r="G24" s="132" t="str">
        <f>VLOOKUP(Ueberblick451[[#This Row],[Zeitverfügbarkeitszeitreihen]],Dropdown!$A$2:$D$4,4,FALSE)</f>
        <v>X</v>
      </c>
      <c r="H24" s="82" t="str">
        <f>Ueberblick[[#This Row],[Quellen Zeitverfügbarkeit]]</f>
        <v>4-8</v>
      </c>
    </row>
    <row r="25" spans="1:8" x14ac:dyDescent="0.25">
      <c r="A25" s="6" t="str">
        <f>Ueberblick451[[#This Row],[Kurzbeleg]]</f>
        <v>Pau11</v>
      </c>
      <c r="B25" s="132" t="str">
        <f>VLOOKUP(Ueberblick451[[#This Row],[Benutzungsstunden / 
Auslastung]],Dropdown!$A$2:$D$4,4,FALSE)</f>
        <v>X</v>
      </c>
      <c r="C25" s="132" t="str">
        <f>VLOOKUP(Ueberblick451[[#This Row],[Saisonalität]],Dropdown!$A$2:$D$4,4,FALSE)</f>
        <v>-</v>
      </c>
      <c r="D25" s="132" t="str">
        <f>VLOOKUP(Ueberblick451[[#This Row],[Tageszeit]],Dropdown!$A$2:$D$4,4,FALSE)</f>
        <v>-</v>
      </c>
      <c r="E25" s="132" t="str">
        <f>VLOOKUP(Ueberblick451[[#This Row],[Temperaturabhängigkeit]],Dropdown!$A$2:$D$4,4,FALSE)</f>
        <v>-</v>
      </c>
      <c r="F25" s="132" t="str">
        <f>VLOOKUP(Ueberblick451[[#This Row],[Lastgänge / Lastblöcke]],Dropdown!$A$2:$D$4,4,FALSE)</f>
        <v>-</v>
      </c>
      <c r="G25" s="132" t="str">
        <f>VLOOKUP(Ueberblick451[[#This Row],[Zeitverfügbarkeitszeitreihen]],Dropdown!$A$2:$D$4,4,FALSE)</f>
        <v>(X)</v>
      </c>
      <c r="H25" s="82" t="str">
        <f>Ueberblick[[#This Row],[Quellen Zeitverfügbarkeit]]</f>
        <v>S. 434-435, 437</v>
      </c>
    </row>
    <row r="26" spans="1:8" s="11" customFormat="1" x14ac:dyDescent="0.25">
      <c r="A26" s="6" t="str">
        <f>Ueberblick451[[#This Row],[Kurzbeleg]]</f>
        <v>Pel16</v>
      </c>
      <c r="B26" s="132" t="str">
        <f>VLOOKUP(Ueberblick451[[#This Row],[Benutzungsstunden / 
Auslastung]],Dropdown!$A$2:$D$4,4,FALSE)</f>
        <v>X</v>
      </c>
      <c r="C26" s="132" t="str">
        <f>VLOOKUP(Ueberblick451[[#This Row],[Saisonalität]],Dropdown!$A$2:$D$4,4,FALSE)</f>
        <v>X</v>
      </c>
      <c r="D26" s="132" t="str">
        <f>VLOOKUP(Ueberblick451[[#This Row],[Tageszeit]],Dropdown!$A$2:$D$4,4,FALSE)</f>
        <v>X</v>
      </c>
      <c r="E26" s="132" t="str">
        <f>VLOOKUP(Ueberblick451[[#This Row],[Temperaturabhängigkeit]],Dropdown!$A$2:$D$4,4,FALSE)</f>
        <v>X</v>
      </c>
      <c r="F26" s="132" t="str">
        <f>VLOOKUP(Ueberblick451[[#This Row],[Lastgänge / Lastblöcke]],Dropdown!$A$2:$D$4,4,FALSE)</f>
        <v>X</v>
      </c>
      <c r="G26" s="132" t="str">
        <f>VLOOKUP(Ueberblick451[[#This Row],[Zeitverfügbarkeitszeitreihen]],Dropdown!$A$2:$D$4,4,FALSE)</f>
        <v>-</v>
      </c>
      <c r="H26" s="82" t="str">
        <f>Ueberblick[[#This Row],[Quellen Zeitverfügbarkeit]]</f>
        <v>S. 88-93, 97-98, 101, 103, 108-109, 137-139, 209-213</v>
      </c>
    </row>
    <row r="27" spans="1:8" s="11" customFormat="1" x14ac:dyDescent="0.25">
      <c r="A27" s="6" t="str">
        <f>Ueberblick451[[#This Row],[Kurzbeleg]]</f>
        <v>r2b14</v>
      </c>
      <c r="B27" s="132" t="str">
        <f>VLOOKUP(Ueberblick451[[#This Row],[Benutzungsstunden / 
Auslastung]],Dropdown!$A$2:$D$4,4,FALSE)</f>
        <v>-</v>
      </c>
      <c r="C27" s="132" t="str">
        <f>VLOOKUP(Ueberblick451[[#This Row],[Saisonalität]],Dropdown!$A$2:$D$4,4,FALSE)</f>
        <v>-</v>
      </c>
      <c r="D27" s="132" t="str">
        <f>VLOOKUP(Ueberblick451[[#This Row],[Tageszeit]],Dropdown!$A$2:$D$4,4,FALSE)</f>
        <v>-</v>
      </c>
      <c r="E27" s="132" t="str">
        <f>VLOOKUP(Ueberblick451[[#This Row],[Temperaturabhängigkeit]],Dropdown!$A$2:$D$4,4,FALSE)</f>
        <v>-</v>
      </c>
      <c r="F27" s="132" t="str">
        <f>VLOOKUP(Ueberblick451[[#This Row],[Lastgänge / Lastblöcke]],Dropdown!$A$2:$D$4,4,FALSE)</f>
        <v>-</v>
      </c>
      <c r="G27" s="132" t="str">
        <f>VLOOKUP(Ueberblick451[[#This Row],[Zeitverfügbarkeitszeitreihen]],Dropdown!$A$2:$D$4,4,FALSE)</f>
        <v>-</v>
      </c>
      <c r="H27" s="82" t="str">
        <f>Ueberblick[[#This Row],[Quellen Zeitverfügbarkeit]]</f>
        <v>keine (i.e.S.)</v>
      </c>
    </row>
    <row r="28" spans="1:8" s="11" customFormat="1" x14ac:dyDescent="0.25">
      <c r="A28" s="6" t="str">
        <f>Ueberblick451[[#This Row],[Kurzbeleg]]</f>
        <v>Roo10</v>
      </c>
      <c r="B28" s="132" t="str">
        <f>VLOOKUP(Ueberblick451[[#This Row],[Benutzungsstunden / 
Auslastung]],Dropdown!$A$2:$D$4,4,FALSE)</f>
        <v>-</v>
      </c>
      <c r="C28" s="132" t="str">
        <f>VLOOKUP(Ueberblick451[[#This Row],[Saisonalität]],Dropdown!$A$2:$D$4,4,FALSE)</f>
        <v>-</v>
      </c>
      <c r="D28" s="132" t="str">
        <f>VLOOKUP(Ueberblick451[[#This Row],[Tageszeit]],Dropdown!$A$2:$D$4,4,FALSE)</f>
        <v>-</v>
      </c>
      <c r="E28" s="132" t="str">
        <f>VLOOKUP(Ueberblick451[[#This Row],[Temperaturabhängigkeit]],Dropdown!$A$2:$D$4,4,FALSE)</f>
        <v>-</v>
      </c>
      <c r="F28" s="132" t="str">
        <f>VLOOKUP(Ueberblick451[[#This Row],[Lastgänge / Lastblöcke]],Dropdown!$A$2:$D$4,4,FALSE)</f>
        <v>-</v>
      </c>
      <c r="G28" s="132" t="str">
        <f>VLOOKUP(Ueberblick451[[#This Row],[Zeitverfügbarkeitszeitreihen]],Dropdown!$A$2:$D$4,4,FALSE)</f>
        <v>-</v>
      </c>
      <c r="H28" s="83" t="str">
        <f>Ueberblick[[#This Row],[Quellen Zeitverfügbarkeit]]</f>
        <v>keine (i.e.S.)</v>
      </c>
    </row>
    <row r="29" spans="1:8" s="11" customFormat="1" x14ac:dyDescent="0.25">
      <c r="A29" s="6" t="str">
        <f>Ueberblick451[[#This Row],[Kurzbeleg]]</f>
        <v>Sau19</v>
      </c>
      <c r="B29" s="132" t="str">
        <f>VLOOKUP(Ueberblick451[[#This Row],[Benutzungsstunden / 
Auslastung]],Dropdown!$A$2:$D$4,4,FALSE)</f>
        <v>X</v>
      </c>
      <c r="C29" s="132" t="str">
        <f>VLOOKUP(Ueberblick451[[#This Row],[Saisonalität]],Dropdown!$A$2:$D$4,4,FALSE)</f>
        <v>X</v>
      </c>
      <c r="D29" s="132" t="str">
        <f>VLOOKUP(Ueberblick451[[#This Row],[Tageszeit]],Dropdown!$A$2:$D$4,4,FALSE)</f>
        <v>X</v>
      </c>
      <c r="E29" s="132" t="str">
        <f>VLOOKUP(Ueberblick451[[#This Row],[Temperaturabhängigkeit]],Dropdown!$A$2:$D$4,4,FALSE)</f>
        <v>(X)</v>
      </c>
      <c r="F29" s="132" t="str">
        <f>VLOOKUP(Ueberblick451[[#This Row],[Lastgänge / Lastblöcke]],Dropdown!$A$2:$D$4,4,FALSE)</f>
        <v>X</v>
      </c>
      <c r="G29" s="132" t="str">
        <f>VLOOKUP(Ueberblick451[[#This Row],[Zeitverfügbarkeitszeitreihen]],Dropdown!$A$2:$D$4,4,FALSE)</f>
        <v>-</v>
      </c>
      <c r="H29" s="83" t="str">
        <f>Ueberblick[[#This Row],[Quellen Zeitverfügbarkeit]]</f>
        <v>447ff.</v>
      </c>
    </row>
    <row r="30" spans="1:8" s="11" customFormat="1" x14ac:dyDescent="0.25">
      <c r="A30" s="6" t="str">
        <f>Ueberblick451[[#This Row],[Kurzbeleg]]</f>
        <v>Sch14</v>
      </c>
      <c r="B30" s="132" t="str">
        <f>VLOOKUP(Ueberblick451[[#This Row],[Benutzungsstunden / 
Auslastung]],Dropdown!$A$2:$D$4,4,FALSE)</f>
        <v>X</v>
      </c>
      <c r="C30" s="132" t="str">
        <f>VLOOKUP(Ueberblick451[[#This Row],[Saisonalität]],Dropdown!$A$2:$D$4,4,FALSE)</f>
        <v>X</v>
      </c>
      <c r="D30" s="132" t="str">
        <f>VLOOKUP(Ueberblick451[[#This Row],[Tageszeit]],Dropdown!$A$2:$D$4,4,FALSE)</f>
        <v>X</v>
      </c>
      <c r="E30" s="132" t="str">
        <f>VLOOKUP(Ueberblick451[[#This Row],[Temperaturabhängigkeit]],Dropdown!$A$2:$D$4,4,FALSE)</f>
        <v>X</v>
      </c>
      <c r="F30" s="132" t="str">
        <f>VLOOKUP(Ueberblick451[[#This Row],[Lastgänge / Lastblöcke]],Dropdown!$A$2:$D$4,4,FALSE)</f>
        <v>X</v>
      </c>
      <c r="G30" s="132" t="str">
        <f>VLOOKUP(Ueberblick451[[#This Row],[Zeitverfügbarkeitszeitreihen]],Dropdown!$A$2:$D$4,4,FALSE)</f>
        <v>X</v>
      </c>
      <c r="H30" s="83" t="str">
        <f>Ueberblick[[#This Row],[Quellen Zeitverfügbarkeit]]</f>
        <v>S. 50-55</v>
      </c>
    </row>
    <row r="31" spans="1:8" s="11" customFormat="1" x14ac:dyDescent="0.25">
      <c r="A31" s="6" t="str">
        <f>Ueberblick451[[#This Row],[Kurzbeleg]]</f>
        <v>Sta06</v>
      </c>
      <c r="B31" s="132" t="str">
        <f>VLOOKUP(Ueberblick451[[#This Row],[Benutzungsstunden / 
Auslastung]],Dropdown!$A$2:$D$4,4,FALSE)</f>
        <v>-</v>
      </c>
      <c r="C31" s="132" t="str">
        <f>VLOOKUP(Ueberblick451[[#This Row],[Saisonalität]],Dropdown!$A$2:$D$4,4,FALSE)</f>
        <v>X</v>
      </c>
      <c r="D31" s="132" t="str">
        <f>VLOOKUP(Ueberblick451[[#This Row],[Tageszeit]],Dropdown!$A$2:$D$4,4,FALSE)</f>
        <v>X</v>
      </c>
      <c r="E31" s="132" t="str">
        <f>VLOOKUP(Ueberblick451[[#This Row],[Temperaturabhängigkeit]],Dropdown!$A$2:$D$4,4,FALSE)</f>
        <v>X</v>
      </c>
      <c r="F31" s="132" t="str">
        <f>VLOOKUP(Ueberblick451[[#This Row],[Lastgänge / Lastblöcke]],Dropdown!$A$2:$D$4,4,FALSE)</f>
        <v>X</v>
      </c>
      <c r="G31" s="132" t="str">
        <f>VLOOKUP(Ueberblick451[[#This Row],[Zeitverfügbarkeitszeitreihen]],Dropdown!$A$2:$D$4,4,FALSE)</f>
        <v>-</v>
      </c>
      <c r="H31" s="83" t="str">
        <f>Ueberblick[[#This Row],[Quellen Zeitverfügbarkeit]]</f>
        <v>S. 49-53, 66, 92, 96-97, 114, 168-170</v>
      </c>
    </row>
    <row r="32" spans="1:8" s="11" customFormat="1" x14ac:dyDescent="0.25">
      <c r="A32" s="6" t="str">
        <f>Ueberblick451[[#This Row],[Kurzbeleg]]</f>
        <v>Ste17</v>
      </c>
      <c r="B32" s="132" t="str">
        <f>VLOOKUP(Ueberblick451[[#This Row],[Benutzungsstunden / 
Auslastung]],Dropdown!$A$2:$D$4,4,FALSE)</f>
        <v>X</v>
      </c>
      <c r="C32" s="132" t="str">
        <f>VLOOKUP(Ueberblick451[[#This Row],[Saisonalität]],Dropdown!$A$2:$D$4,4,FALSE)</f>
        <v>X</v>
      </c>
      <c r="D32" s="132" t="str">
        <f>VLOOKUP(Ueberblick451[[#This Row],[Tageszeit]],Dropdown!$A$2:$D$4,4,FALSE)</f>
        <v>X</v>
      </c>
      <c r="E32" s="132" t="str">
        <f>VLOOKUP(Ueberblick451[[#This Row],[Temperaturabhängigkeit]],Dropdown!$A$2:$D$4,4,FALSE)</f>
        <v>X</v>
      </c>
      <c r="F32" s="132" t="str">
        <f>VLOOKUP(Ueberblick451[[#This Row],[Lastgänge / Lastblöcke]],Dropdown!$A$2:$D$4,4,FALSE)</f>
        <v>X</v>
      </c>
      <c r="G32" s="132" t="str">
        <f>VLOOKUP(Ueberblick451[[#This Row],[Zeitverfügbarkeitszeitreihen]],Dropdown!$A$2:$D$4,4,FALSE)</f>
        <v>X</v>
      </c>
      <c r="H32" s="83" t="str">
        <f>Ueberblick[[#This Row],[Quellen Zeitverfügbarkeit]]</f>
        <v>S. 71-73, 164-213</v>
      </c>
    </row>
    <row r="33" spans="1:8" s="11" customFormat="1" x14ac:dyDescent="0.25">
      <c r="A33" s="6" t="str">
        <f>Ueberblick451[[#This Row],[Kurzbeleg]]</f>
        <v>Sty15</v>
      </c>
      <c r="B33" s="132" t="str">
        <f>VLOOKUP(Ueberblick451[[#This Row],[Benutzungsstunden / 
Auslastung]],Dropdown!$A$2:$D$4,4,FALSE)</f>
        <v>X</v>
      </c>
      <c r="C33" s="132" t="str">
        <f>VLOOKUP(Ueberblick451[[#This Row],[Saisonalität]],Dropdown!$A$2:$D$4,4,FALSE)</f>
        <v>X</v>
      </c>
      <c r="D33" s="132" t="str">
        <f>VLOOKUP(Ueberblick451[[#This Row],[Tageszeit]],Dropdown!$A$2:$D$4,4,FALSE)</f>
        <v>X</v>
      </c>
      <c r="E33" s="132" t="str">
        <f>VLOOKUP(Ueberblick451[[#This Row],[Temperaturabhängigkeit]],Dropdown!$A$2:$D$4,4,FALSE)</f>
        <v>X</v>
      </c>
      <c r="F33" s="132" t="str">
        <f>VLOOKUP(Ueberblick451[[#This Row],[Lastgänge / Lastblöcke]],Dropdown!$A$2:$D$4,4,FALSE)</f>
        <v>-</v>
      </c>
      <c r="G33" s="132" t="str">
        <f>VLOOKUP(Ueberblick451[[#This Row],[Zeitverfügbarkeitszeitreihen]],Dropdown!$A$2:$D$4,4,FALSE)</f>
        <v>-</v>
      </c>
      <c r="H33" s="83" t="str">
        <f>Ueberblick[[#This Row],[Quellen Zeitverfügbarkeit]]</f>
        <v>S. 13-22, 31-37</v>
      </c>
    </row>
    <row r="34" spans="1:8" s="11" customFormat="1" x14ac:dyDescent="0.25">
      <c r="A34" s="6" t="str">
        <f>Ueberblick451[[#This Row],[Kurzbeleg]]</f>
        <v>Woh20</v>
      </c>
      <c r="B34" s="132" t="str">
        <f>VLOOKUP(Ueberblick451[[#This Row],[Benutzungsstunden / 
Auslastung]],Dropdown!$A$2:$D$4,4,FALSE)</f>
        <v>-</v>
      </c>
      <c r="C34" s="132" t="str">
        <f>VLOOKUP(Ueberblick451[[#This Row],[Saisonalität]],Dropdown!$A$2:$D$4,4,FALSE)</f>
        <v>-</v>
      </c>
      <c r="D34" s="132" t="str">
        <f>VLOOKUP(Ueberblick451[[#This Row],[Tageszeit]],Dropdown!$A$2:$D$4,4,FALSE)</f>
        <v>-</v>
      </c>
      <c r="E34" s="132" t="str">
        <f>VLOOKUP(Ueberblick451[[#This Row],[Temperaturabhängigkeit]],Dropdown!$A$2:$D$4,4,FALSE)</f>
        <v>-</v>
      </c>
      <c r="F34" s="132" t="str">
        <f>VLOOKUP(Ueberblick451[[#This Row],[Lastgänge / Lastblöcke]],Dropdown!$A$2:$D$4,4,FALSE)</f>
        <v>-</v>
      </c>
      <c r="G34" s="132" t="str">
        <f>VLOOKUP(Ueberblick451[[#This Row],[Zeitverfügbarkeitszeitreihen]],Dropdown!$A$2:$D$4,4,FALSE)</f>
        <v>-</v>
      </c>
      <c r="H34" s="83" t="str">
        <f>Ueberblick[[#This Row],[Quellen Zeitverfügbarkeit]]</f>
        <v>-</v>
      </c>
    </row>
    <row r="35" spans="1:8" x14ac:dyDescent="0.25">
      <c r="A35" s="52" t="s">
        <v>853</v>
      </c>
      <c r="B35" s="133">
        <f>Ueberblick451[[#Totals],[Benutzungsstunden / 
Auslastung]]</f>
        <v>19</v>
      </c>
      <c r="C35" s="133">
        <f>Ueberblick451[[#Totals],[Saisonalität]]</f>
        <v>18.5</v>
      </c>
      <c r="D35" s="133">
        <f>Ueberblick451[[#Totals],[Tageszeit]]</f>
        <v>19</v>
      </c>
      <c r="E35" s="133">
        <f>Ueberblick451[[#Totals],[Temperaturabhängigkeit]]</f>
        <v>17</v>
      </c>
      <c r="F35" s="133">
        <f>Ueberblick451[[#Totals],[Lastgänge / Lastblöcke]]</f>
        <v>16</v>
      </c>
      <c r="G35" s="133">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K22" sqref="K22"/>
    </sheetView>
  </sheetViews>
  <sheetFormatPr baseColWidth="10" defaultRowHeight="15.75" x14ac:dyDescent="0.25"/>
  <cols>
    <col min="2" max="7" width="5.875" style="129"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30" t="s">
        <v>1187</v>
      </c>
      <c r="C2" s="130" t="s">
        <v>33</v>
      </c>
      <c r="D2" s="130" t="s">
        <v>1188</v>
      </c>
      <c r="E2" s="130" t="s">
        <v>1189</v>
      </c>
      <c r="F2" s="130" t="s">
        <v>1190</v>
      </c>
      <c r="G2" s="131" t="s">
        <v>1191</v>
      </c>
    </row>
    <row r="3" spans="1:7" x14ac:dyDescent="0.25">
      <c r="A3" s="6" t="str">
        <f>Ueberblick[[#This Row],[Kürzel]]</f>
        <v>Ape12</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Ary17</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Aus18</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Blu13</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Foc11</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Gil15</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Gob12</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Gro13</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Gru17</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Haa17</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Hei21</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Hen15</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Jet21</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Klo09</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Klo13</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Krz13</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Lad18</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Lan15</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Lie15</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Mae18</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Mol10</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Mue19</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Pau11</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Pel16</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r2b14</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Roo10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Sau19</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Sch14</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Sta06</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Ste17</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Sty15</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Woh20</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 t="shared" si="0"/>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1" ySplit="2" topLeftCell="W13" activePane="bottomRight" state="frozen"/>
      <selection activeCell="D33" sqref="D33"/>
      <selection pane="topRight" activeCell="D33" sqref="D33"/>
      <selection pane="bottomLeft" activeCell="D33" sqref="D33"/>
      <selection pane="bottomRight" activeCell="AF13" sqref="AF13"/>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1603</v>
      </c>
      <c r="AI1" s="3" t="s">
        <v>1603</v>
      </c>
      <c r="AJ1" s="3" t="s">
        <v>1603</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1383</v>
      </c>
      <c r="BX1" s="4" t="s">
        <v>1383</v>
      </c>
      <c r="BY1" s="4" t="s">
        <v>1383</v>
      </c>
      <c r="BZ1" s="4" t="s">
        <v>1383</v>
      </c>
      <c r="CA1" s="4" t="s">
        <v>1383</v>
      </c>
      <c r="CB1" s="4" t="s">
        <v>1383</v>
      </c>
      <c r="CC1" s="4" t="s">
        <v>1383</v>
      </c>
      <c r="CD1" s="4" t="s">
        <v>91</v>
      </c>
      <c r="CE1" s="4" t="s">
        <v>91</v>
      </c>
      <c r="CF1" s="4" t="s">
        <v>91</v>
      </c>
      <c r="CG1" s="4" t="s">
        <v>91</v>
      </c>
      <c r="CH1" s="4" t="s">
        <v>91</v>
      </c>
      <c r="CI1" s="4" t="s">
        <v>91</v>
      </c>
      <c r="CJ1" s="5" t="s">
        <v>91</v>
      </c>
    </row>
    <row r="2" spans="1:88" ht="38.1" customHeight="1" x14ac:dyDescent="0.25">
      <c r="A2" s="3" t="s">
        <v>1</v>
      </c>
      <c r="B2" s="3" t="s">
        <v>1607</v>
      </c>
      <c r="C2" s="3" t="s">
        <v>57</v>
      </c>
      <c r="D2" s="3" t="s">
        <v>131</v>
      </c>
      <c r="E2" s="3" t="s">
        <v>1725</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1604</v>
      </c>
      <c r="AI2" s="3" t="s">
        <v>1605</v>
      </c>
      <c r="AJ2" s="3" t="s">
        <v>1606</v>
      </c>
      <c r="AK2" s="3" t="s">
        <v>106</v>
      </c>
      <c r="AL2" s="3" t="s">
        <v>92</v>
      </c>
      <c r="AM2" s="3" t="s">
        <v>1202</v>
      </c>
      <c r="AN2" s="3" t="s">
        <v>1203</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1399</v>
      </c>
      <c r="BX2" s="4" t="s">
        <v>1384</v>
      </c>
      <c r="BY2" s="4" t="s">
        <v>1385</v>
      </c>
      <c r="BZ2" s="4" t="s">
        <v>1386</v>
      </c>
      <c r="CA2" s="4" t="s">
        <v>1388</v>
      </c>
      <c r="CB2" s="4" t="s">
        <v>1387</v>
      </c>
      <c r="CC2" s="3" t="s">
        <v>1398</v>
      </c>
      <c r="CD2" s="3" t="s">
        <v>216</v>
      </c>
      <c r="CE2" s="3" t="s">
        <v>185</v>
      </c>
      <c r="CF2" s="3" t="s">
        <v>186</v>
      </c>
      <c r="CG2" s="3" t="s">
        <v>184</v>
      </c>
      <c r="CH2" s="3" t="s">
        <v>342</v>
      </c>
      <c r="CI2" s="3" t="s">
        <v>343</v>
      </c>
      <c r="CJ2" s="5" t="s">
        <v>344</v>
      </c>
    </row>
    <row r="3" spans="1:88" ht="242.25" x14ac:dyDescent="0.25">
      <c r="A3" s="6" t="s">
        <v>12</v>
      </c>
      <c r="B3" s="6" t="s">
        <v>1608</v>
      </c>
      <c r="C3" s="8" t="s">
        <v>11</v>
      </c>
      <c r="D3" s="8" t="s">
        <v>67</v>
      </c>
      <c r="E3" s="8" t="s">
        <v>130</v>
      </c>
      <c r="F3" s="8" t="s">
        <v>0</v>
      </c>
      <c r="G3" s="8" t="s">
        <v>191</v>
      </c>
      <c r="H3" s="8">
        <v>1</v>
      </c>
      <c r="I3" s="8">
        <v>1</v>
      </c>
      <c r="J3" s="8">
        <v>0</v>
      </c>
      <c r="K3" s="8">
        <v>1</v>
      </c>
      <c r="L3" s="8">
        <v>0</v>
      </c>
      <c r="M3" s="8">
        <v>1</v>
      </c>
      <c r="N3" s="8" t="s">
        <v>177</v>
      </c>
      <c r="O3" s="9" t="s">
        <v>176</v>
      </c>
      <c r="P3" s="8" t="s">
        <v>190</v>
      </c>
      <c r="Q3" s="9" t="s">
        <v>1375</v>
      </c>
      <c r="R3" s="8">
        <v>1</v>
      </c>
      <c r="S3" s="8">
        <v>1</v>
      </c>
      <c r="T3" s="8">
        <v>0</v>
      </c>
      <c r="U3" s="8">
        <v>1</v>
      </c>
      <c r="V3" s="8">
        <v>1</v>
      </c>
      <c r="W3" s="8">
        <v>0.5</v>
      </c>
      <c r="X3" s="8">
        <v>0</v>
      </c>
      <c r="Y3" s="8">
        <v>2010</v>
      </c>
      <c r="Z3" s="8" t="s">
        <v>1364</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82">
        <v>1</v>
      </c>
      <c r="BX3" s="82">
        <v>1</v>
      </c>
      <c r="BY3" s="82">
        <v>1</v>
      </c>
      <c r="BZ3" s="82">
        <v>0.5</v>
      </c>
      <c r="CA3" s="82">
        <v>1</v>
      </c>
      <c r="CB3" s="82">
        <v>0</v>
      </c>
      <c r="CC3" s="8" t="s">
        <v>39</v>
      </c>
      <c r="CD3" s="8" t="s">
        <v>1400</v>
      </c>
      <c r="CE3" s="8">
        <v>0.5</v>
      </c>
      <c r="CF3" s="8">
        <v>1</v>
      </c>
      <c r="CG3" s="8">
        <v>1</v>
      </c>
      <c r="CH3" s="8">
        <v>1</v>
      </c>
      <c r="CI3" s="8">
        <v>1</v>
      </c>
      <c r="CJ3" s="8">
        <v>1</v>
      </c>
    </row>
    <row r="4" spans="1:88" ht="306" x14ac:dyDescent="0.25">
      <c r="A4" s="6" t="s">
        <v>346</v>
      </c>
      <c r="B4" s="6" t="s">
        <v>1609</v>
      </c>
      <c r="C4" s="8" t="s">
        <v>823</v>
      </c>
      <c r="D4" s="31" t="s">
        <v>824</v>
      </c>
      <c r="E4" s="8" t="s">
        <v>130</v>
      </c>
      <c r="F4" s="8" t="s">
        <v>60</v>
      </c>
      <c r="G4" s="8" t="s">
        <v>815</v>
      </c>
      <c r="H4" s="8">
        <v>1</v>
      </c>
      <c r="I4" s="8">
        <v>1</v>
      </c>
      <c r="J4" s="8">
        <v>0</v>
      </c>
      <c r="K4" s="8">
        <v>1</v>
      </c>
      <c r="L4" s="8">
        <v>0</v>
      </c>
      <c r="M4" s="8">
        <v>1</v>
      </c>
      <c r="N4" s="8" t="s">
        <v>808</v>
      </c>
      <c r="O4" s="9" t="s">
        <v>813</v>
      </c>
      <c r="P4" s="8" t="s">
        <v>814</v>
      </c>
      <c r="Q4" s="9" t="s">
        <v>1376</v>
      </c>
      <c r="R4" s="8">
        <v>1</v>
      </c>
      <c r="S4" s="8">
        <v>1</v>
      </c>
      <c r="T4" s="8">
        <v>0</v>
      </c>
      <c r="U4" s="8">
        <v>0</v>
      </c>
      <c r="V4" s="8">
        <v>0</v>
      </c>
      <c r="W4" s="8">
        <v>1</v>
      </c>
      <c r="X4" s="8">
        <v>0</v>
      </c>
      <c r="Y4" s="8" t="s">
        <v>812</v>
      </c>
      <c r="Z4" s="8" t="s">
        <v>1363</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1193</v>
      </c>
      <c r="AL4" s="8">
        <v>1</v>
      </c>
      <c r="AM4" s="8">
        <v>1</v>
      </c>
      <c r="AN4" s="8">
        <v>1</v>
      </c>
      <c r="AO4" s="8">
        <v>0.5</v>
      </c>
      <c r="AP4" s="8">
        <v>1</v>
      </c>
      <c r="AQ4" s="8">
        <v>0.5</v>
      </c>
      <c r="AR4" s="8">
        <v>0</v>
      </c>
      <c r="AS4" s="8">
        <v>0</v>
      </c>
      <c r="AT4" s="8">
        <v>0</v>
      </c>
      <c r="AU4" s="8" t="s">
        <v>1194</v>
      </c>
      <c r="AV4" s="8" t="s">
        <v>1169</v>
      </c>
      <c r="AW4" s="8">
        <v>0</v>
      </c>
      <c r="AX4" s="8">
        <v>1</v>
      </c>
      <c r="AY4" s="8">
        <v>1</v>
      </c>
      <c r="AZ4" s="8">
        <v>0</v>
      </c>
      <c r="BA4" s="8">
        <v>0</v>
      </c>
      <c r="BB4" s="8"/>
      <c r="BC4" s="38" t="s">
        <v>1167</v>
      </c>
      <c r="BD4" s="38" t="s">
        <v>1167</v>
      </c>
      <c r="BE4" s="8">
        <v>0</v>
      </c>
      <c r="BF4" s="8">
        <v>0</v>
      </c>
      <c r="BG4" s="8">
        <v>0</v>
      </c>
      <c r="BH4" s="8">
        <v>0</v>
      </c>
      <c r="BI4" s="10"/>
      <c r="BJ4" s="10"/>
      <c r="BK4" s="10"/>
      <c r="BL4" s="10"/>
      <c r="BM4" s="10"/>
      <c r="BN4" s="10"/>
      <c r="BO4" s="10"/>
      <c r="BP4" s="10"/>
      <c r="BQ4" s="10"/>
      <c r="BR4" s="10"/>
      <c r="BS4" s="10"/>
      <c r="BT4" s="10"/>
      <c r="BU4" s="10"/>
      <c r="BV4" s="10"/>
      <c r="BW4" s="82">
        <v>0</v>
      </c>
      <c r="BX4" s="82">
        <v>1</v>
      </c>
      <c r="BY4" s="82">
        <v>1</v>
      </c>
      <c r="BZ4" s="82">
        <v>1</v>
      </c>
      <c r="CA4" s="82">
        <v>1</v>
      </c>
      <c r="CB4" s="82">
        <v>1</v>
      </c>
      <c r="CC4" s="8" t="s">
        <v>1170</v>
      </c>
      <c r="CD4" s="8" t="s">
        <v>816</v>
      </c>
      <c r="CE4" s="8">
        <v>0</v>
      </c>
      <c r="CF4" s="8">
        <v>0</v>
      </c>
      <c r="CG4" s="8">
        <v>0</v>
      </c>
      <c r="CH4" s="8">
        <v>0</v>
      </c>
      <c r="CI4" s="8">
        <v>0</v>
      </c>
      <c r="CJ4" s="8">
        <v>0</v>
      </c>
    </row>
    <row r="5" spans="1:88" s="11" customFormat="1" ht="89.25" x14ac:dyDescent="0.25">
      <c r="A5" s="6" t="s">
        <v>1664</v>
      </c>
      <c r="B5" s="6" t="s">
        <v>1669</v>
      </c>
      <c r="C5" s="113" t="s">
        <v>1665</v>
      </c>
      <c r="D5" s="31" t="s">
        <v>1673</v>
      </c>
      <c r="E5" s="8" t="s">
        <v>1657</v>
      </c>
      <c r="F5" s="8" t="s">
        <v>0</v>
      </c>
      <c r="G5" s="9" t="s">
        <v>1666</v>
      </c>
      <c r="H5" s="8">
        <v>1</v>
      </c>
      <c r="I5" s="8">
        <v>1</v>
      </c>
      <c r="J5" s="8">
        <v>0</v>
      </c>
      <c r="K5" s="8">
        <v>0</v>
      </c>
      <c r="L5" s="31">
        <v>0.5</v>
      </c>
      <c r="M5" s="8">
        <v>1</v>
      </c>
      <c r="N5" s="12" t="s">
        <v>1667</v>
      </c>
      <c r="O5" s="9" t="s">
        <v>1715</v>
      </c>
      <c r="P5" s="8" t="s">
        <v>1714</v>
      </c>
      <c r="Q5" s="8" t="s">
        <v>1668</v>
      </c>
      <c r="R5" s="8">
        <v>1</v>
      </c>
      <c r="S5" s="8">
        <v>1</v>
      </c>
      <c r="T5" s="8">
        <v>1</v>
      </c>
      <c r="U5" s="8">
        <v>0</v>
      </c>
      <c r="V5" s="8">
        <v>1</v>
      </c>
      <c r="W5" s="8">
        <v>1</v>
      </c>
      <c r="X5" s="8">
        <v>1</v>
      </c>
      <c r="Y5" s="8" t="s">
        <v>1701</v>
      </c>
      <c r="Z5" s="8" t="s">
        <v>1783</v>
      </c>
      <c r="AA5" s="8" t="s">
        <v>157</v>
      </c>
      <c r="AB5" s="8" t="s">
        <v>1716</v>
      </c>
      <c r="AC5" s="8"/>
      <c r="AD5" s="8"/>
      <c r="AE5" s="8"/>
      <c r="AF5" s="8"/>
      <c r="AG5" s="8" t="s">
        <v>1660</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1717</v>
      </c>
      <c r="AL5" s="8">
        <v>1</v>
      </c>
      <c r="AM5" s="8">
        <v>1</v>
      </c>
      <c r="AN5" s="8">
        <v>1</v>
      </c>
      <c r="AO5" s="8">
        <v>0</v>
      </c>
      <c r="AP5" s="8">
        <v>1</v>
      </c>
      <c r="AQ5" s="8">
        <v>0.5</v>
      </c>
      <c r="AR5" s="8">
        <v>0.5</v>
      </c>
      <c r="AS5" s="8">
        <v>0</v>
      </c>
      <c r="AT5" s="8">
        <v>0.5</v>
      </c>
      <c r="AU5" s="8" t="s">
        <v>1718</v>
      </c>
      <c r="AV5" s="8" t="s">
        <v>1719</v>
      </c>
      <c r="AW5" s="8">
        <v>1</v>
      </c>
      <c r="AX5" s="8">
        <v>1</v>
      </c>
      <c r="AY5" s="8">
        <v>0.5</v>
      </c>
      <c r="AZ5" s="8">
        <v>0.5</v>
      </c>
      <c r="BA5" s="8">
        <v>0</v>
      </c>
      <c r="BB5" s="8">
        <v>0</v>
      </c>
      <c r="BC5" s="8" t="s">
        <v>84</v>
      </c>
      <c r="BD5" s="8">
        <v>2018</v>
      </c>
      <c r="BE5" s="8">
        <v>0</v>
      </c>
      <c r="BF5" s="8">
        <v>0</v>
      </c>
      <c r="BG5" s="8">
        <v>0</v>
      </c>
      <c r="BH5" s="8">
        <v>0</v>
      </c>
      <c r="BI5" s="10" t="s">
        <v>1726</v>
      </c>
      <c r="BJ5" s="10" t="s">
        <v>1727</v>
      </c>
      <c r="BK5" s="10"/>
      <c r="BL5" s="10"/>
      <c r="BM5" s="10"/>
      <c r="BN5" s="10"/>
      <c r="BO5" s="10"/>
      <c r="BP5" s="10"/>
      <c r="BQ5" s="10"/>
      <c r="BR5" s="10"/>
      <c r="BS5" s="10"/>
      <c r="BT5" s="10"/>
      <c r="BU5" s="10"/>
      <c r="BV5" s="10"/>
      <c r="BW5" s="82">
        <v>1</v>
      </c>
      <c r="BX5" s="82">
        <v>1</v>
      </c>
      <c r="BY5" s="82">
        <v>1</v>
      </c>
      <c r="BZ5" s="82">
        <v>0.5</v>
      </c>
      <c r="CA5" s="82">
        <v>1</v>
      </c>
      <c r="CB5" s="82">
        <v>0</v>
      </c>
      <c r="CC5" s="8" t="s">
        <v>1720</v>
      </c>
      <c r="CD5" s="8" t="s">
        <v>1661</v>
      </c>
      <c r="CE5" s="8" t="s">
        <v>1663</v>
      </c>
      <c r="CF5" s="8" t="s">
        <v>1663</v>
      </c>
      <c r="CG5" s="8" t="s">
        <v>1663</v>
      </c>
      <c r="CH5" s="8" t="s">
        <v>1663</v>
      </c>
      <c r="CI5" s="8" t="s">
        <v>1663</v>
      </c>
      <c r="CJ5" s="8" t="s">
        <v>1663</v>
      </c>
    </row>
    <row r="6" spans="1:88" s="11" customFormat="1" ht="89.25" x14ac:dyDescent="0.25">
      <c r="A6" s="6" t="s">
        <v>347</v>
      </c>
      <c r="B6" s="6" t="s">
        <v>1610</v>
      </c>
      <c r="C6" s="117" t="s">
        <v>348</v>
      </c>
      <c r="D6" s="8" t="s">
        <v>825</v>
      </c>
      <c r="E6" s="8"/>
      <c r="F6" s="8" t="s">
        <v>349</v>
      </c>
      <c r="G6" s="8" t="s">
        <v>369</v>
      </c>
      <c r="H6" s="8">
        <v>1</v>
      </c>
      <c r="I6" s="8">
        <v>1</v>
      </c>
      <c r="J6" s="8">
        <v>0</v>
      </c>
      <c r="K6" s="8">
        <v>0</v>
      </c>
      <c r="L6" s="8">
        <v>0</v>
      </c>
      <c r="M6" s="8">
        <v>1</v>
      </c>
      <c r="N6" s="8" t="s">
        <v>370</v>
      </c>
      <c r="O6" s="9" t="s">
        <v>373</v>
      </c>
      <c r="P6" s="8" t="s">
        <v>374</v>
      </c>
      <c r="Q6" s="9" t="s">
        <v>1377</v>
      </c>
      <c r="R6" s="8">
        <v>1</v>
      </c>
      <c r="S6" s="8">
        <v>1</v>
      </c>
      <c r="T6" s="8">
        <v>0</v>
      </c>
      <c r="U6" s="8">
        <v>0</v>
      </c>
      <c r="V6" s="8">
        <v>0</v>
      </c>
      <c r="W6" s="8">
        <v>1</v>
      </c>
      <c r="X6" s="8">
        <v>0</v>
      </c>
      <c r="Y6" s="8">
        <v>2011</v>
      </c>
      <c r="Z6" s="8" t="s">
        <v>1370</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82">
        <v>1</v>
      </c>
      <c r="BX6" s="82">
        <v>0</v>
      </c>
      <c r="BY6" s="82">
        <v>0</v>
      </c>
      <c r="BZ6" s="82">
        <v>0</v>
      </c>
      <c r="CA6" s="82">
        <v>0</v>
      </c>
      <c r="CB6" s="82">
        <v>0</v>
      </c>
      <c r="CC6" s="9" t="s">
        <v>130</v>
      </c>
      <c r="CD6" s="8" t="s">
        <v>378</v>
      </c>
      <c r="CE6" s="8">
        <v>0</v>
      </c>
      <c r="CF6" s="8">
        <v>0</v>
      </c>
      <c r="CG6" s="8">
        <v>0</v>
      </c>
      <c r="CH6" s="8">
        <v>0</v>
      </c>
      <c r="CI6" s="8">
        <v>0</v>
      </c>
      <c r="CJ6" s="8">
        <v>0</v>
      </c>
    </row>
    <row r="7" spans="1:88" s="11" customFormat="1" ht="242.25" x14ac:dyDescent="0.25">
      <c r="A7" s="6" t="s">
        <v>182</v>
      </c>
      <c r="B7" s="6" t="s">
        <v>1611</v>
      </c>
      <c r="C7" s="8" t="s">
        <v>183</v>
      </c>
      <c r="D7" s="8" t="s">
        <v>302</v>
      </c>
      <c r="E7" s="8" t="s">
        <v>303</v>
      </c>
      <c r="F7" s="8" t="s">
        <v>0</v>
      </c>
      <c r="G7" s="8" t="s">
        <v>306</v>
      </c>
      <c r="H7" s="8">
        <v>1</v>
      </c>
      <c r="I7" s="8">
        <v>1</v>
      </c>
      <c r="J7" s="8">
        <v>0</v>
      </c>
      <c r="K7" s="8">
        <v>0</v>
      </c>
      <c r="L7" s="8">
        <v>0.5</v>
      </c>
      <c r="M7" s="8">
        <v>1</v>
      </c>
      <c r="N7" s="8" t="s">
        <v>301</v>
      </c>
      <c r="O7" s="9" t="s">
        <v>304</v>
      </c>
      <c r="P7" s="8" t="s">
        <v>305</v>
      </c>
      <c r="Q7" s="9" t="s">
        <v>1378</v>
      </c>
      <c r="R7" s="8">
        <v>1</v>
      </c>
      <c r="S7" s="8">
        <v>1</v>
      </c>
      <c r="T7" s="8">
        <v>0</v>
      </c>
      <c r="U7" s="8">
        <v>0</v>
      </c>
      <c r="V7" s="8">
        <v>0</v>
      </c>
      <c r="W7" s="8">
        <v>1</v>
      </c>
      <c r="X7" s="8">
        <v>0.5</v>
      </c>
      <c r="Y7" s="8" t="s">
        <v>300</v>
      </c>
      <c r="Z7" s="8" t="s">
        <v>1365</v>
      </c>
      <c r="AA7" s="8" t="s">
        <v>157</v>
      </c>
      <c r="AB7" s="8" t="s">
        <v>1649</v>
      </c>
      <c r="AC7" s="8" t="s">
        <v>931</v>
      </c>
      <c r="AD7" s="8" t="s">
        <v>1162</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82">
        <v>0.5</v>
      </c>
      <c r="BX7" s="82">
        <v>0.5</v>
      </c>
      <c r="BY7" s="82">
        <v>1</v>
      </c>
      <c r="BZ7" s="82">
        <v>0</v>
      </c>
      <c r="CA7" s="82">
        <v>1</v>
      </c>
      <c r="CB7" s="82">
        <v>0</v>
      </c>
      <c r="CC7" s="8" t="s">
        <v>311</v>
      </c>
      <c r="CD7" s="8" t="s">
        <v>315</v>
      </c>
      <c r="CE7" s="8">
        <v>0</v>
      </c>
      <c r="CF7" s="8">
        <v>1</v>
      </c>
      <c r="CG7" s="8">
        <v>0</v>
      </c>
      <c r="CH7" s="8">
        <v>0</v>
      </c>
      <c r="CI7" s="8">
        <v>1</v>
      </c>
      <c r="CJ7" s="8">
        <v>0</v>
      </c>
    </row>
    <row r="8" spans="1:88" s="11" customFormat="1" ht="409.5" x14ac:dyDescent="0.25">
      <c r="A8" s="17" t="s">
        <v>257</v>
      </c>
      <c r="B8" s="17" t="s">
        <v>1612</v>
      </c>
      <c r="C8" s="16" t="s">
        <v>258</v>
      </c>
      <c r="D8" s="16" t="s">
        <v>826</v>
      </c>
      <c r="E8" s="8" t="s">
        <v>130</v>
      </c>
      <c r="F8" s="8" t="s">
        <v>259</v>
      </c>
      <c r="G8" s="16" t="s">
        <v>260</v>
      </c>
      <c r="H8" s="8">
        <v>1</v>
      </c>
      <c r="I8" s="8">
        <v>1</v>
      </c>
      <c r="J8" s="16">
        <v>0</v>
      </c>
      <c r="K8" s="16">
        <v>0</v>
      </c>
      <c r="L8" s="16">
        <v>0</v>
      </c>
      <c r="M8" s="16">
        <v>1</v>
      </c>
      <c r="N8" s="119" t="s">
        <v>263</v>
      </c>
      <c r="O8" s="18" t="s">
        <v>261</v>
      </c>
      <c r="P8" s="16" t="s">
        <v>262</v>
      </c>
      <c r="Q8" s="18" t="s">
        <v>1379</v>
      </c>
      <c r="R8" s="18">
        <v>1</v>
      </c>
      <c r="S8" s="18">
        <v>1</v>
      </c>
      <c r="T8" s="18">
        <v>0</v>
      </c>
      <c r="U8" s="18">
        <v>0</v>
      </c>
      <c r="V8" s="18">
        <v>0</v>
      </c>
      <c r="W8" s="18">
        <v>1</v>
      </c>
      <c r="X8" s="18">
        <v>0</v>
      </c>
      <c r="Y8" s="9" t="s">
        <v>237</v>
      </c>
      <c r="Z8" s="16" t="s">
        <v>1371</v>
      </c>
      <c r="AA8" s="8" t="s">
        <v>110</v>
      </c>
      <c r="AB8" s="16" t="s">
        <v>254</v>
      </c>
      <c r="AC8" s="16" t="s">
        <v>255</v>
      </c>
      <c r="AD8" s="16" t="s">
        <v>264</v>
      </c>
      <c r="AE8" s="16" t="s">
        <v>1165</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3">
        <v>1</v>
      </c>
      <c r="BX8" s="83">
        <v>1</v>
      </c>
      <c r="BY8" s="83">
        <v>1</v>
      </c>
      <c r="BZ8" s="83">
        <v>1</v>
      </c>
      <c r="CA8" s="83">
        <v>1</v>
      </c>
      <c r="CB8" s="83">
        <v>1</v>
      </c>
      <c r="CC8" s="16" t="s">
        <v>1401</v>
      </c>
      <c r="CD8" s="16" t="s">
        <v>266</v>
      </c>
      <c r="CE8" s="16">
        <v>0</v>
      </c>
      <c r="CF8" s="16">
        <v>1</v>
      </c>
      <c r="CG8" s="16">
        <v>1</v>
      </c>
      <c r="CH8" s="16">
        <v>1</v>
      </c>
      <c r="CI8" s="16">
        <v>1</v>
      </c>
      <c r="CJ8" s="16">
        <v>1</v>
      </c>
    </row>
    <row r="9" spans="1:88" ht="153" x14ac:dyDescent="0.25">
      <c r="A9" s="17" t="s">
        <v>354</v>
      </c>
      <c r="B9" s="17" t="s">
        <v>1613</v>
      </c>
      <c r="C9" s="16" t="s">
        <v>355</v>
      </c>
      <c r="D9" s="16" t="s">
        <v>62</v>
      </c>
      <c r="E9" s="8" t="s">
        <v>356</v>
      </c>
      <c r="F9" s="8" t="s">
        <v>0</v>
      </c>
      <c r="G9" s="16" t="s">
        <v>358</v>
      </c>
      <c r="H9" s="8">
        <v>1</v>
      </c>
      <c r="I9" s="8">
        <v>1</v>
      </c>
      <c r="J9" s="16">
        <v>0</v>
      </c>
      <c r="K9" s="16">
        <v>1</v>
      </c>
      <c r="L9" s="16">
        <v>0</v>
      </c>
      <c r="M9" s="16">
        <v>0.5</v>
      </c>
      <c r="N9" s="16" t="s">
        <v>357</v>
      </c>
      <c r="O9" s="18" t="s">
        <v>359</v>
      </c>
      <c r="P9" s="16" t="s">
        <v>360</v>
      </c>
      <c r="Q9" s="18" t="s">
        <v>1380</v>
      </c>
      <c r="R9" s="16">
        <v>1</v>
      </c>
      <c r="S9" s="16">
        <v>0</v>
      </c>
      <c r="T9" s="16">
        <v>0</v>
      </c>
      <c r="U9" s="16">
        <v>0</v>
      </c>
      <c r="V9" s="16">
        <v>0</v>
      </c>
      <c r="W9" s="16">
        <v>1</v>
      </c>
      <c r="X9" s="16">
        <v>0</v>
      </c>
      <c r="Y9" s="16" t="s">
        <v>153</v>
      </c>
      <c r="Z9" s="16" t="s">
        <v>1373</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3">
        <v>0</v>
      </c>
      <c r="BX9" s="83">
        <v>0</v>
      </c>
      <c r="BY9" s="83">
        <v>0</v>
      </c>
      <c r="BZ9" s="83">
        <v>0</v>
      </c>
      <c r="CA9" s="83">
        <v>0</v>
      </c>
      <c r="CB9" s="83">
        <v>0</v>
      </c>
      <c r="CC9" s="16" t="s">
        <v>1402</v>
      </c>
      <c r="CD9" s="16" t="s">
        <v>368</v>
      </c>
      <c r="CE9" s="16">
        <v>0</v>
      </c>
      <c r="CF9" s="16">
        <v>0</v>
      </c>
      <c r="CG9" s="16">
        <v>0</v>
      </c>
      <c r="CH9" s="16">
        <v>0</v>
      </c>
      <c r="CI9" s="16">
        <v>0</v>
      </c>
      <c r="CJ9" s="16">
        <v>0</v>
      </c>
    </row>
    <row r="10" spans="1:88" ht="63.75" x14ac:dyDescent="0.25">
      <c r="A10" s="6" t="s">
        <v>430</v>
      </c>
      <c r="B10" s="6" t="s">
        <v>1614</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1372</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82">
        <v>0</v>
      </c>
      <c r="BX10" s="82">
        <v>0</v>
      </c>
      <c r="BY10" s="82">
        <v>0</v>
      </c>
      <c r="BZ10" s="82">
        <v>1</v>
      </c>
      <c r="CA10" s="82">
        <v>0</v>
      </c>
      <c r="CB10" s="82">
        <v>1</v>
      </c>
      <c r="CC10" s="8" t="s">
        <v>428</v>
      </c>
      <c r="CD10" s="8" t="s">
        <v>429</v>
      </c>
      <c r="CE10" s="8">
        <v>0</v>
      </c>
      <c r="CF10" s="8">
        <v>0</v>
      </c>
      <c r="CG10" s="8">
        <v>0</v>
      </c>
      <c r="CH10" s="8">
        <v>0</v>
      </c>
      <c r="CI10" s="8">
        <v>0</v>
      </c>
      <c r="CJ10" s="8">
        <v>0</v>
      </c>
    </row>
    <row r="11" spans="1:88" s="11" customFormat="1" ht="242.25" x14ac:dyDescent="0.25">
      <c r="A11" s="6" t="s">
        <v>409</v>
      </c>
      <c r="B11" s="6" t="s">
        <v>1615</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1374</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82">
        <v>1</v>
      </c>
      <c r="BX11" s="82">
        <v>1</v>
      </c>
      <c r="BY11" s="82">
        <v>1</v>
      </c>
      <c r="BZ11" s="82">
        <v>0</v>
      </c>
      <c r="CA11" s="82">
        <v>0.5</v>
      </c>
      <c r="CB11" s="82">
        <v>0</v>
      </c>
      <c r="CC11" s="8" t="s">
        <v>1403</v>
      </c>
      <c r="CD11" s="8" t="s">
        <v>314</v>
      </c>
      <c r="CE11" s="8">
        <v>0</v>
      </c>
      <c r="CF11" s="8">
        <v>0</v>
      </c>
      <c r="CG11" s="8">
        <v>1</v>
      </c>
      <c r="CH11" s="8">
        <v>0</v>
      </c>
      <c r="CI11" s="8">
        <v>0</v>
      </c>
      <c r="CJ11" s="8">
        <v>1</v>
      </c>
    </row>
    <row r="12" spans="1:88" s="11" customFormat="1" ht="102" x14ac:dyDescent="0.25">
      <c r="A12" s="6" t="s">
        <v>392</v>
      </c>
      <c r="B12" s="6" t="s">
        <v>1616</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82">
        <v>0</v>
      </c>
      <c r="BX12" s="82">
        <v>1</v>
      </c>
      <c r="BY12" s="82">
        <v>0</v>
      </c>
      <c r="BZ12" s="82">
        <v>1</v>
      </c>
      <c r="CA12" s="82">
        <v>1</v>
      </c>
      <c r="CB12" s="82">
        <v>0.5</v>
      </c>
      <c r="CC12" s="8" t="s">
        <v>1404</v>
      </c>
      <c r="CD12" s="8" t="s">
        <v>1405</v>
      </c>
      <c r="CE12" s="8">
        <v>0</v>
      </c>
      <c r="CF12" s="8">
        <v>0</v>
      </c>
      <c r="CG12" s="8">
        <v>0</v>
      </c>
      <c r="CH12" s="8">
        <v>0</v>
      </c>
      <c r="CI12" s="8">
        <v>0</v>
      </c>
      <c r="CJ12" s="8">
        <v>0</v>
      </c>
    </row>
    <row r="13" spans="1:88" ht="204" x14ac:dyDescent="0.25">
      <c r="A13" s="6" t="s">
        <v>1675</v>
      </c>
      <c r="B13" s="6" t="s">
        <v>1676</v>
      </c>
      <c r="C13" s="31" t="s">
        <v>1677</v>
      </c>
      <c r="D13" s="31" t="s">
        <v>63</v>
      </c>
      <c r="E13" s="8" t="s">
        <v>1678</v>
      </c>
      <c r="F13" s="8" t="s">
        <v>1679</v>
      </c>
      <c r="G13" s="9" t="s">
        <v>1682</v>
      </c>
      <c r="H13" s="8">
        <v>1</v>
      </c>
      <c r="I13" s="8">
        <v>1</v>
      </c>
      <c r="J13" s="8">
        <v>1</v>
      </c>
      <c r="K13" s="8">
        <v>0</v>
      </c>
      <c r="L13" s="31">
        <v>1</v>
      </c>
      <c r="M13" s="8">
        <v>1</v>
      </c>
      <c r="N13" s="12" t="s">
        <v>1680</v>
      </c>
      <c r="O13" s="9" t="s">
        <v>1728</v>
      </c>
      <c r="P13" s="8" t="s">
        <v>1729</v>
      </c>
      <c r="Q13" s="8" t="s">
        <v>1700</v>
      </c>
      <c r="R13" s="8">
        <v>1</v>
      </c>
      <c r="S13" s="8">
        <v>1</v>
      </c>
      <c r="T13" s="8">
        <v>0</v>
      </c>
      <c r="U13" s="8">
        <v>0</v>
      </c>
      <c r="V13" s="8">
        <v>0</v>
      </c>
      <c r="W13" s="8">
        <v>1</v>
      </c>
      <c r="X13" s="8">
        <v>0</v>
      </c>
      <c r="Y13" s="8" t="s">
        <v>1702</v>
      </c>
      <c r="Z13" s="12" t="s">
        <v>1680</v>
      </c>
      <c r="AA13" s="8" t="s">
        <v>110</v>
      </c>
      <c r="AB13" s="8" t="s">
        <v>1730</v>
      </c>
      <c r="AC13" s="8" t="s">
        <v>1731</v>
      </c>
      <c r="AD13" s="8" t="s">
        <v>1732</v>
      </c>
      <c r="AE13" s="8" t="s">
        <v>1733</v>
      </c>
      <c r="AF13" s="8" t="s">
        <v>1734</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1735</v>
      </c>
      <c r="AL13" s="8">
        <v>1</v>
      </c>
      <c r="AM13" s="8">
        <v>1</v>
      </c>
      <c r="AN13" s="8">
        <v>1</v>
      </c>
      <c r="AO13" s="8">
        <v>0</v>
      </c>
      <c r="AP13" s="8">
        <v>1</v>
      </c>
      <c r="AQ13" s="8">
        <v>0</v>
      </c>
      <c r="AR13" s="8">
        <v>1</v>
      </c>
      <c r="AS13" s="8">
        <v>1</v>
      </c>
      <c r="AT13" s="8">
        <v>1</v>
      </c>
      <c r="AU13" s="8">
        <v>10008</v>
      </c>
      <c r="AV13" s="8" t="s">
        <v>1736</v>
      </c>
      <c r="AW13" s="8">
        <v>0</v>
      </c>
      <c r="AX13" s="8">
        <v>1</v>
      </c>
      <c r="AY13" s="8">
        <v>1</v>
      </c>
      <c r="AZ13" s="8">
        <v>0</v>
      </c>
      <c r="BA13" s="8">
        <v>0</v>
      </c>
      <c r="BB13" s="8">
        <v>0</v>
      </c>
      <c r="BC13" s="8" t="s">
        <v>1737</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82">
        <v>1</v>
      </c>
      <c r="BX13" s="82">
        <v>1</v>
      </c>
      <c r="BY13" s="82">
        <v>1</v>
      </c>
      <c r="BZ13" s="82">
        <v>1</v>
      </c>
      <c r="CA13" s="82">
        <v>1</v>
      </c>
      <c r="CB13" s="82">
        <v>1</v>
      </c>
      <c r="CC13" s="8" t="s">
        <v>1738</v>
      </c>
      <c r="CD13" s="8" t="s">
        <v>1681</v>
      </c>
      <c r="CE13" s="8">
        <v>0</v>
      </c>
      <c r="CF13" s="8">
        <v>0</v>
      </c>
      <c r="CG13" s="8">
        <v>0</v>
      </c>
      <c r="CH13" s="8">
        <v>0</v>
      </c>
      <c r="CI13" s="8">
        <v>0</v>
      </c>
      <c r="CJ13" s="8">
        <v>0</v>
      </c>
    </row>
    <row r="14" spans="1:88" s="11" customFormat="1" ht="51" x14ac:dyDescent="0.25">
      <c r="A14" s="20" t="s">
        <v>379</v>
      </c>
      <c r="B14" s="6" t="s">
        <v>1617</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20"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4">
        <v>1</v>
      </c>
      <c r="BX14" s="82">
        <v>0.5</v>
      </c>
      <c r="BY14" s="84">
        <v>0</v>
      </c>
      <c r="BZ14" s="84">
        <v>0</v>
      </c>
      <c r="CA14" s="84">
        <v>0</v>
      </c>
      <c r="CB14" s="84">
        <v>0</v>
      </c>
      <c r="CC14" s="9" t="s">
        <v>130</v>
      </c>
      <c r="CD14" s="21" t="s">
        <v>387</v>
      </c>
      <c r="CE14" s="21">
        <v>0</v>
      </c>
      <c r="CF14" s="21">
        <v>0</v>
      </c>
      <c r="CG14" s="21">
        <v>0</v>
      </c>
      <c r="CH14" s="8">
        <v>0</v>
      </c>
      <c r="CI14" s="8">
        <v>0</v>
      </c>
      <c r="CJ14" s="8">
        <v>0</v>
      </c>
    </row>
    <row r="15" spans="1:88" ht="76.5" x14ac:dyDescent="0.25">
      <c r="A15" s="6" t="s">
        <v>1704</v>
      </c>
      <c r="B15" s="6" t="s">
        <v>1705</v>
      </c>
      <c r="C15" s="117" t="s">
        <v>1706</v>
      </c>
      <c r="D15" s="31" t="s">
        <v>1707</v>
      </c>
      <c r="E15" s="8" t="s">
        <v>1708</v>
      </c>
      <c r="F15" s="8" t="s">
        <v>1709</v>
      </c>
      <c r="G15" s="9" t="s">
        <v>1711</v>
      </c>
      <c r="H15" s="8">
        <v>1</v>
      </c>
      <c r="I15" s="8">
        <v>1</v>
      </c>
      <c r="J15" s="8">
        <v>1</v>
      </c>
      <c r="K15" s="8">
        <v>1</v>
      </c>
      <c r="L15" s="31">
        <v>0</v>
      </c>
      <c r="M15" s="8">
        <v>1</v>
      </c>
      <c r="N15" s="12" t="s">
        <v>1739</v>
      </c>
      <c r="O15" s="9" t="s">
        <v>1740</v>
      </c>
      <c r="P15" s="8" t="s">
        <v>1741</v>
      </c>
      <c r="Q15" s="8" t="s">
        <v>1710</v>
      </c>
      <c r="R15" s="8">
        <v>1</v>
      </c>
      <c r="S15" s="8">
        <v>1</v>
      </c>
      <c r="T15" s="8">
        <v>0</v>
      </c>
      <c r="U15" s="8">
        <v>0</v>
      </c>
      <c r="V15" s="8">
        <v>1</v>
      </c>
      <c r="W15" s="8">
        <v>0.5</v>
      </c>
      <c r="X15" s="8">
        <v>1</v>
      </c>
      <c r="Y15" s="8" t="s">
        <v>1713</v>
      </c>
      <c r="Z15" s="12" t="s">
        <v>1712</v>
      </c>
      <c r="AA15" s="8" t="s">
        <v>109</v>
      </c>
      <c r="AB15" s="8" t="s">
        <v>1796</v>
      </c>
      <c r="AC15" s="8" t="s">
        <v>1742</v>
      </c>
      <c r="AD15" s="8" t="s">
        <v>1743</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1744</v>
      </c>
      <c r="AL15" s="8">
        <v>1</v>
      </c>
      <c r="AM15" s="8">
        <v>1</v>
      </c>
      <c r="AN15" s="8">
        <v>1</v>
      </c>
      <c r="AO15" s="8">
        <v>1</v>
      </c>
      <c r="AP15" s="8">
        <v>1</v>
      </c>
      <c r="AQ15" s="8">
        <v>1</v>
      </c>
      <c r="AR15" s="8">
        <v>1</v>
      </c>
      <c r="AS15" s="8">
        <v>1</v>
      </c>
      <c r="AT15" s="8">
        <v>1</v>
      </c>
      <c r="AU15" s="9" t="s">
        <v>1712</v>
      </c>
      <c r="AV15" s="8" t="s">
        <v>1745</v>
      </c>
      <c r="AW15" s="8">
        <v>0</v>
      </c>
      <c r="AX15" s="8">
        <v>1</v>
      </c>
      <c r="AY15" s="8">
        <v>1</v>
      </c>
      <c r="AZ15" s="8">
        <v>0</v>
      </c>
      <c r="BA15" s="8">
        <v>0</v>
      </c>
      <c r="BB15" s="8">
        <v>0</v>
      </c>
      <c r="BC15" s="8" t="s">
        <v>1746</v>
      </c>
      <c r="BD15" s="8" t="str">
        <f>LEFT(Gesamtueberblick!$BC15,4)</f>
        <v>2019</v>
      </c>
      <c r="BE15" s="8" t="s">
        <v>1674</v>
      </c>
      <c r="BF15" s="8">
        <v>1</v>
      </c>
      <c r="BG15" s="8">
        <v>1</v>
      </c>
      <c r="BH15" s="8" t="s">
        <v>1674</v>
      </c>
      <c r="BI15" s="10" t="s">
        <v>1748</v>
      </c>
      <c r="BJ15" s="10"/>
      <c r="BK15" s="10" t="s">
        <v>1747</v>
      </c>
      <c r="BL15" s="10"/>
      <c r="BM15" s="10" t="s">
        <v>1749</v>
      </c>
      <c r="BN15" s="10"/>
      <c r="BO15" s="10"/>
      <c r="BP15" s="10"/>
      <c r="BQ15" s="10"/>
      <c r="BR15" s="10"/>
      <c r="BS15" s="10"/>
      <c r="BT15" s="10"/>
      <c r="BU15" s="10"/>
      <c r="BV15" s="10"/>
      <c r="BW15" s="82">
        <v>1</v>
      </c>
      <c r="BX15" s="82">
        <v>1</v>
      </c>
      <c r="BY15" s="82">
        <v>1</v>
      </c>
      <c r="BZ15" s="82">
        <v>1</v>
      </c>
      <c r="CA15" s="82">
        <v>1</v>
      </c>
      <c r="CB15" s="82">
        <v>1</v>
      </c>
      <c r="CC15" s="8" t="s">
        <v>1750</v>
      </c>
      <c r="CD15" s="8" t="s">
        <v>1751</v>
      </c>
      <c r="CE15" s="8">
        <v>0</v>
      </c>
      <c r="CF15" s="8">
        <v>0</v>
      </c>
      <c r="CG15" s="8">
        <v>0</v>
      </c>
      <c r="CH15" s="8">
        <v>0</v>
      </c>
      <c r="CI15" s="8">
        <v>0</v>
      </c>
      <c r="CJ15" s="8">
        <v>0</v>
      </c>
    </row>
    <row r="16" spans="1:88" s="11" customFormat="1" ht="204" x14ac:dyDescent="0.25">
      <c r="A16" s="6" t="s">
        <v>95</v>
      </c>
      <c r="B16" s="6" t="s">
        <v>1618</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82">
        <v>0</v>
      </c>
      <c r="BX16" s="82">
        <v>0.5</v>
      </c>
      <c r="BY16" s="82">
        <v>0.5</v>
      </c>
      <c r="BZ16" s="82">
        <v>0</v>
      </c>
      <c r="CA16" s="82">
        <v>0</v>
      </c>
      <c r="CB16" s="82">
        <v>0</v>
      </c>
      <c r="CC16" s="8" t="s">
        <v>40</v>
      </c>
      <c r="CD16" s="8" t="s">
        <v>1407</v>
      </c>
      <c r="CE16" s="8">
        <v>0</v>
      </c>
      <c r="CF16" s="8">
        <v>1</v>
      </c>
      <c r="CG16" s="8">
        <v>1</v>
      </c>
      <c r="CH16" s="8">
        <v>0</v>
      </c>
      <c r="CI16" s="8">
        <v>0</v>
      </c>
      <c r="CJ16" s="8">
        <v>0</v>
      </c>
    </row>
    <row r="17" spans="1:88" ht="191.25" x14ac:dyDescent="0.25">
      <c r="A17" s="6" t="s">
        <v>1650</v>
      </c>
      <c r="B17" s="6" t="s">
        <v>1619</v>
      </c>
      <c r="C17" s="8" t="s">
        <v>1652</v>
      </c>
      <c r="D17" s="8" t="s">
        <v>66</v>
      </c>
      <c r="E17" s="8" t="s">
        <v>221</v>
      </c>
      <c r="F17" s="8" t="s">
        <v>1653</v>
      </c>
      <c r="G17" s="8" t="s">
        <v>1654</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1167</v>
      </c>
      <c r="BD17" s="38" t="s">
        <v>1167</v>
      </c>
      <c r="BE17" s="8">
        <v>0</v>
      </c>
      <c r="BF17" s="8">
        <v>0</v>
      </c>
      <c r="BG17" s="8">
        <v>0</v>
      </c>
      <c r="BH17" s="8">
        <v>0</v>
      </c>
      <c r="BI17" s="10">
        <v>0.45</v>
      </c>
      <c r="BJ17" s="10"/>
      <c r="BK17" s="10"/>
      <c r="BL17" s="10"/>
      <c r="BM17" s="10"/>
      <c r="BN17" s="10"/>
      <c r="BO17" s="10"/>
      <c r="BP17" s="10"/>
      <c r="BQ17" s="10"/>
      <c r="BR17" s="10"/>
      <c r="BS17" s="10"/>
      <c r="BT17" s="10"/>
      <c r="BU17" s="10"/>
      <c r="BV17" s="10"/>
      <c r="BW17" s="82">
        <v>0</v>
      </c>
      <c r="BX17" s="82">
        <v>0</v>
      </c>
      <c r="BY17" s="82">
        <v>1</v>
      </c>
      <c r="BZ17" s="82">
        <v>1</v>
      </c>
      <c r="CA17" s="82">
        <v>0.5</v>
      </c>
      <c r="CB17" s="82">
        <v>0</v>
      </c>
      <c r="CC17" s="8" t="s">
        <v>1406</v>
      </c>
      <c r="CD17" s="8" t="s">
        <v>222</v>
      </c>
      <c r="CE17" s="8">
        <v>0</v>
      </c>
      <c r="CF17" s="8">
        <v>0</v>
      </c>
      <c r="CG17" s="8">
        <v>1</v>
      </c>
      <c r="CH17" s="8">
        <v>0</v>
      </c>
      <c r="CI17" s="8">
        <v>0</v>
      </c>
      <c r="CJ17" s="8">
        <v>0</v>
      </c>
    </row>
    <row r="18" spans="1:88" s="11" customFormat="1" ht="76.5" x14ac:dyDescent="0.25">
      <c r="A18" s="6" t="s">
        <v>178</v>
      </c>
      <c r="B18" s="6" t="s">
        <v>1620</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82">
        <v>0</v>
      </c>
      <c r="BX18" s="82">
        <v>0</v>
      </c>
      <c r="BY18" s="82">
        <v>0</v>
      </c>
      <c r="BZ18" s="82">
        <v>0</v>
      </c>
      <c r="CA18" s="82">
        <v>0</v>
      </c>
      <c r="CB18" s="82">
        <v>0</v>
      </c>
      <c r="CC18" s="8" t="s">
        <v>1402</v>
      </c>
      <c r="CD18" s="8" t="s">
        <v>331</v>
      </c>
      <c r="CE18" s="8">
        <v>1</v>
      </c>
      <c r="CF18" s="8">
        <v>0</v>
      </c>
      <c r="CG18" s="8">
        <v>0</v>
      </c>
      <c r="CH18" s="8">
        <v>0</v>
      </c>
      <c r="CI18" s="8">
        <v>0</v>
      </c>
      <c r="CJ18" s="8">
        <v>0</v>
      </c>
    </row>
    <row r="19" spans="1:88" ht="409.5" x14ac:dyDescent="0.25">
      <c r="A19" s="6" t="s">
        <v>340</v>
      </c>
      <c r="B19" s="6" t="s">
        <v>1621</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1166</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82">
        <v>1</v>
      </c>
      <c r="BX19" s="82">
        <v>1</v>
      </c>
      <c r="BY19" s="82">
        <v>1</v>
      </c>
      <c r="BZ19" s="82">
        <v>1</v>
      </c>
      <c r="CA19" s="82">
        <v>1</v>
      </c>
      <c r="CB19" s="82">
        <v>1</v>
      </c>
      <c r="CC19" s="8" t="s">
        <v>1408</v>
      </c>
      <c r="CD19" s="8" t="s">
        <v>444</v>
      </c>
      <c r="CE19" s="8">
        <v>0</v>
      </c>
      <c r="CF19" s="8">
        <v>0</v>
      </c>
      <c r="CG19" s="8">
        <v>0</v>
      </c>
      <c r="CH19" s="8">
        <v>1</v>
      </c>
      <c r="CI19" s="8">
        <v>1</v>
      </c>
      <c r="CJ19" s="8">
        <v>1</v>
      </c>
    </row>
    <row r="20" spans="1:88" s="11" customFormat="1" ht="229.5" x14ac:dyDescent="0.25">
      <c r="A20" s="6" t="s">
        <v>22</v>
      </c>
      <c r="B20" s="6" t="s">
        <v>1622</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1167</v>
      </c>
      <c r="BE20" s="8">
        <v>0.5</v>
      </c>
      <c r="BF20" s="8">
        <v>0</v>
      </c>
      <c r="BG20" s="8">
        <v>0.5</v>
      </c>
      <c r="BH20" s="8">
        <v>0</v>
      </c>
      <c r="BI20" s="10" t="s">
        <v>45</v>
      </c>
      <c r="BJ20" s="10"/>
      <c r="BK20" s="10"/>
      <c r="BL20" s="10"/>
      <c r="BM20" s="10"/>
      <c r="BN20" s="10"/>
      <c r="BO20" s="10"/>
      <c r="BP20" s="10"/>
      <c r="BQ20" s="10"/>
      <c r="BR20" s="10"/>
      <c r="BS20" s="10"/>
      <c r="BT20" s="10"/>
      <c r="BU20" s="10"/>
      <c r="BV20" s="10"/>
      <c r="BW20" s="82">
        <v>1</v>
      </c>
      <c r="BX20" s="82">
        <v>0</v>
      </c>
      <c r="BY20" s="82">
        <v>0</v>
      </c>
      <c r="BZ20" s="82">
        <v>0</v>
      </c>
      <c r="CA20" s="82">
        <v>0</v>
      </c>
      <c r="CB20" s="82">
        <v>0</v>
      </c>
      <c r="CC20" s="8" t="s">
        <v>1410</v>
      </c>
      <c r="CD20" s="8" t="s">
        <v>1409</v>
      </c>
      <c r="CE20" s="8">
        <v>0</v>
      </c>
      <c r="CF20" s="8">
        <v>0</v>
      </c>
      <c r="CG20" s="8">
        <v>1</v>
      </c>
      <c r="CH20" s="8">
        <v>0</v>
      </c>
      <c r="CI20" s="8">
        <v>0</v>
      </c>
      <c r="CJ20" s="8">
        <v>1</v>
      </c>
    </row>
    <row r="21" spans="1:88" ht="76.5" x14ac:dyDescent="0.25">
      <c r="A21" s="6" t="s">
        <v>187</v>
      </c>
      <c r="B21" s="6" t="s">
        <v>1623</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82">
        <v>0.5</v>
      </c>
      <c r="BX21" s="82">
        <v>0</v>
      </c>
      <c r="BY21" s="82">
        <v>0.5</v>
      </c>
      <c r="BZ21" s="82">
        <v>0.5</v>
      </c>
      <c r="CA21" s="82">
        <v>0</v>
      </c>
      <c r="CB21" s="82">
        <v>0</v>
      </c>
      <c r="CC21" s="8" t="s">
        <v>1411</v>
      </c>
      <c r="CD21" s="8" t="s">
        <v>330</v>
      </c>
      <c r="CE21" s="8">
        <v>1</v>
      </c>
      <c r="CF21" s="8">
        <v>0</v>
      </c>
      <c r="CG21" s="8">
        <v>0</v>
      </c>
      <c r="CH21" s="8">
        <v>1</v>
      </c>
      <c r="CI21" s="8">
        <v>0</v>
      </c>
      <c r="CJ21" s="8">
        <v>0</v>
      </c>
    </row>
    <row r="22" spans="1:88" s="11" customFormat="1" ht="51" x14ac:dyDescent="0.25">
      <c r="A22" s="6" t="s">
        <v>1683</v>
      </c>
      <c r="B22" s="6" t="s">
        <v>1684</v>
      </c>
      <c r="C22" s="8" t="s">
        <v>1685</v>
      </c>
      <c r="D22" s="8" t="s">
        <v>1686</v>
      </c>
      <c r="E22" s="8" t="s">
        <v>130</v>
      </c>
      <c r="F22" s="8" t="s">
        <v>1679</v>
      </c>
      <c r="G22" s="9" t="s">
        <v>1687</v>
      </c>
      <c r="H22" s="8">
        <v>1</v>
      </c>
      <c r="I22" s="8">
        <v>0</v>
      </c>
      <c r="J22" s="8">
        <v>0</v>
      </c>
      <c r="K22" s="8">
        <v>0</v>
      </c>
      <c r="L22" s="8">
        <v>0</v>
      </c>
      <c r="M22" s="8">
        <v>1</v>
      </c>
      <c r="N22" s="13" t="s">
        <v>1688</v>
      </c>
      <c r="O22" s="9" t="s">
        <v>1752</v>
      </c>
      <c r="P22" s="8">
        <v>1292</v>
      </c>
      <c r="Q22" s="9" t="s">
        <v>1689</v>
      </c>
      <c r="R22" s="8">
        <v>1</v>
      </c>
      <c r="S22" s="8">
        <v>0</v>
      </c>
      <c r="T22" s="8">
        <v>0</v>
      </c>
      <c r="U22" s="8">
        <v>0</v>
      </c>
      <c r="V22" s="8">
        <v>0</v>
      </c>
      <c r="W22" s="8">
        <v>0</v>
      </c>
      <c r="X22" s="8">
        <v>0</v>
      </c>
      <c r="Y22" s="8">
        <v>2014</v>
      </c>
      <c r="Z22" s="8" t="s">
        <v>1688</v>
      </c>
      <c r="AA22" s="8" t="s">
        <v>110</v>
      </c>
      <c r="AB22" s="8" t="s">
        <v>1753</v>
      </c>
      <c r="AC22" s="8"/>
      <c r="AD22" s="8" t="s">
        <v>1021</v>
      </c>
      <c r="AE22" s="8" t="s">
        <v>1754</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1755</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82">
        <v>0</v>
      </c>
      <c r="BX22" s="82">
        <v>0</v>
      </c>
      <c r="BY22" s="82">
        <v>0</v>
      </c>
      <c r="BZ22" s="82">
        <v>0</v>
      </c>
      <c r="CA22" s="82">
        <v>0</v>
      </c>
      <c r="CB22" s="82">
        <v>0</v>
      </c>
      <c r="CC22" s="8" t="s">
        <v>130</v>
      </c>
      <c r="CD22" s="8" t="s">
        <v>1690</v>
      </c>
      <c r="CE22" s="8">
        <v>0</v>
      </c>
      <c r="CF22" s="8">
        <v>0</v>
      </c>
      <c r="CG22" s="8">
        <v>0</v>
      </c>
      <c r="CH22" s="8">
        <v>0</v>
      </c>
      <c r="CI22" s="8">
        <v>0</v>
      </c>
      <c r="CJ22" s="8">
        <v>0</v>
      </c>
    </row>
    <row r="23" spans="1:88" ht="165.75" x14ac:dyDescent="0.25">
      <c r="A23" s="6" t="s">
        <v>132</v>
      </c>
      <c r="B23" s="6" t="s">
        <v>1624</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82">
        <v>1</v>
      </c>
      <c r="BX23" s="82">
        <v>1</v>
      </c>
      <c r="BY23" s="82">
        <v>1</v>
      </c>
      <c r="BZ23" s="82">
        <v>1</v>
      </c>
      <c r="CA23" s="82">
        <v>0</v>
      </c>
      <c r="CB23" s="82">
        <v>0.5</v>
      </c>
      <c r="CC23" s="8" t="s">
        <v>1412</v>
      </c>
      <c r="CD23" s="8" t="s">
        <v>218</v>
      </c>
      <c r="CE23" s="8">
        <v>1</v>
      </c>
      <c r="CF23" s="8">
        <v>1</v>
      </c>
      <c r="CG23" s="8">
        <v>1</v>
      </c>
      <c r="CH23" s="8">
        <v>1</v>
      </c>
      <c r="CI23" s="8">
        <v>0</v>
      </c>
      <c r="CJ23" s="8">
        <v>1</v>
      </c>
    </row>
    <row r="24" spans="1:88" s="11" customFormat="1" ht="89.25" x14ac:dyDescent="0.25">
      <c r="A24" s="6" t="s">
        <v>1721</v>
      </c>
      <c r="B24" s="6" t="s">
        <v>1722</v>
      </c>
      <c r="C24" s="8" t="s">
        <v>1756</v>
      </c>
      <c r="D24" s="8" t="s">
        <v>62</v>
      </c>
      <c r="E24" s="8" t="s">
        <v>1724</v>
      </c>
      <c r="F24" s="8" t="s">
        <v>1723</v>
      </c>
      <c r="G24" s="9" t="s">
        <v>1757</v>
      </c>
      <c r="H24" s="8">
        <v>1</v>
      </c>
      <c r="I24" s="8">
        <v>1</v>
      </c>
      <c r="J24" s="8">
        <v>0</v>
      </c>
      <c r="K24" s="8">
        <v>0</v>
      </c>
      <c r="L24" s="8">
        <v>0</v>
      </c>
      <c r="M24" s="8">
        <v>1</v>
      </c>
      <c r="N24" s="115" t="s">
        <v>1758</v>
      </c>
      <c r="O24" s="9" t="s">
        <v>1759</v>
      </c>
      <c r="P24" s="8" t="s">
        <v>1760</v>
      </c>
      <c r="Q24" s="9" t="s">
        <v>1761</v>
      </c>
      <c r="R24" s="8">
        <v>1</v>
      </c>
      <c r="S24" s="8">
        <v>1</v>
      </c>
      <c r="T24" s="8">
        <v>0</v>
      </c>
      <c r="U24" s="8">
        <v>0</v>
      </c>
      <c r="V24" s="8">
        <v>0</v>
      </c>
      <c r="W24" s="8">
        <v>0</v>
      </c>
      <c r="X24" s="8">
        <v>0</v>
      </c>
      <c r="Y24" s="8">
        <v>2017</v>
      </c>
      <c r="Z24" s="115" t="s">
        <v>1785</v>
      </c>
      <c r="AA24" s="8" t="s">
        <v>157</v>
      </c>
      <c r="AB24" s="8"/>
      <c r="AC24" s="8"/>
      <c r="AD24" s="8"/>
      <c r="AE24" s="8" t="s">
        <v>1762</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1763</v>
      </c>
      <c r="AL24" s="8">
        <v>1</v>
      </c>
      <c r="AM24" s="8">
        <v>1</v>
      </c>
      <c r="AN24" s="8">
        <v>1</v>
      </c>
      <c r="AO24" s="8">
        <v>0</v>
      </c>
      <c r="AP24" s="8">
        <v>0</v>
      </c>
      <c r="AQ24" s="8">
        <v>0.5</v>
      </c>
      <c r="AR24" s="8">
        <v>0</v>
      </c>
      <c r="AS24" s="8">
        <v>0</v>
      </c>
      <c r="AT24" s="8">
        <v>0</v>
      </c>
      <c r="AU24" s="115" t="s">
        <v>1758</v>
      </c>
      <c r="AV24" s="8" t="s">
        <v>33</v>
      </c>
      <c r="AW24" s="8">
        <v>0</v>
      </c>
      <c r="AX24" s="8">
        <v>1</v>
      </c>
      <c r="AY24" s="8">
        <v>0</v>
      </c>
      <c r="AZ24" s="8">
        <v>0</v>
      </c>
      <c r="BA24" s="8">
        <v>0</v>
      </c>
      <c r="BB24" s="8">
        <v>0</v>
      </c>
      <c r="BC24" s="38" t="s">
        <v>1167</v>
      </c>
      <c r="BD24" s="38" t="s">
        <v>1167</v>
      </c>
      <c r="BE24" s="8">
        <v>0</v>
      </c>
      <c r="BF24" s="8">
        <v>0</v>
      </c>
      <c r="BG24" s="8">
        <v>0</v>
      </c>
      <c r="BH24" s="8">
        <v>0</v>
      </c>
      <c r="BI24" s="10"/>
      <c r="BJ24" s="10"/>
      <c r="BK24" s="10"/>
      <c r="BL24" s="10"/>
      <c r="BM24" s="10"/>
      <c r="BN24" s="10"/>
      <c r="BO24" s="10"/>
      <c r="BP24" s="10"/>
      <c r="BQ24" s="10"/>
      <c r="BR24" s="10"/>
      <c r="BS24" s="10"/>
      <c r="BT24" s="10"/>
      <c r="BU24" s="10"/>
      <c r="BV24" s="10"/>
      <c r="BW24" s="82">
        <v>1</v>
      </c>
      <c r="BX24" s="82">
        <v>1</v>
      </c>
      <c r="BY24" s="82">
        <v>1</v>
      </c>
      <c r="BZ24" s="82">
        <v>1</v>
      </c>
      <c r="CA24" s="82">
        <v>1</v>
      </c>
      <c r="CB24" s="82">
        <v>1</v>
      </c>
      <c r="CC24" s="115" t="s">
        <v>1765</v>
      </c>
      <c r="CD24" s="8" t="s">
        <v>1764</v>
      </c>
      <c r="CE24" s="8">
        <v>0</v>
      </c>
      <c r="CF24" s="8">
        <v>0</v>
      </c>
      <c r="CG24" s="8">
        <v>0</v>
      </c>
      <c r="CH24" s="8">
        <v>0</v>
      </c>
      <c r="CI24" s="8">
        <v>0</v>
      </c>
      <c r="CJ24" s="8">
        <v>0</v>
      </c>
    </row>
    <row r="25" spans="1:88" ht="102" x14ac:dyDescent="0.25">
      <c r="A25" s="6" t="s">
        <v>10</v>
      </c>
      <c r="B25" s="6" t="s">
        <v>1625</v>
      </c>
      <c r="C25" s="8" t="s">
        <v>9</v>
      </c>
      <c r="D25" s="8" t="s">
        <v>68</v>
      </c>
      <c r="E25" s="8" t="s">
        <v>130</v>
      </c>
      <c r="F25" s="8" t="s">
        <v>60</v>
      </c>
      <c r="G25" s="8" t="s">
        <v>1413</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82">
        <v>1</v>
      </c>
      <c r="BX25" s="82">
        <v>0</v>
      </c>
      <c r="BY25" s="82">
        <v>0</v>
      </c>
      <c r="BZ25" s="82">
        <v>0</v>
      </c>
      <c r="CA25" s="82">
        <v>0</v>
      </c>
      <c r="CB25" s="82">
        <v>0.5</v>
      </c>
      <c r="CC25" s="8" t="s">
        <v>1414</v>
      </c>
      <c r="CD25" s="8" t="s">
        <v>312</v>
      </c>
      <c r="CE25" s="8">
        <v>0</v>
      </c>
      <c r="CF25" s="8">
        <v>0</v>
      </c>
      <c r="CG25" s="8">
        <v>1</v>
      </c>
      <c r="CH25" s="8">
        <v>0</v>
      </c>
      <c r="CI25" s="8">
        <v>0</v>
      </c>
      <c r="CJ25" s="8">
        <v>1</v>
      </c>
    </row>
    <row r="26" spans="1:88" s="11" customFormat="1" ht="409.5" x14ac:dyDescent="0.25">
      <c r="A26" s="6" t="s">
        <v>1651</v>
      </c>
      <c r="B26" s="6" t="s">
        <v>1626</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82">
        <v>1</v>
      </c>
      <c r="BX26" s="82">
        <v>1</v>
      </c>
      <c r="BY26" s="82">
        <v>1</v>
      </c>
      <c r="BZ26" s="82">
        <v>1</v>
      </c>
      <c r="CA26" s="82">
        <v>1</v>
      </c>
      <c r="CB26" s="82">
        <v>0</v>
      </c>
      <c r="CC26" s="8" t="s">
        <v>1415</v>
      </c>
      <c r="CD26" s="8" t="s">
        <v>275</v>
      </c>
      <c r="CE26" s="8">
        <v>0</v>
      </c>
      <c r="CF26" s="8">
        <v>0</v>
      </c>
      <c r="CG26" s="8">
        <v>1</v>
      </c>
      <c r="CH26" s="8">
        <v>1</v>
      </c>
      <c r="CI26" s="8">
        <v>1</v>
      </c>
      <c r="CJ26" s="8">
        <v>1</v>
      </c>
    </row>
    <row r="27" spans="1:88" s="11" customFormat="1" ht="76.5" x14ac:dyDescent="0.25">
      <c r="A27" s="6" t="s">
        <v>16</v>
      </c>
      <c r="B27" s="6" t="s">
        <v>1627</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82">
        <v>0</v>
      </c>
      <c r="BX27" s="82">
        <v>0</v>
      </c>
      <c r="BY27" s="82">
        <v>0</v>
      </c>
      <c r="BZ27" s="82">
        <v>0</v>
      </c>
      <c r="CA27" s="82">
        <v>0</v>
      </c>
      <c r="CB27" s="82">
        <v>0</v>
      </c>
      <c r="CC27" s="8" t="s">
        <v>1402</v>
      </c>
      <c r="CD27" s="8" t="s">
        <v>313</v>
      </c>
      <c r="CE27" s="8">
        <v>0</v>
      </c>
      <c r="CF27" s="8">
        <v>0</v>
      </c>
      <c r="CG27" s="8">
        <v>1</v>
      </c>
      <c r="CH27" s="8">
        <v>0</v>
      </c>
      <c r="CI27" s="8">
        <v>0</v>
      </c>
      <c r="CJ27" s="8">
        <v>0</v>
      </c>
    </row>
    <row r="28" spans="1:88" ht="76.5" x14ac:dyDescent="0.25">
      <c r="A28" s="6" t="s">
        <v>7</v>
      </c>
      <c r="B28" s="6" t="s">
        <v>1628</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82">
        <v>0</v>
      </c>
      <c r="BX28" s="82">
        <v>0</v>
      </c>
      <c r="BY28" s="82">
        <v>0</v>
      </c>
      <c r="BZ28" s="82">
        <v>0</v>
      </c>
      <c r="CA28" s="82">
        <v>0</v>
      </c>
      <c r="CB28" s="82">
        <v>0</v>
      </c>
      <c r="CC28" s="8" t="s">
        <v>1402</v>
      </c>
      <c r="CD28" s="8" t="s">
        <v>217</v>
      </c>
      <c r="CE28" s="8">
        <v>0</v>
      </c>
      <c r="CF28" s="8">
        <v>0</v>
      </c>
      <c r="CG28" s="8">
        <v>1</v>
      </c>
      <c r="CH28" s="8">
        <v>0</v>
      </c>
      <c r="CI28" s="8">
        <v>0</v>
      </c>
      <c r="CJ28" s="8">
        <v>0</v>
      </c>
    </row>
    <row r="29" spans="1:88" ht="127.5" x14ac:dyDescent="0.25">
      <c r="A29" s="6" t="s">
        <v>1692</v>
      </c>
      <c r="B29" s="6" t="s">
        <v>1662</v>
      </c>
      <c r="C29" s="8" t="s">
        <v>1656</v>
      </c>
      <c r="D29" s="8" t="s">
        <v>1673</v>
      </c>
      <c r="E29" s="8" t="s">
        <v>1657</v>
      </c>
      <c r="F29" s="8" t="s">
        <v>0</v>
      </c>
      <c r="G29" s="8" t="s">
        <v>1670</v>
      </c>
      <c r="H29" s="8">
        <v>1</v>
      </c>
      <c r="I29" s="8">
        <v>0</v>
      </c>
      <c r="J29" s="8">
        <v>0</v>
      </c>
      <c r="K29" s="8">
        <v>0</v>
      </c>
      <c r="L29" s="8">
        <v>0.5</v>
      </c>
      <c r="M29" s="8">
        <v>1</v>
      </c>
      <c r="N29" s="8" t="s">
        <v>1658</v>
      </c>
      <c r="O29" s="8" t="s">
        <v>1766</v>
      </c>
      <c r="P29" s="8" t="s">
        <v>1767</v>
      </c>
      <c r="Q29" s="8" t="s">
        <v>1659</v>
      </c>
      <c r="R29" s="8">
        <v>1</v>
      </c>
      <c r="S29" s="8">
        <v>1</v>
      </c>
      <c r="T29" s="8">
        <v>1</v>
      </c>
      <c r="U29" s="8">
        <v>0</v>
      </c>
      <c r="V29" s="8">
        <v>1</v>
      </c>
      <c r="W29" s="8">
        <v>1</v>
      </c>
      <c r="X29" s="8">
        <v>1</v>
      </c>
      <c r="Y29" s="8" t="s">
        <v>1701</v>
      </c>
      <c r="Z29" s="8" t="s">
        <v>1784</v>
      </c>
      <c r="AA29" s="8" t="s">
        <v>157</v>
      </c>
      <c r="AB29" s="8" t="s">
        <v>1768</v>
      </c>
      <c r="AC29" s="8" t="s">
        <v>1769</v>
      </c>
      <c r="AD29" s="8"/>
      <c r="AE29" s="8"/>
      <c r="AF29" s="8"/>
      <c r="AG29" s="8" t="s">
        <v>1660</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1763</v>
      </c>
      <c r="AL29" s="8">
        <v>1</v>
      </c>
      <c r="AM29" s="8">
        <v>1</v>
      </c>
      <c r="AN29" s="8">
        <v>1</v>
      </c>
      <c r="AO29" s="8">
        <v>0.5</v>
      </c>
      <c r="AP29" s="8">
        <v>0.5</v>
      </c>
      <c r="AQ29" s="8">
        <v>0.5</v>
      </c>
      <c r="AR29" s="8">
        <v>0.5</v>
      </c>
      <c r="AS29" s="8">
        <v>0</v>
      </c>
      <c r="AT29" s="8">
        <v>0.5</v>
      </c>
      <c r="AU29" s="8" t="s">
        <v>1770</v>
      </c>
      <c r="AV29" s="8" t="s">
        <v>1771</v>
      </c>
      <c r="AW29" s="8">
        <v>0</v>
      </c>
      <c r="AX29" s="8">
        <v>1</v>
      </c>
      <c r="AY29" s="8">
        <v>0.5</v>
      </c>
      <c r="AZ29" s="8">
        <v>0.5</v>
      </c>
      <c r="BA29" s="8">
        <v>0</v>
      </c>
      <c r="BB29" s="8">
        <v>0</v>
      </c>
      <c r="BC29" s="38" t="s">
        <v>1167</v>
      </c>
      <c r="BD29" s="38" t="s">
        <v>1791</v>
      </c>
      <c r="BE29" s="8">
        <v>0.5</v>
      </c>
      <c r="BF29" s="8">
        <v>0</v>
      </c>
      <c r="BG29" s="8">
        <v>0</v>
      </c>
      <c r="BH29" s="8">
        <v>0</v>
      </c>
      <c r="BI29" s="10"/>
      <c r="BJ29" s="10"/>
      <c r="BK29" s="10"/>
      <c r="BL29" s="10"/>
      <c r="BM29" s="10"/>
      <c r="BN29" s="10"/>
      <c r="BO29" s="10"/>
      <c r="BP29" s="10"/>
      <c r="BQ29" s="10"/>
      <c r="BR29" s="10"/>
      <c r="BS29" s="10"/>
      <c r="BT29" s="10"/>
      <c r="BU29" s="10"/>
      <c r="BV29" s="10"/>
      <c r="BW29" s="82">
        <v>1</v>
      </c>
      <c r="BX29" s="82">
        <v>1</v>
      </c>
      <c r="BY29" s="82">
        <v>1</v>
      </c>
      <c r="BZ29" s="82">
        <v>0.5</v>
      </c>
      <c r="CA29" s="82">
        <v>1</v>
      </c>
      <c r="CB29" s="82">
        <v>0</v>
      </c>
      <c r="CC29" s="8" t="s">
        <v>1767</v>
      </c>
      <c r="CD29" s="8" t="s">
        <v>1772</v>
      </c>
      <c r="CE29" s="8" t="s">
        <v>1663</v>
      </c>
      <c r="CF29" s="8" t="s">
        <v>1663</v>
      </c>
      <c r="CG29" s="8" t="s">
        <v>1663</v>
      </c>
      <c r="CH29" s="8" t="s">
        <v>1663</v>
      </c>
      <c r="CI29" s="8" t="s">
        <v>1663</v>
      </c>
      <c r="CJ29" s="8" t="s">
        <v>1663</v>
      </c>
    </row>
    <row r="30" spans="1:88" ht="216.75" x14ac:dyDescent="0.25">
      <c r="A30" s="6" t="s">
        <v>18</v>
      </c>
      <c r="B30" s="6" t="s">
        <v>1629</v>
      </c>
      <c r="C30" s="118"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1165</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82">
        <v>1</v>
      </c>
      <c r="BX30" s="82">
        <v>1</v>
      </c>
      <c r="BY30" s="82">
        <v>1</v>
      </c>
      <c r="BZ30" s="82">
        <v>1</v>
      </c>
      <c r="CA30" s="82">
        <v>1</v>
      </c>
      <c r="CB30" s="82">
        <v>1</v>
      </c>
      <c r="CC30" s="8" t="s">
        <v>1416</v>
      </c>
      <c r="CD30" s="8" t="s">
        <v>267</v>
      </c>
      <c r="CE30" s="8">
        <v>1</v>
      </c>
      <c r="CF30" s="8">
        <v>0</v>
      </c>
      <c r="CG30" s="8">
        <v>1</v>
      </c>
      <c r="CH30" s="8">
        <v>1</v>
      </c>
      <c r="CI30" s="8">
        <v>0</v>
      </c>
      <c r="CJ30" s="8">
        <v>0</v>
      </c>
    </row>
    <row r="31" spans="1:88" s="11" customFormat="1" ht="242.25" x14ac:dyDescent="0.25">
      <c r="A31" s="6" t="s">
        <v>337</v>
      </c>
      <c r="B31" s="6" t="s">
        <v>1630</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1167</v>
      </c>
      <c r="BE31" s="8">
        <v>0</v>
      </c>
      <c r="BF31" s="8">
        <v>0</v>
      </c>
      <c r="BG31" s="8">
        <v>0</v>
      </c>
      <c r="BH31" s="8">
        <v>0</v>
      </c>
      <c r="BI31" s="10"/>
      <c r="BJ31" s="10"/>
      <c r="BK31" s="10"/>
      <c r="BL31" s="10"/>
      <c r="BM31" s="10"/>
      <c r="BN31" s="10"/>
      <c r="BO31" s="10"/>
      <c r="BP31" s="10"/>
      <c r="BQ31" s="10"/>
      <c r="BR31" s="10"/>
      <c r="BS31" s="10"/>
      <c r="BT31" s="10"/>
      <c r="BU31" s="10"/>
      <c r="BV31" s="10"/>
      <c r="BW31" s="82">
        <v>0</v>
      </c>
      <c r="BX31" s="82">
        <v>1</v>
      </c>
      <c r="BY31" s="82">
        <v>1</v>
      </c>
      <c r="BZ31" s="82">
        <v>1</v>
      </c>
      <c r="CA31" s="82">
        <v>1</v>
      </c>
      <c r="CB31" s="82">
        <v>0</v>
      </c>
      <c r="CC31" s="8" t="s">
        <v>1417</v>
      </c>
      <c r="CD31" s="8" t="s">
        <v>803</v>
      </c>
      <c r="CE31" s="8">
        <v>0</v>
      </c>
      <c r="CF31" s="8">
        <v>0</v>
      </c>
      <c r="CG31" s="8">
        <v>0</v>
      </c>
      <c r="CH31" s="8">
        <v>0</v>
      </c>
      <c r="CI31" s="8">
        <v>0</v>
      </c>
      <c r="CJ31" s="8">
        <v>0</v>
      </c>
    </row>
    <row r="32" spans="1:88" s="11" customFormat="1" ht="409.5" x14ac:dyDescent="0.25">
      <c r="A32" s="6" t="s">
        <v>350</v>
      </c>
      <c r="B32" s="6" t="s">
        <v>1631</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1782</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82">
        <v>1</v>
      </c>
      <c r="BX32" s="82">
        <v>1</v>
      </c>
      <c r="BY32" s="82">
        <v>1</v>
      </c>
      <c r="BZ32" s="82">
        <v>1</v>
      </c>
      <c r="CA32" s="82">
        <v>1</v>
      </c>
      <c r="CB32" s="82">
        <v>1</v>
      </c>
      <c r="CC32" s="8" t="s">
        <v>1418</v>
      </c>
      <c r="CD32" s="8" t="s">
        <v>294</v>
      </c>
      <c r="CE32" s="8">
        <v>0</v>
      </c>
      <c r="CF32" s="8">
        <v>1</v>
      </c>
      <c r="CG32" s="8">
        <v>1</v>
      </c>
      <c r="CH32" s="8">
        <v>1</v>
      </c>
      <c r="CI32" s="8">
        <v>1</v>
      </c>
      <c r="CJ32" s="8">
        <v>1</v>
      </c>
    </row>
    <row r="33" spans="1:88" s="11" customFormat="1" ht="229.5" x14ac:dyDescent="0.25">
      <c r="A33" s="6" t="s">
        <v>24</v>
      </c>
      <c r="B33" s="6" t="s">
        <v>1632</v>
      </c>
      <c r="C33" s="8" t="s">
        <v>23</v>
      </c>
      <c r="D33" s="8" t="s">
        <v>244</v>
      </c>
      <c r="E33" s="8" t="s">
        <v>243</v>
      </c>
      <c r="F33" s="8" t="s">
        <v>0</v>
      </c>
      <c r="G33" s="8" t="s">
        <v>1655</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82">
        <v>1</v>
      </c>
      <c r="BX33" s="82">
        <v>1</v>
      </c>
      <c r="BY33" s="82">
        <v>1</v>
      </c>
      <c r="BZ33" s="82">
        <v>1</v>
      </c>
      <c r="CA33" s="82">
        <v>0</v>
      </c>
      <c r="CB33" s="82">
        <v>0</v>
      </c>
      <c r="CC33" s="8" t="s">
        <v>1419</v>
      </c>
      <c r="CD33" s="8" t="s">
        <v>1420</v>
      </c>
      <c r="CE33" s="8">
        <v>0</v>
      </c>
      <c r="CF33" s="8">
        <v>1</v>
      </c>
      <c r="CG33" s="8">
        <v>1</v>
      </c>
      <c r="CH33" s="8">
        <v>1</v>
      </c>
      <c r="CI33" s="8">
        <v>1</v>
      </c>
      <c r="CJ33" s="8">
        <v>0</v>
      </c>
    </row>
    <row r="34" spans="1:88" s="11" customFormat="1" ht="102" x14ac:dyDescent="0.25">
      <c r="A34" s="6" t="s">
        <v>1691</v>
      </c>
      <c r="B34" s="6" t="s">
        <v>1699</v>
      </c>
      <c r="C34" s="8" t="s">
        <v>1695</v>
      </c>
      <c r="D34" s="8" t="s">
        <v>1694</v>
      </c>
      <c r="E34" s="8" t="s">
        <v>199</v>
      </c>
      <c r="F34" s="8" t="s">
        <v>1679</v>
      </c>
      <c r="G34" s="9" t="s">
        <v>1696</v>
      </c>
      <c r="H34" s="8">
        <v>1</v>
      </c>
      <c r="I34" s="8">
        <v>0</v>
      </c>
      <c r="J34" s="8">
        <v>0</v>
      </c>
      <c r="K34" s="8">
        <v>0</v>
      </c>
      <c r="L34" s="8">
        <v>0</v>
      </c>
      <c r="M34" s="8">
        <v>1</v>
      </c>
      <c r="N34" s="8" t="s">
        <v>1693</v>
      </c>
      <c r="O34" s="8" t="s">
        <v>130</v>
      </c>
      <c r="P34" s="8" t="s">
        <v>130</v>
      </c>
      <c r="Q34" s="8" t="s">
        <v>1697</v>
      </c>
      <c r="R34" s="8">
        <v>1</v>
      </c>
      <c r="S34" s="8">
        <v>1</v>
      </c>
      <c r="T34" s="8">
        <v>1</v>
      </c>
      <c r="U34" s="8">
        <v>1</v>
      </c>
      <c r="V34" s="8">
        <v>1</v>
      </c>
      <c r="W34" s="8">
        <v>0</v>
      </c>
      <c r="X34" s="8">
        <v>1</v>
      </c>
      <c r="Y34" s="8" t="s">
        <v>1698</v>
      </c>
      <c r="Z34" s="8" t="s">
        <v>1703</v>
      </c>
      <c r="AA34" s="8" t="s">
        <v>157</v>
      </c>
      <c r="AB34" s="8"/>
      <c r="AC34" s="8"/>
      <c r="AD34" s="8" t="s">
        <v>1773</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1774</v>
      </c>
      <c r="AL34" s="8">
        <v>0</v>
      </c>
      <c r="AM34" s="8">
        <v>1</v>
      </c>
      <c r="AN34" s="8">
        <v>1</v>
      </c>
      <c r="AO34" s="8">
        <v>0</v>
      </c>
      <c r="AP34" s="8">
        <v>1</v>
      </c>
      <c r="AQ34" s="8">
        <v>1</v>
      </c>
      <c r="AR34" s="8">
        <v>0</v>
      </c>
      <c r="AS34" s="8">
        <v>0</v>
      </c>
      <c r="AT34" s="8">
        <v>0</v>
      </c>
      <c r="AU34" s="8">
        <v>114101</v>
      </c>
      <c r="AV34" s="8" t="s">
        <v>1775</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82">
        <v>0</v>
      </c>
      <c r="BX34" s="82">
        <v>0</v>
      </c>
      <c r="BY34" s="82">
        <v>0</v>
      </c>
      <c r="BZ34" s="82">
        <v>0</v>
      </c>
      <c r="CA34" s="82">
        <v>0</v>
      </c>
      <c r="CB34" s="82">
        <v>0</v>
      </c>
      <c r="CC34" s="9" t="s">
        <v>130</v>
      </c>
      <c r="CD34" s="8" t="s">
        <v>1776</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82"/>
      <c r="BX35" s="82"/>
      <c r="BY35" s="82"/>
      <c r="BZ35" s="82"/>
      <c r="CA35" s="82"/>
      <c r="CB35" s="82"/>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9"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30" t="s">
        <v>1187</v>
      </c>
      <c r="C2" s="130" t="s">
        <v>33</v>
      </c>
      <c r="D2" s="130" t="s">
        <v>1188</v>
      </c>
      <c r="E2" s="130" t="s">
        <v>1189</v>
      </c>
      <c r="F2" s="130" t="s">
        <v>1190</v>
      </c>
      <c r="G2" s="131" t="s">
        <v>1191</v>
      </c>
    </row>
    <row r="3" spans="1:7" x14ac:dyDescent="0.25">
      <c r="A3" s="6" t="str">
        <f>Tabelle32[[#This Row],[Kurzbeleg]]</f>
        <v>Ape12</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Ary17</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Aus18</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Blu13</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Foc11</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Gil15</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Gob12</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Gro13</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Gru17</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Haa17</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Hei21</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Hen15</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Jet21</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Klo09</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Klo13</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Krz13</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Lad18</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Lan15</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Lie15</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Mae18</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Mol10</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Mue19</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Pau11</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Pel16</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r2b14</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Roo10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Sau19</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Sch14</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Sta06</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Ste17</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Sty15</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Woh20</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5">
        <f>Tabelle32[[#Totals],[theoretisch]]</f>
        <v>5.5</v>
      </c>
      <c r="C35" s="65">
        <f>Tabelle32[[#Totals],[technisch]]</f>
        <v>31.5</v>
      </c>
      <c r="D35" s="65">
        <f>Tabelle32[[#Totals],[soziotechnisch]]</f>
        <v>9</v>
      </c>
      <c r="E35" s="65">
        <f>Tabelle32[[#Totals],[ökonomisch]]</f>
        <v>13</v>
      </c>
      <c r="F35" s="65">
        <f>Tabelle32[[#Totals],[sozial]]</f>
        <v>0</v>
      </c>
      <c r="G35" s="65">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9" customWidth="1"/>
  </cols>
  <sheetData>
    <row r="1" spans="1:6" ht="25.5" hidden="1" x14ac:dyDescent="0.25">
      <c r="A1" s="59" t="s">
        <v>86</v>
      </c>
      <c r="B1" s="127" t="s">
        <v>2</v>
      </c>
      <c r="C1" s="127" t="s">
        <v>2</v>
      </c>
      <c r="D1" s="127" t="s">
        <v>2</v>
      </c>
      <c r="E1" s="127" t="s">
        <v>2</v>
      </c>
      <c r="F1" s="127" t="s">
        <v>2</v>
      </c>
    </row>
    <row r="2" spans="1:6" ht="134.25" customHeight="1" x14ac:dyDescent="0.25">
      <c r="A2" s="60" t="s">
        <v>1</v>
      </c>
      <c r="B2" s="128" t="s">
        <v>1192</v>
      </c>
      <c r="C2" s="128" t="s">
        <v>1168</v>
      </c>
      <c r="D2" s="128" t="s">
        <v>1433</v>
      </c>
      <c r="E2" s="128" t="s">
        <v>1434</v>
      </c>
      <c r="F2" s="128" t="s">
        <v>1435</v>
      </c>
    </row>
    <row r="3" spans="1:6" x14ac:dyDescent="0.25">
      <c r="A3" s="61" t="str">
        <f>Ueberblick[[#This Row],[Kürzel]]</f>
        <v>Ape12</v>
      </c>
      <c r="B3" s="63">
        <v>1</v>
      </c>
      <c r="C3" s="63">
        <f>Ueberblick[[#This Row],[2020 erfasst?]]</f>
        <v>1</v>
      </c>
      <c r="D3" s="63">
        <f>Ueberblick[[#This Row],[2025 erfasst?]]</f>
        <v>0</v>
      </c>
      <c r="E3" s="63">
        <f>Ueberblick[[#This Row],[2030 erfasst?]]</f>
        <v>1</v>
      </c>
      <c r="F3" s="63">
        <f>Ueberblick[[#This Row],[2050 erfasst?]]</f>
        <v>0</v>
      </c>
    </row>
    <row r="4" spans="1:6" x14ac:dyDescent="0.25">
      <c r="A4" s="61" t="str">
        <f>Ueberblick[[#This Row],[Kürzel]]</f>
        <v>Ary17</v>
      </c>
      <c r="B4" s="63">
        <v>1</v>
      </c>
      <c r="C4" s="63">
        <f>Ueberblick[[#This Row],[2020 erfasst?]]</f>
        <v>0</v>
      </c>
      <c r="D4" s="63">
        <f>Ueberblick[[#This Row],[2025 erfasst?]]</f>
        <v>0</v>
      </c>
      <c r="E4" s="63">
        <f>Ueberblick[[#This Row],[2030 erfasst?]]</f>
        <v>0</v>
      </c>
      <c r="F4" s="63">
        <f>Ueberblick[[#This Row],[2050 erfasst?]]</f>
        <v>0</v>
      </c>
    </row>
    <row r="5" spans="1:6" x14ac:dyDescent="0.25">
      <c r="A5" s="61" t="str">
        <f>Ueberblick[[#This Row],[Kürzel]]</f>
        <v>Aus18</v>
      </c>
      <c r="B5" s="63">
        <v>1</v>
      </c>
      <c r="C5" s="63">
        <f>Ueberblick[[#This Row],[2020 erfasst?]]</f>
        <v>0</v>
      </c>
      <c r="D5" s="63">
        <f>Ueberblick[[#This Row],[2025 erfasst?]]</f>
        <v>0</v>
      </c>
      <c r="E5" s="63">
        <f>Ueberblick[[#This Row],[2030 erfasst?]]</f>
        <v>0</v>
      </c>
      <c r="F5" s="63">
        <f>Ueberblick[[#This Row],[2050 erfasst?]]</f>
        <v>0</v>
      </c>
    </row>
    <row r="6" spans="1:6" x14ac:dyDescent="0.25">
      <c r="A6" s="61" t="str">
        <f>Ueberblick[[#This Row],[Kürzel]]</f>
        <v>Blu13</v>
      </c>
      <c r="B6" s="63">
        <v>1</v>
      </c>
      <c r="C6" s="63">
        <f>Ueberblick[[#This Row],[2020 erfasst?]]</f>
        <v>0</v>
      </c>
      <c r="D6" s="63">
        <f>Ueberblick[[#This Row],[2025 erfasst?]]</f>
        <v>0</v>
      </c>
      <c r="E6" s="63">
        <f>Ueberblick[[#This Row],[2030 erfasst?]]</f>
        <v>0</v>
      </c>
      <c r="F6" s="63">
        <f>Ueberblick[[#This Row],[2050 erfasst?]]</f>
        <v>0</v>
      </c>
    </row>
    <row r="7" spans="1:6" x14ac:dyDescent="0.25">
      <c r="A7" s="61" t="str">
        <f>Ueberblick[[#This Row],[Kürzel]]</f>
        <v>Foc11</v>
      </c>
      <c r="B7" s="63">
        <v>1</v>
      </c>
      <c r="C7" s="63">
        <f>Ueberblick[[#This Row],[2020 erfasst?]]</f>
        <v>0</v>
      </c>
      <c r="D7" s="63">
        <f>Ueberblick[[#This Row],[2025 erfasst?]]</f>
        <v>0</v>
      </c>
      <c r="E7" s="63">
        <f>Ueberblick[[#This Row],[2030 erfasst?]]</f>
        <v>0</v>
      </c>
      <c r="F7" s="63">
        <f>Ueberblick[[#This Row],[2050 erfasst?]]</f>
        <v>0</v>
      </c>
    </row>
    <row r="8" spans="1:6" x14ac:dyDescent="0.25">
      <c r="A8" s="61" t="str">
        <f>Ueberblick[[#This Row],[Kürzel]]</f>
        <v>Gil15</v>
      </c>
      <c r="B8" s="63">
        <v>1</v>
      </c>
      <c r="C8" s="63">
        <f>Ueberblick[[#This Row],[2020 erfasst?]]</f>
        <v>1</v>
      </c>
      <c r="D8" s="63">
        <f>Ueberblick[[#This Row],[2025 erfasst?]]</f>
        <v>0</v>
      </c>
      <c r="E8" s="63">
        <f>Ueberblick[[#This Row],[2030 erfasst?]]</f>
        <v>1</v>
      </c>
      <c r="F8" s="63">
        <f>Ueberblick[[#This Row],[2050 erfasst?]]</f>
        <v>1</v>
      </c>
    </row>
    <row r="9" spans="1:6" x14ac:dyDescent="0.25">
      <c r="A9" s="61" t="str">
        <f>Ueberblick[[#This Row],[Kürzel]]</f>
        <v>Gob12</v>
      </c>
      <c r="B9" s="63">
        <v>1</v>
      </c>
      <c r="C9" s="63">
        <f>Ueberblick[[#This Row],[2020 erfasst?]]</f>
        <v>1</v>
      </c>
      <c r="D9" s="63">
        <f>Ueberblick[[#This Row],[2025 erfasst?]]</f>
        <v>0</v>
      </c>
      <c r="E9" s="63">
        <f>Ueberblick[[#This Row],[2030 erfasst?]]</f>
        <v>1</v>
      </c>
      <c r="F9" s="63">
        <f>Ueberblick[[#This Row],[2050 erfasst?]]</f>
        <v>0</v>
      </c>
    </row>
    <row r="10" spans="1:6" x14ac:dyDescent="0.25">
      <c r="A10" s="61" t="str">
        <f>Ueberblick[[#This Row],[Kürzel]]</f>
        <v>Gro13</v>
      </c>
      <c r="B10" s="63">
        <v>1</v>
      </c>
      <c r="C10" s="63">
        <f>Ueberblick[[#This Row],[2020 erfasst?]]</f>
        <v>1</v>
      </c>
      <c r="D10" s="63">
        <f>Ueberblick[[#This Row],[2025 erfasst?]]</f>
        <v>0</v>
      </c>
      <c r="E10" s="63">
        <f>Ueberblick[[#This Row],[2030 erfasst?]]</f>
        <v>0</v>
      </c>
      <c r="F10" s="63">
        <f>Ueberblick[[#This Row],[2050 erfasst?]]</f>
        <v>0</v>
      </c>
    </row>
    <row r="11" spans="1:6" x14ac:dyDescent="0.25">
      <c r="A11" s="61" t="str">
        <f>Ueberblick[[#This Row],[Kürzel]]</f>
        <v>Gru17</v>
      </c>
      <c r="B11" s="63">
        <v>1</v>
      </c>
      <c r="C11" s="63">
        <f>Ueberblick[[#This Row],[2020 erfasst?]]</f>
        <v>1</v>
      </c>
      <c r="D11" s="63">
        <f>Ueberblick[[#This Row],[2025 erfasst?]]</f>
        <v>1</v>
      </c>
      <c r="E11" s="63">
        <f>Ueberblick[[#This Row],[2030 erfasst?]]</f>
        <v>1</v>
      </c>
      <c r="F11" s="63">
        <f>Ueberblick[[#This Row],[2050 erfasst?]]</f>
        <v>0</v>
      </c>
    </row>
    <row r="12" spans="1:6" x14ac:dyDescent="0.25">
      <c r="A12" s="61" t="str">
        <f>Ueberblick[[#This Row],[Kürzel]]</f>
        <v>Haa17</v>
      </c>
      <c r="B12" s="63">
        <v>1</v>
      </c>
      <c r="C12" s="63">
        <f>Ueberblick[[#This Row],[2020 erfasst?]]</f>
        <v>0</v>
      </c>
      <c r="D12" s="63">
        <f>Ueberblick[[#This Row],[2025 erfasst?]]</f>
        <v>1</v>
      </c>
      <c r="E12" s="63">
        <f>Ueberblick[[#This Row],[2030 erfasst?]]</f>
        <v>0</v>
      </c>
      <c r="F12" s="63">
        <f>Ueberblick[[#This Row],[2050 erfasst?]]</f>
        <v>1</v>
      </c>
    </row>
    <row r="13" spans="1:6" x14ac:dyDescent="0.25">
      <c r="A13" s="61" t="str">
        <f>Ueberblick[[#This Row],[Kürzel]]</f>
        <v>Hei21</v>
      </c>
      <c r="B13" s="63">
        <v>1</v>
      </c>
      <c r="C13" s="63">
        <f>Ueberblick[[#This Row],[2020 erfasst?]]</f>
        <v>0</v>
      </c>
      <c r="D13" s="63">
        <f>Ueberblick[[#This Row],[2025 erfasst?]]</f>
        <v>0</v>
      </c>
      <c r="E13" s="63">
        <f>Ueberblick[[#This Row],[2030 erfasst?]]</f>
        <v>1</v>
      </c>
      <c r="F13" s="63">
        <f>Ueberblick[[#This Row],[2050 erfasst?]]</f>
        <v>0</v>
      </c>
    </row>
    <row r="14" spans="1:6" x14ac:dyDescent="0.25">
      <c r="A14" s="61" t="str">
        <f>Ueberblick[[#This Row],[Kürzel]]</f>
        <v>Hen15</v>
      </c>
      <c r="B14" s="63">
        <v>1</v>
      </c>
      <c r="C14" s="63">
        <f>Ueberblick[[#This Row],[2020 erfasst?]]</f>
        <v>0</v>
      </c>
      <c r="D14" s="63">
        <f>Ueberblick[[#This Row],[2025 erfasst?]]</f>
        <v>0.5</v>
      </c>
      <c r="E14" s="63">
        <f>Ueberblick[[#This Row],[2030 erfasst?]]</f>
        <v>0</v>
      </c>
      <c r="F14" s="63">
        <f>Ueberblick[[#This Row],[2050 erfasst?]]</f>
        <v>1</v>
      </c>
    </row>
    <row r="15" spans="1:6" x14ac:dyDescent="0.25">
      <c r="A15" s="61" t="str">
        <f>Ueberblick[[#This Row],[Kürzel]]</f>
        <v>Jet21</v>
      </c>
      <c r="B15" s="63">
        <v>1</v>
      </c>
      <c r="C15" s="63" t="str">
        <f>Ueberblick[[#This Row],[2020 erfasst?]]</f>
        <v>0,5</v>
      </c>
      <c r="D15" s="63">
        <f>Ueberblick[[#This Row],[2025 erfasst?]]</f>
        <v>1</v>
      </c>
      <c r="E15" s="63">
        <f>Ueberblick[[#This Row],[2030 erfasst?]]</f>
        <v>1</v>
      </c>
      <c r="F15" s="63" t="str">
        <f>Ueberblick[[#This Row],[2050 erfasst?]]</f>
        <v>0,5</v>
      </c>
    </row>
    <row r="16" spans="1:6" x14ac:dyDescent="0.25">
      <c r="A16" s="61" t="str">
        <f>Ueberblick[[#This Row],[Kürzel]]</f>
        <v>Klo09</v>
      </c>
      <c r="B16" s="63">
        <v>1</v>
      </c>
      <c r="C16" s="63">
        <f>Ueberblick[[#This Row],[2020 erfasst?]]</f>
        <v>1</v>
      </c>
      <c r="D16" s="63">
        <f>Ueberblick[[#This Row],[2025 erfasst?]]</f>
        <v>0</v>
      </c>
      <c r="E16" s="63">
        <f>Ueberblick[[#This Row],[2030 erfasst?]]</f>
        <v>0</v>
      </c>
      <c r="F16" s="63">
        <f>Ueberblick[[#This Row],[2050 erfasst?]]</f>
        <v>0</v>
      </c>
    </row>
    <row r="17" spans="1:6" x14ac:dyDescent="0.25">
      <c r="A17" s="61" t="str">
        <f>Ueberblick[[#This Row],[Kürzel]]</f>
        <v>Klo13</v>
      </c>
      <c r="B17" s="63">
        <v>1</v>
      </c>
      <c r="C17" s="63">
        <f>Ueberblick[[#This Row],[2020 erfasst?]]</f>
        <v>0</v>
      </c>
      <c r="D17" s="63">
        <f>Ueberblick[[#This Row],[2025 erfasst?]]</f>
        <v>0</v>
      </c>
      <c r="E17" s="63">
        <f>Ueberblick[[#This Row],[2030 erfasst?]]</f>
        <v>0</v>
      </c>
      <c r="F17" s="63">
        <f>Ueberblick[[#This Row],[2050 erfasst?]]</f>
        <v>0</v>
      </c>
    </row>
    <row r="18" spans="1:6" x14ac:dyDescent="0.25">
      <c r="A18" s="61" t="str">
        <f>Ueberblick[[#This Row],[Kürzel]]</f>
        <v>Krz13</v>
      </c>
      <c r="B18" s="63">
        <v>1</v>
      </c>
      <c r="C18" s="63">
        <f>Ueberblick[[#This Row],[2020 erfasst?]]</f>
        <v>1</v>
      </c>
      <c r="D18" s="63">
        <f>Ueberblick[[#This Row],[2025 erfasst?]]</f>
        <v>0</v>
      </c>
      <c r="E18" s="63">
        <f>Ueberblick[[#This Row],[2030 erfasst?]]</f>
        <v>0</v>
      </c>
      <c r="F18" s="63">
        <f>Ueberblick[[#This Row],[2050 erfasst?]]</f>
        <v>0</v>
      </c>
    </row>
    <row r="19" spans="1:6" x14ac:dyDescent="0.25">
      <c r="A19" s="61" t="str">
        <f>Ueberblick[[#This Row],[Kürzel]]</f>
        <v>Lad18</v>
      </c>
      <c r="B19" s="63">
        <v>1</v>
      </c>
      <c r="C19" s="63">
        <f>Ueberblick[[#This Row],[2020 erfasst?]]</f>
        <v>0</v>
      </c>
      <c r="D19" s="63">
        <f>Ueberblick[[#This Row],[2025 erfasst?]]</f>
        <v>0</v>
      </c>
      <c r="E19" s="63">
        <f>Ueberblick[[#This Row],[2030 erfasst?]]</f>
        <v>1</v>
      </c>
      <c r="F19" s="63">
        <f>Ueberblick[[#This Row],[2050 erfasst?]]</f>
        <v>1</v>
      </c>
    </row>
    <row r="20" spans="1:6" x14ac:dyDescent="0.25">
      <c r="A20" s="61" t="str">
        <f>Ueberblick[[#This Row],[Kürzel]]</f>
        <v>Lan15</v>
      </c>
      <c r="B20" s="63">
        <v>1</v>
      </c>
      <c r="C20" s="63">
        <f>Ueberblick[[#This Row],[2020 erfasst?]]</f>
        <v>0.5</v>
      </c>
      <c r="D20" s="63">
        <f>Ueberblick[[#This Row],[2025 erfasst?]]</f>
        <v>0</v>
      </c>
      <c r="E20" s="63">
        <f>Ueberblick[[#This Row],[2030 erfasst?]]</f>
        <v>0.5</v>
      </c>
      <c r="F20" s="63">
        <f>Ueberblick[[#This Row],[2050 erfasst?]]</f>
        <v>0</v>
      </c>
    </row>
    <row r="21" spans="1:6" x14ac:dyDescent="0.25">
      <c r="A21" s="61" t="str">
        <f>Ueberblick[[#This Row],[Kürzel]]</f>
        <v>Lie15</v>
      </c>
      <c r="B21" s="63">
        <v>1</v>
      </c>
      <c r="C21" s="63">
        <f>Ueberblick[[#This Row],[2020 erfasst?]]</f>
        <v>0.5</v>
      </c>
      <c r="D21" s="63">
        <f>Ueberblick[[#This Row],[2025 erfasst?]]</f>
        <v>0</v>
      </c>
      <c r="E21" s="63">
        <f>Ueberblick[[#This Row],[2030 erfasst?]]</f>
        <v>0</v>
      </c>
      <c r="F21" s="63">
        <f>Ueberblick[[#This Row],[2050 erfasst?]]</f>
        <v>0</v>
      </c>
    </row>
    <row r="22" spans="1:6" x14ac:dyDescent="0.25">
      <c r="A22" s="61" t="str">
        <f>Ueberblick[[#This Row],[Kürzel]]</f>
        <v>Mae18</v>
      </c>
      <c r="B22" s="63">
        <v>1</v>
      </c>
      <c r="C22" s="63">
        <f>Ueberblick[[#This Row],[2020 erfasst?]]</f>
        <v>0</v>
      </c>
      <c r="D22" s="63">
        <f>Ueberblick[[#This Row],[2025 erfasst?]]</f>
        <v>0</v>
      </c>
      <c r="E22" s="63">
        <f>Ueberblick[[#This Row],[2030 erfasst?]]</f>
        <v>0</v>
      </c>
      <c r="F22" s="63">
        <f>Ueberblick[[#This Row],[2050 erfasst?]]</f>
        <v>0</v>
      </c>
    </row>
    <row r="23" spans="1:6" x14ac:dyDescent="0.25">
      <c r="A23" s="61" t="str">
        <f>Ueberblick[[#This Row],[Kürzel]]</f>
        <v>Mol10</v>
      </c>
      <c r="B23" s="63">
        <v>1</v>
      </c>
      <c r="C23" s="63">
        <f>Ueberblick[[#This Row],[2020 erfasst?]]</f>
        <v>1</v>
      </c>
      <c r="D23" s="63">
        <f>Ueberblick[[#This Row],[2025 erfasst?]]</f>
        <v>0</v>
      </c>
      <c r="E23" s="63">
        <f>Ueberblick[[#This Row],[2030 erfasst?]]</f>
        <v>0</v>
      </c>
      <c r="F23" s="63">
        <f>Ueberblick[[#This Row],[2050 erfasst?]]</f>
        <v>0</v>
      </c>
    </row>
    <row r="24" spans="1:6" x14ac:dyDescent="0.25">
      <c r="A24" s="61" t="str">
        <f>Ueberblick[[#This Row],[Kürzel]]</f>
        <v>Mue19</v>
      </c>
      <c r="B24" s="63">
        <v>1</v>
      </c>
      <c r="C24" s="63">
        <f>Ueberblick[[#This Row],[2020 erfasst?]]</f>
        <v>0</v>
      </c>
      <c r="D24" s="63">
        <f>Ueberblick[[#This Row],[2025 erfasst?]]</f>
        <v>0</v>
      </c>
      <c r="E24" s="63">
        <f>Ueberblick[[#This Row],[2030 erfasst?]]</f>
        <v>0</v>
      </c>
      <c r="F24" s="63">
        <f>Ueberblick[[#This Row],[2050 erfasst?]]</f>
        <v>0</v>
      </c>
    </row>
    <row r="25" spans="1:6" x14ac:dyDescent="0.25">
      <c r="A25" s="61" t="str">
        <f>Ueberblick[[#This Row],[Kürzel]]</f>
        <v>Pau11</v>
      </c>
      <c r="B25" s="63">
        <v>1</v>
      </c>
      <c r="C25" s="63">
        <f>Ueberblick[[#This Row],[2020 erfasst?]]</f>
        <v>1</v>
      </c>
      <c r="D25" s="63">
        <f>Ueberblick[[#This Row],[2025 erfasst?]]</f>
        <v>0</v>
      </c>
      <c r="E25" s="63">
        <f>Ueberblick[[#This Row],[2030 erfasst?]]</f>
        <v>0</v>
      </c>
      <c r="F25" s="63">
        <f>Ueberblick[[#This Row],[2050 erfasst?]]</f>
        <v>0</v>
      </c>
    </row>
    <row r="26" spans="1:6" x14ac:dyDescent="0.25">
      <c r="A26" s="61" t="str">
        <f>Ueberblick[[#This Row],[Kürzel]]</f>
        <v>Pel16</v>
      </c>
      <c r="B26" s="63">
        <v>1</v>
      </c>
      <c r="C26" s="63">
        <f>Ueberblick[[#This Row],[2020 erfasst?]]</f>
        <v>1</v>
      </c>
      <c r="D26" s="63">
        <f>Ueberblick[[#This Row],[2025 erfasst?]]</f>
        <v>1</v>
      </c>
      <c r="E26" s="63">
        <f>Ueberblick[[#This Row],[2030 erfasst?]]</f>
        <v>1</v>
      </c>
      <c r="F26" s="63">
        <f>Ueberblick[[#This Row],[2050 erfasst?]]</f>
        <v>0</v>
      </c>
    </row>
    <row r="27" spans="1:6" x14ac:dyDescent="0.25">
      <c r="A27" s="61" t="str">
        <f>Ueberblick[[#This Row],[Kürzel]]</f>
        <v>r2b14</v>
      </c>
      <c r="B27" s="63">
        <v>1</v>
      </c>
      <c r="C27" s="63">
        <f>Ueberblick[[#This Row],[2020 erfasst?]]</f>
        <v>1</v>
      </c>
      <c r="D27" s="63">
        <f>Ueberblick[[#This Row],[2025 erfasst?]]</f>
        <v>0</v>
      </c>
      <c r="E27" s="63">
        <f>Ueberblick[[#This Row],[2030 erfasst?]]</f>
        <v>1</v>
      </c>
      <c r="F27" s="63">
        <f>Ueberblick[[#This Row],[2050 erfasst?]]</f>
        <v>0</v>
      </c>
    </row>
    <row r="28" spans="1:6" x14ac:dyDescent="0.25">
      <c r="A28" s="61" t="str">
        <f>Ueberblick[[#This Row],[Kürzel]]</f>
        <v>Roo10</v>
      </c>
      <c r="B28" s="63">
        <v>1</v>
      </c>
      <c r="C28" s="63">
        <f>Ueberblick[[#This Row],[2020 erfasst?]]</f>
        <v>0</v>
      </c>
      <c r="D28" s="63">
        <f>Ueberblick[[#This Row],[2025 erfasst?]]</f>
        <v>0</v>
      </c>
      <c r="E28" s="63">
        <f>Ueberblick[[#This Row],[2030 erfasst?]]</f>
        <v>0</v>
      </c>
      <c r="F28" s="63">
        <f>Ueberblick[[#This Row],[2050 erfasst?]]</f>
        <v>0</v>
      </c>
    </row>
    <row r="29" spans="1:6" x14ac:dyDescent="0.25">
      <c r="A29" s="61" t="str">
        <f>Ueberblick[[#This Row],[Kürzel]]</f>
        <v>Sau19</v>
      </c>
      <c r="B29" s="63">
        <v>1</v>
      </c>
      <c r="C29" s="63">
        <f>Ueberblick[[#This Row],[2020 erfasst?]]</f>
        <v>0.5</v>
      </c>
      <c r="D29" s="63">
        <f>Ueberblick[[#This Row],[2025 erfasst?]]</f>
        <v>0</v>
      </c>
      <c r="E29" s="63">
        <f>Ueberblick[[#This Row],[2030 erfasst?]]</f>
        <v>0</v>
      </c>
      <c r="F29" s="63">
        <f>Ueberblick[[#This Row],[2050 erfasst?]]</f>
        <v>0</v>
      </c>
    </row>
    <row r="30" spans="1:6" x14ac:dyDescent="0.25">
      <c r="A30" s="61" t="str">
        <f>Ueberblick[[#This Row],[Kürzel]]</f>
        <v>Sch14</v>
      </c>
      <c r="B30" s="63">
        <v>1</v>
      </c>
      <c r="C30" s="63">
        <f>Ueberblick[[#This Row],[2020 erfasst?]]</f>
        <v>1</v>
      </c>
      <c r="D30" s="63">
        <f>Ueberblick[[#This Row],[2025 erfasst?]]</f>
        <v>0</v>
      </c>
      <c r="E30" s="63">
        <f>Ueberblick[[#This Row],[2030 erfasst?]]</f>
        <v>1</v>
      </c>
      <c r="F30" s="63">
        <f>Ueberblick[[#This Row],[2050 erfasst?]]</f>
        <v>1</v>
      </c>
    </row>
    <row r="31" spans="1:6" x14ac:dyDescent="0.25">
      <c r="A31" s="61" t="str">
        <f>Ueberblick[[#This Row],[Kürzel]]</f>
        <v>Sta06</v>
      </c>
      <c r="B31" s="63">
        <v>1</v>
      </c>
      <c r="C31" s="63">
        <f>Ueberblick[[#This Row],[2020 erfasst?]]</f>
        <v>0</v>
      </c>
      <c r="D31" s="63">
        <f>Ueberblick[[#This Row],[2025 erfasst?]]</f>
        <v>0</v>
      </c>
      <c r="E31" s="63">
        <f>Ueberblick[[#This Row],[2030 erfasst?]]</f>
        <v>0</v>
      </c>
      <c r="F31" s="63">
        <f>Ueberblick[[#This Row],[2050 erfasst?]]</f>
        <v>0</v>
      </c>
    </row>
    <row r="32" spans="1:6" x14ac:dyDescent="0.25">
      <c r="A32" s="61" t="str">
        <f>Ueberblick[[#This Row],[Kürzel]]</f>
        <v>Ste17</v>
      </c>
      <c r="B32" s="63">
        <v>1</v>
      </c>
      <c r="C32" s="63">
        <f>Ueberblick[[#This Row],[2020 erfasst?]]</f>
        <v>1</v>
      </c>
      <c r="D32" s="63">
        <f>Ueberblick[[#This Row],[2025 erfasst?]]</f>
        <v>1</v>
      </c>
      <c r="E32" s="63">
        <f>Ueberblick[[#This Row],[2030 erfasst?]]</f>
        <v>1</v>
      </c>
      <c r="F32" s="63">
        <f>Ueberblick[[#This Row],[2050 erfasst?]]</f>
        <v>1</v>
      </c>
    </row>
    <row r="33" spans="1:6" x14ac:dyDescent="0.25">
      <c r="A33" s="61" t="str">
        <f>Ueberblick[[#This Row],[Kürzel]]</f>
        <v>Sty15</v>
      </c>
      <c r="B33" s="63">
        <v>1</v>
      </c>
      <c r="C33" s="63">
        <f>Ueberblick[[#This Row],[2020 erfasst?]]</f>
        <v>0</v>
      </c>
      <c r="D33" s="63">
        <f>Ueberblick[[#This Row],[2025 erfasst?]]</f>
        <v>0.5</v>
      </c>
      <c r="E33" s="63">
        <f>Ueberblick[[#This Row],[2030 erfasst?]]</f>
        <v>0</v>
      </c>
      <c r="F33" s="63">
        <f>Ueberblick[[#This Row],[2050 erfasst?]]</f>
        <v>1</v>
      </c>
    </row>
    <row r="34" spans="1:6" x14ac:dyDescent="0.25">
      <c r="A34" s="61" t="str">
        <f>Ueberblick[[#This Row],[Kürzel]]</f>
        <v>Woh20</v>
      </c>
      <c r="B34" s="63">
        <v>1</v>
      </c>
      <c r="C34" s="63">
        <f>Ueberblick[[#This Row],[2020 erfasst?]]</f>
        <v>0.5</v>
      </c>
      <c r="D34" s="63">
        <f>Ueberblick[[#This Row],[2025 erfasst?]]</f>
        <v>0</v>
      </c>
      <c r="E34" s="63">
        <f>Ueberblick[[#This Row],[2030 erfasst?]]</f>
        <v>0</v>
      </c>
      <c r="F34" s="63">
        <f>Ueberblick[[#This Row],[2050 erfasst?]]</f>
        <v>0</v>
      </c>
    </row>
    <row r="35" spans="1:6" x14ac:dyDescent="0.25">
      <c r="A35" s="55" t="s">
        <v>853</v>
      </c>
      <c r="B35" s="125">
        <f>SUM(Tabelle28[Status quo
(vor 2020)])</f>
        <v>32</v>
      </c>
      <c r="C35" s="125">
        <f>SUM(Tabelle28[2020])</f>
        <v>15</v>
      </c>
      <c r="D35" s="125">
        <f>SUM(Tabelle28[2025])</f>
        <v>6</v>
      </c>
      <c r="E35" s="125">
        <f>SUM(Tabelle28[2030])</f>
        <v>11.5</v>
      </c>
      <c r="F35" s="125">
        <f>SUM(Tabelle28[2050])</f>
        <v>7</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9" customWidth="1"/>
  </cols>
  <sheetData>
    <row r="1" spans="1:6" ht="25.5" hidden="1" x14ac:dyDescent="0.25">
      <c r="A1" s="59" t="s">
        <v>86</v>
      </c>
      <c r="B1" s="127" t="s">
        <v>2</v>
      </c>
      <c r="C1" s="127" t="s">
        <v>2</v>
      </c>
      <c r="D1" s="127" t="s">
        <v>2</v>
      </c>
      <c r="E1" s="127" t="s">
        <v>2</v>
      </c>
      <c r="F1" s="127" t="s">
        <v>2</v>
      </c>
    </row>
    <row r="2" spans="1:6" ht="134.25" customHeight="1" x14ac:dyDescent="0.25">
      <c r="A2" s="60" t="s">
        <v>1</v>
      </c>
      <c r="B2" s="128" t="s">
        <v>1192</v>
      </c>
      <c r="C2" s="128" t="s">
        <v>1168</v>
      </c>
      <c r="D2" s="128" t="s">
        <v>1433</v>
      </c>
      <c r="E2" s="128" t="s">
        <v>1434</v>
      </c>
      <c r="F2" s="128" t="s">
        <v>1435</v>
      </c>
    </row>
    <row r="3" spans="1:6" x14ac:dyDescent="0.25">
      <c r="A3" s="6" t="str">
        <f>'05_Betrachtungshorizont_kodiert'!A3</f>
        <v>Ape12</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Ary17</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Aus18</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Blu13</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Foc11</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Gil15</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Gob12</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Gro13</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Gru17</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Haa17</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Hei21</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Hen15</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Jet21</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Klo09</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Klo13</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Krz13</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Lad18</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Lan15</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Lie15</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Mae18</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Mol10</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Mue19</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Pau11</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Pel16</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r2b14</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Roo10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Sau19</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Sch14</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Sta06</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Ste17</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Sty15</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Woh20</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5">
        <f>'05_Betrachtungshorizont_kodiert'!B35</f>
        <v>32</v>
      </c>
      <c r="C35" s="65">
        <f>'05_Betrachtungshorizont_kodiert'!C35</f>
        <v>15</v>
      </c>
      <c r="D35" s="65">
        <f>'05_Betrachtungshorizont_kodiert'!D35</f>
        <v>6</v>
      </c>
      <c r="E35" s="65">
        <f>'05_Betrachtungshorizont_kodiert'!E35</f>
        <v>11.5</v>
      </c>
      <c r="F35" s="65">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2" sqref="A2"/>
    </sheetView>
  </sheetViews>
  <sheetFormatPr baseColWidth="10" defaultRowHeight="15.75" x14ac:dyDescent="0.25"/>
  <cols>
    <col min="1" max="1" width="13.5" customWidth="1"/>
    <col min="2" max="18" width="5.875" style="129" customWidth="1"/>
  </cols>
  <sheetData>
    <row r="1" spans="1:18" ht="25.5" hidden="1" x14ac:dyDescent="0.25">
      <c r="A1" s="59" t="s">
        <v>86</v>
      </c>
      <c r="B1" s="127"/>
      <c r="C1" s="127"/>
      <c r="D1" s="127"/>
      <c r="E1" s="127"/>
      <c r="F1" s="127"/>
      <c r="G1" s="127" t="s">
        <v>2</v>
      </c>
      <c r="H1" s="127" t="s">
        <v>2</v>
      </c>
      <c r="I1" s="127" t="s">
        <v>2</v>
      </c>
      <c r="J1" s="127" t="s">
        <v>2</v>
      </c>
      <c r="K1" s="127" t="s">
        <v>2</v>
      </c>
      <c r="L1" s="127" t="s">
        <v>2</v>
      </c>
      <c r="M1" s="127" t="s">
        <v>2</v>
      </c>
      <c r="N1" s="127" t="s">
        <v>2</v>
      </c>
      <c r="O1" s="127" t="s">
        <v>2</v>
      </c>
      <c r="P1" s="127" t="s">
        <v>2</v>
      </c>
      <c r="Q1" s="127" t="s">
        <v>2</v>
      </c>
      <c r="R1" s="127" t="s">
        <v>2</v>
      </c>
    </row>
    <row r="2" spans="1:18" ht="134.25" customHeight="1" x14ac:dyDescent="0.25">
      <c r="A2" s="60" t="s">
        <v>1</v>
      </c>
      <c r="B2" s="128" t="s">
        <v>1182</v>
      </c>
      <c r="C2" s="128" t="s">
        <v>1183</v>
      </c>
      <c r="D2" s="128" t="s">
        <v>1184</v>
      </c>
      <c r="E2" s="128" t="s">
        <v>1185</v>
      </c>
      <c r="F2" s="128" t="s">
        <v>1186</v>
      </c>
      <c r="G2" s="128" t="s">
        <v>1171</v>
      </c>
      <c r="H2" s="128" t="s">
        <v>1172</v>
      </c>
      <c r="I2" s="128" t="s">
        <v>1173</v>
      </c>
      <c r="J2" s="128" t="s">
        <v>1174</v>
      </c>
      <c r="K2" s="128" t="s">
        <v>1175</v>
      </c>
      <c r="L2" s="134" t="s">
        <v>1176</v>
      </c>
      <c r="M2" s="134" t="s">
        <v>1177</v>
      </c>
      <c r="N2" s="134" t="s">
        <v>1178</v>
      </c>
      <c r="O2" s="134" t="s">
        <v>1179</v>
      </c>
      <c r="P2" s="134" t="s">
        <v>1180</v>
      </c>
      <c r="Q2" s="134" t="s">
        <v>1168</v>
      </c>
      <c r="R2" s="134" t="s">
        <v>1181</v>
      </c>
    </row>
    <row r="3" spans="1:18" x14ac:dyDescent="0.25">
      <c r="A3" s="6" t="str">
        <f>Ueberblick[[#This Row],[Kürzel]]</f>
        <v>Ape12</v>
      </c>
      <c r="B3" s="65"/>
      <c r="C3" s="65" t="s">
        <v>1792</v>
      </c>
      <c r="D3" s="65" t="s">
        <v>1792</v>
      </c>
      <c r="E3" s="65" t="s">
        <v>1792</v>
      </c>
      <c r="F3" s="65" t="s">
        <v>1792</v>
      </c>
      <c r="G3" s="65">
        <v>1</v>
      </c>
      <c r="H3" s="65" t="s">
        <v>1792</v>
      </c>
      <c r="I3" s="65" t="s">
        <v>1792</v>
      </c>
      <c r="J3" s="65" t="s">
        <v>1792</v>
      </c>
      <c r="K3" s="65" t="s">
        <v>1792</v>
      </c>
      <c r="L3" s="65" t="s">
        <v>1792</v>
      </c>
      <c r="M3" s="65" t="s">
        <v>1792</v>
      </c>
      <c r="N3" s="65" t="s">
        <v>1792</v>
      </c>
      <c r="O3" s="65" t="s">
        <v>1792</v>
      </c>
      <c r="P3" s="65" t="s">
        <v>1792</v>
      </c>
      <c r="Q3" s="65" t="s">
        <v>1792</v>
      </c>
      <c r="R3" s="40" t="s">
        <v>1792</v>
      </c>
    </row>
    <row r="4" spans="1:18" x14ac:dyDescent="0.25">
      <c r="A4" s="6" t="str">
        <f>Ueberblick[[#This Row],[Kürzel]]</f>
        <v>Ary17</v>
      </c>
      <c r="B4" s="65" t="s">
        <v>1792</v>
      </c>
      <c r="C4" s="65" t="s">
        <v>1792</v>
      </c>
      <c r="D4" s="65" t="s">
        <v>1792</v>
      </c>
      <c r="E4" s="65" t="s">
        <v>1792</v>
      </c>
      <c r="F4" s="65" t="s">
        <v>1792</v>
      </c>
      <c r="G4" s="65">
        <v>1</v>
      </c>
      <c r="H4" s="65">
        <v>1</v>
      </c>
      <c r="I4" s="65">
        <v>1</v>
      </c>
      <c r="J4" s="65">
        <v>1</v>
      </c>
      <c r="K4" s="65">
        <v>1</v>
      </c>
      <c r="L4" s="65">
        <v>1</v>
      </c>
      <c r="M4" s="65">
        <v>1</v>
      </c>
      <c r="N4" s="65" t="s">
        <v>1792</v>
      </c>
      <c r="O4" s="65" t="s">
        <v>1792</v>
      </c>
      <c r="P4" s="65" t="s">
        <v>1792</v>
      </c>
      <c r="Q4" s="65" t="s">
        <v>1792</v>
      </c>
      <c r="R4" s="40" t="s">
        <v>1792</v>
      </c>
    </row>
    <row r="5" spans="1:18" x14ac:dyDescent="0.25">
      <c r="A5" s="6" t="str">
        <f>Ueberblick[[#This Row],[Kürzel]]</f>
        <v>Aus18</v>
      </c>
      <c r="B5" s="65" t="s">
        <v>1792</v>
      </c>
      <c r="C5" s="65" t="s">
        <v>1792</v>
      </c>
      <c r="D5" s="65" t="s">
        <v>1792</v>
      </c>
      <c r="E5" s="65" t="s">
        <v>1792</v>
      </c>
      <c r="F5" s="65" t="s">
        <v>1792</v>
      </c>
      <c r="G5" s="65" t="s">
        <v>1792</v>
      </c>
      <c r="H5" s="65" t="s">
        <v>1792</v>
      </c>
      <c r="I5" s="65" t="s">
        <v>1792</v>
      </c>
      <c r="J5" s="65" t="s">
        <v>1792</v>
      </c>
      <c r="K5" s="65" t="s">
        <v>1792</v>
      </c>
      <c r="L5" s="65" t="s">
        <v>1792</v>
      </c>
      <c r="M5" s="65" t="s">
        <v>1792</v>
      </c>
      <c r="N5" s="65">
        <v>1</v>
      </c>
      <c r="O5" s="65">
        <v>1</v>
      </c>
      <c r="P5" s="65" t="s">
        <v>1792</v>
      </c>
      <c r="Q5" s="65" t="s">
        <v>1792</v>
      </c>
      <c r="R5" s="40" t="s">
        <v>1792</v>
      </c>
    </row>
    <row r="6" spans="1:18" x14ac:dyDescent="0.25">
      <c r="A6" s="6" t="str">
        <f>Ueberblick[[#This Row],[Kürzel]]</f>
        <v>Blu13</v>
      </c>
      <c r="B6" s="65" t="s">
        <v>1792</v>
      </c>
      <c r="C6" s="65" t="s">
        <v>1792</v>
      </c>
      <c r="D6" s="65" t="s">
        <v>1792</v>
      </c>
      <c r="E6" s="65" t="s">
        <v>1792</v>
      </c>
      <c r="F6" s="65" t="s">
        <v>1792</v>
      </c>
      <c r="G6" s="65" t="s">
        <v>1792</v>
      </c>
      <c r="H6" s="65">
        <v>1</v>
      </c>
      <c r="I6" s="65" t="s">
        <v>1792</v>
      </c>
      <c r="J6" s="65" t="s">
        <v>1792</v>
      </c>
      <c r="K6" s="65" t="s">
        <v>1792</v>
      </c>
      <c r="L6" s="65" t="s">
        <v>1792</v>
      </c>
      <c r="M6" s="65" t="s">
        <v>1792</v>
      </c>
      <c r="N6" s="65" t="s">
        <v>1792</v>
      </c>
      <c r="O6" s="65" t="s">
        <v>1792</v>
      </c>
      <c r="P6" s="65" t="s">
        <v>1792</v>
      </c>
      <c r="Q6" s="65" t="s">
        <v>1792</v>
      </c>
      <c r="R6" s="40" t="s">
        <v>1792</v>
      </c>
    </row>
    <row r="7" spans="1:18" x14ac:dyDescent="0.25">
      <c r="A7" s="6" t="str">
        <f>Ueberblick[[#This Row],[Kürzel]]</f>
        <v>Foc11</v>
      </c>
      <c r="B7" s="65">
        <v>1</v>
      </c>
      <c r="C7" s="65">
        <v>1</v>
      </c>
      <c r="D7" s="65">
        <v>1</v>
      </c>
      <c r="E7" s="65">
        <v>1</v>
      </c>
      <c r="F7" s="65">
        <v>1</v>
      </c>
      <c r="G7" s="65">
        <v>1</v>
      </c>
      <c r="H7" s="65" t="s">
        <v>1792</v>
      </c>
      <c r="I7" s="65" t="s">
        <v>1792</v>
      </c>
      <c r="J7" s="65" t="s">
        <v>1792</v>
      </c>
      <c r="K7" s="65" t="s">
        <v>1792</v>
      </c>
      <c r="L7" s="65" t="s">
        <v>1792</v>
      </c>
      <c r="M7" s="65" t="s">
        <v>1792</v>
      </c>
      <c r="N7" s="65" t="s">
        <v>1792</v>
      </c>
      <c r="O7" s="65" t="s">
        <v>1792</v>
      </c>
      <c r="P7" s="65" t="s">
        <v>1792</v>
      </c>
      <c r="Q7" s="65" t="s">
        <v>1792</v>
      </c>
      <c r="R7" s="40" t="s">
        <v>1792</v>
      </c>
    </row>
    <row r="8" spans="1:18" x14ac:dyDescent="0.25">
      <c r="A8" s="6" t="str">
        <f>Ueberblick[[#This Row],[Kürzel]]</f>
        <v>Gil15</v>
      </c>
      <c r="B8" s="65">
        <v>1</v>
      </c>
      <c r="C8" s="65">
        <v>1</v>
      </c>
      <c r="D8" s="65">
        <v>1</v>
      </c>
      <c r="E8" s="65">
        <v>1</v>
      </c>
      <c r="F8" s="65">
        <v>1</v>
      </c>
      <c r="G8" s="65">
        <v>1</v>
      </c>
      <c r="H8" s="65" t="s">
        <v>1792</v>
      </c>
      <c r="I8" s="65" t="s">
        <v>1792</v>
      </c>
      <c r="J8" s="65" t="s">
        <v>1792</v>
      </c>
      <c r="K8" s="65" t="s">
        <v>1792</v>
      </c>
      <c r="L8" s="65" t="s">
        <v>1792</v>
      </c>
      <c r="M8" s="65" t="s">
        <v>1792</v>
      </c>
      <c r="N8" s="65" t="s">
        <v>1792</v>
      </c>
      <c r="O8" s="65" t="s">
        <v>1792</v>
      </c>
      <c r="P8" s="65" t="s">
        <v>1792</v>
      </c>
      <c r="Q8" s="65" t="s">
        <v>1792</v>
      </c>
      <c r="R8" s="40" t="s">
        <v>1792</v>
      </c>
    </row>
    <row r="9" spans="1:18" x14ac:dyDescent="0.25">
      <c r="A9" s="6" t="str">
        <f>Ueberblick[[#This Row],[Kürzel]]</f>
        <v>Gob12</v>
      </c>
      <c r="B9" s="65" t="s">
        <v>1792</v>
      </c>
      <c r="C9" s="65" t="s">
        <v>1792</v>
      </c>
      <c r="D9" s="65" t="s">
        <v>1792</v>
      </c>
      <c r="E9" s="65" t="s">
        <v>1792</v>
      </c>
      <c r="F9" s="65" t="s">
        <v>1792</v>
      </c>
      <c r="G9" s="65" t="s">
        <v>1792</v>
      </c>
      <c r="H9" s="65" t="s">
        <v>1792</v>
      </c>
      <c r="I9" s="65" t="s">
        <v>1792</v>
      </c>
      <c r="J9" s="65" t="s">
        <v>1792</v>
      </c>
      <c r="K9" s="65" t="s">
        <v>1792</v>
      </c>
      <c r="L9" s="65" t="s">
        <v>1792</v>
      </c>
      <c r="M9" s="65" t="s">
        <v>1792</v>
      </c>
      <c r="N9" s="65" t="s">
        <v>1792</v>
      </c>
      <c r="O9" s="65" t="s">
        <v>1792</v>
      </c>
      <c r="P9" s="65" t="s">
        <v>1792</v>
      </c>
      <c r="Q9" s="65" t="s">
        <v>1792</v>
      </c>
      <c r="R9" s="40">
        <v>1</v>
      </c>
    </row>
    <row r="10" spans="1:18" x14ac:dyDescent="0.25">
      <c r="A10" s="6" t="str">
        <f>Ueberblick[[#This Row],[Kürzel]]</f>
        <v>Gro13</v>
      </c>
      <c r="B10" s="65" t="s">
        <v>1792</v>
      </c>
      <c r="C10" s="65" t="s">
        <v>1792</v>
      </c>
      <c r="D10" s="65" t="s">
        <v>1792</v>
      </c>
      <c r="E10" s="65" t="s">
        <v>1792</v>
      </c>
      <c r="F10" s="65" t="s">
        <v>1792</v>
      </c>
      <c r="G10" s="65" t="s">
        <v>1792</v>
      </c>
      <c r="H10" s="65" t="s">
        <v>1792</v>
      </c>
      <c r="I10" s="65" t="s">
        <v>1792</v>
      </c>
      <c r="J10" s="65" t="s">
        <v>1792</v>
      </c>
      <c r="K10" s="65" t="s">
        <v>1792</v>
      </c>
      <c r="L10" s="65" t="s">
        <v>1792</v>
      </c>
      <c r="M10" s="65" t="s">
        <v>1792</v>
      </c>
      <c r="N10" s="65" t="s">
        <v>1792</v>
      </c>
      <c r="O10" s="65" t="s">
        <v>1792</v>
      </c>
      <c r="P10" s="65" t="s">
        <v>1792</v>
      </c>
      <c r="Q10" s="65" t="s">
        <v>1792</v>
      </c>
      <c r="R10" s="40">
        <v>1</v>
      </c>
    </row>
    <row r="11" spans="1:18" x14ac:dyDescent="0.25">
      <c r="A11" s="6" t="str">
        <f>Ueberblick[[#This Row],[Kürzel]]</f>
        <v>Gru17</v>
      </c>
      <c r="B11" s="65" t="s">
        <v>1792</v>
      </c>
      <c r="C11" s="65" t="s">
        <v>1792</v>
      </c>
      <c r="D11" s="65" t="s">
        <v>1792</v>
      </c>
      <c r="E11" s="65" t="s">
        <v>1792</v>
      </c>
      <c r="F11" s="65" t="s">
        <v>1792</v>
      </c>
      <c r="G11" s="65" t="s">
        <v>1792</v>
      </c>
      <c r="H11" s="65">
        <v>1</v>
      </c>
      <c r="I11" s="65">
        <v>1</v>
      </c>
      <c r="J11" s="65" t="s">
        <v>1792</v>
      </c>
      <c r="K11" s="65" t="s">
        <v>1792</v>
      </c>
      <c r="L11" s="65" t="s">
        <v>1792</v>
      </c>
      <c r="M11" s="65" t="s">
        <v>1792</v>
      </c>
      <c r="N11" s="65" t="s">
        <v>1792</v>
      </c>
      <c r="O11" s="65" t="s">
        <v>1792</v>
      </c>
      <c r="P11" s="65" t="s">
        <v>1792</v>
      </c>
      <c r="Q11" s="65" t="s">
        <v>1792</v>
      </c>
      <c r="R11" s="40" t="s">
        <v>1792</v>
      </c>
    </row>
    <row r="12" spans="1:18" x14ac:dyDescent="0.25">
      <c r="A12" s="6" t="str">
        <f>Ueberblick[[#This Row],[Kürzel]]</f>
        <v>Haa17</v>
      </c>
      <c r="B12" s="65" t="s">
        <v>1792</v>
      </c>
      <c r="C12" s="65" t="s">
        <v>1792</v>
      </c>
      <c r="D12" s="65" t="s">
        <v>1792</v>
      </c>
      <c r="E12" s="65" t="s">
        <v>1792</v>
      </c>
      <c r="F12" s="65" t="s">
        <v>1792</v>
      </c>
      <c r="G12" s="65" t="s">
        <v>1792</v>
      </c>
      <c r="H12" s="65">
        <v>1</v>
      </c>
      <c r="I12" s="65">
        <v>1</v>
      </c>
      <c r="J12" s="65">
        <v>1</v>
      </c>
      <c r="K12" s="65">
        <v>1</v>
      </c>
      <c r="L12" s="65">
        <v>1</v>
      </c>
      <c r="M12" s="65" t="s">
        <v>1792</v>
      </c>
      <c r="N12" s="65" t="s">
        <v>1792</v>
      </c>
      <c r="O12" s="65" t="s">
        <v>1792</v>
      </c>
      <c r="P12" s="65" t="s">
        <v>1792</v>
      </c>
      <c r="Q12" s="65" t="s">
        <v>1792</v>
      </c>
      <c r="R12" s="40" t="s">
        <v>1792</v>
      </c>
    </row>
    <row r="13" spans="1:18" x14ac:dyDescent="0.25">
      <c r="A13" s="6" t="str">
        <f>Ueberblick[[#This Row],[Kürzel]]</f>
        <v>Hei21</v>
      </c>
      <c r="B13" s="65" t="s">
        <v>1792</v>
      </c>
      <c r="C13" s="65" t="s">
        <v>1792</v>
      </c>
      <c r="D13" s="65" t="s">
        <v>1792</v>
      </c>
      <c r="E13" s="65" t="s">
        <v>1792</v>
      </c>
      <c r="F13" s="65" t="s">
        <v>1792</v>
      </c>
      <c r="G13" s="65" t="s">
        <v>1792</v>
      </c>
      <c r="H13" s="65" t="s">
        <v>1792</v>
      </c>
      <c r="I13" s="65" t="s">
        <v>1792</v>
      </c>
      <c r="J13" s="65" t="s">
        <v>1792</v>
      </c>
      <c r="K13" s="65" t="s">
        <v>1792</v>
      </c>
      <c r="L13" s="65" t="s">
        <v>1792</v>
      </c>
      <c r="M13" s="65" t="s">
        <v>1792</v>
      </c>
      <c r="N13" s="65">
        <v>1</v>
      </c>
      <c r="O13" s="65">
        <v>1</v>
      </c>
      <c r="P13" s="65">
        <v>1</v>
      </c>
      <c r="Q13" s="65">
        <v>1</v>
      </c>
      <c r="R13" s="40" t="s">
        <v>1792</v>
      </c>
    </row>
    <row r="14" spans="1:18" x14ac:dyDescent="0.25">
      <c r="A14" s="6" t="str">
        <f>Ueberblick[[#This Row],[Kürzel]]</f>
        <v>Hen15</v>
      </c>
      <c r="B14" s="65" t="s">
        <v>1792</v>
      </c>
      <c r="C14" s="65" t="s">
        <v>1792</v>
      </c>
      <c r="D14" s="65" t="s">
        <v>1792</v>
      </c>
      <c r="E14" s="65" t="s">
        <v>1792</v>
      </c>
      <c r="F14" s="65" t="s">
        <v>1792</v>
      </c>
      <c r="G14" s="65" t="s">
        <v>1792</v>
      </c>
      <c r="H14" s="65">
        <v>1</v>
      </c>
      <c r="I14" s="65">
        <v>1</v>
      </c>
      <c r="J14" s="65">
        <v>1</v>
      </c>
      <c r="K14" s="65">
        <v>1</v>
      </c>
      <c r="L14" s="65">
        <v>1</v>
      </c>
      <c r="M14" s="65" t="s">
        <v>1792</v>
      </c>
      <c r="N14" s="65" t="s">
        <v>1792</v>
      </c>
      <c r="O14" s="65" t="s">
        <v>1792</v>
      </c>
      <c r="P14" s="65" t="s">
        <v>1792</v>
      </c>
      <c r="Q14" s="65" t="s">
        <v>1792</v>
      </c>
      <c r="R14" s="40" t="s">
        <v>1792</v>
      </c>
    </row>
    <row r="15" spans="1:18" x14ac:dyDescent="0.25">
      <c r="A15" s="6" t="str">
        <f>Ueberblick[[#This Row],[Kürzel]]</f>
        <v>Jet21</v>
      </c>
      <c r="B15" s="65" t="s">
        <v>1792</v>
      </c>
      <c r="C15" s="65" t="s">
        <v>1792</v>
      </c>
      <c r="D15" s="65" t="s">
        <v>1792</v>
      </c>
      <c r="E15" s="65" t="s">
        <v>1792</v>
      </c>
      <c r="F15" s="65" t="s">
        <v>1792</v>
      </c>
      <c r="G15" s="65" t="s">
        <v>1792</v>
      </c>
      <c r="H15" s="65" t="s">
        <v>1792</v>
      </c>
      <c r="I15" s="65" t="s">
        <v>1792</v>
      </c>
      <c r="J15" s="65" t="s">
        <v>1792</v>
      </c>
      <c r="K15" s="65" t="s">
        <v>1792</v>
      </c>
      <c r="L15" s="65" t="s">
        <v>1792</v>
      </c>
      <c r="M15" s="65">
        <v>1</v>
      </c>
      <c r="N15" s="65">
        <v>1</v>
      </c>
      <c r="O15" s="65">
        <v>1</v>
      </c>
      <c r="P15" s="65">
        <v>1</v>
      </c>
      <c r="Q15" s="65">
        <v>1</v>
      </c>
      <c r="R15" s="40" t="s">
        <v>1792</v>
      </c>
    </row>
    <row r="16" spans="1:18" x14ac:dyDescent="0.25">
      <c r="A16" s="6" t="str">
        <f>Ueberblick[[#This Row],[Kürzel]]</f>
        <v>Klo09</v>
      </c>
      <c r="B16" s="65">
        <v>1</v>
      </c>
      <c r="C16" s="65" t="s">
        <v>1792</v>
      </c>
      <c r="D16" s="65" t="s">
        <v>1792</v>
      </c>
      <c r="E16" s="65" t="s">
        <v>1792</v>
      </c>
      <c r="F16" s="65" t="s">
        <v>1792</v>
      </c>
      <c r="G16" s="65" t="s">
        <v>1792</v>
      </c>
      <c r="H16" s="65" t="s">
        <v>1792</v>
      </c>
      <c r="I16" s="65" t="s">
        <v>1792</v>
      </c>
      <c r="J16" s="65" t="s">
        <v>1792</v>
      </c>
      <c r="K16" s="65" t="s">
        <v>1792</v>
      </c>
      <c r="L16" s="65" t="s">
        <v>1792</v>
      </c>
      <c r="M16" s="65" t="s">
        <v>1792</v>
      </c>
      <c r="N16" s="65" t="s">
        <v>1792</v>
      </c>
      <c r="O16" s="65" t="s">
        <v>1792</v>
      </c>
      <c r="P16" s="65" t="s">
        <v>1792</v>
      </c>
      <c r="Q16" s="65" t="s">
        <v>1792</v>
      </c>
      <c r="R16" s="40" t="s">
        <v>1792</v>
      </c>
    </row>
    <row r="17" spans="1:18" x14ac:dyDescent="0.25">
      <c r="A17" s="6" t="str">
        <f>Ueberblick[[#This Row],[Kürzel]]</f>
        <v>Klo13</v>
      </c>
      <c r="B17" s="65" t="s">
        <v>1792</v>
      </c>
      <c r="C17" s="65" t="s">
        <v>1792</v>
      </c>
      <c r="D17" s="65" t="s">
        <v>1792</v>
      </c>
      <c r="E17" s="65" t="s">
        <v>1792</v>
      </c>
      <c r="F17" s="65" t="s">
        <v>1792</v>
      </c>
      <c r="G17" s="65" t="s">
        <v>1792</v>
      </c>
      <c r="H17" s="65" t="s">
        <v>1792</v>
      </c>
      <c r="I17" s="65" t="s">
        <v>1792</v>
      </c>
      <c r="J17" s="65">
        <v>1</v>
      </c>
      <c r="K17" s="65" t="s">
        <v>1792</v>
      </c>
      <c r="L17" s="65" t="s">
        <v>1792</v>
      </c>
      <c r="M17" s="65" t="s">
        <v>1792</v>
      </c>
      <c r="N17" s="65" t="s">
        <v>1792</v>
      </c>
      <c r="O17" s="65" t="s">
        <v>1792</v>
      </c>
      <c r="P17" s="65" t="s">
        <v>1792</v>
      </c>
      <c r="Q17" s="65" t="s">
        <v>1792</v>
      </c>
      <c r="R17" s="40" t="s">
        <v>1792</v>
      </c>
    </row>
    <row r="18" spans="1:18" x14ac:dyDescent="0.25">
      <c r="A18" s="6" t="str">
        <f>Ueberblick[[#This Row],[Kürzel]]</f>
        <v>Krz13</v>
      </c>
      <c r="B18" s="65">
        <v>1</v>
      </c>
      <c r="C18" s="65">
        <v>1</v>
      </c>
      <c r="D18" s="65">
        <v>1</v>
      </c>
      <c r="E18" s="65">
        <v>1</v>
      </c>
      <c r="F18" s="65">
        <v>1</v>
      </c>
      <c r="G18" s="65">
        <v>1</v>
      </c>
      <c r="H18" s="65">
        <v>1</v>
      </c>
      <c r="I18" s="65">
        <v>1</v>
      </c>
      <c r="J18" s="65">
        <v>1</v>
      </c>
      <c r="K18" s="65" t="s">
        <v>1792</v>
      </c>
      <c r="L18" s="65" t="s">
        <v>1792</v>
      </c>
      <c r="M18" s="65" t="s">
        <v>1792</v>
      </c>
      <c r="N18" s="65" t="s">
        <v>1792</v>
      </c>
      <c r="O18" s="65" t="s">
        <v>1792</v>
      </c>
      <c r="P18" s="65" t="s">
        <v>1792</v>
      </c>
      <c r="Q18" s="65" t="s">
        <v>1792</v>
      </c>
      <c r="R18" s="40" t="s">
        <v>1792</v>
      </c>
    </row>
    <row r="19" spans="1:18" x14ac:dyDescent="0.25">
      <c r="A19" s="6" t="str">
        <f>Ueberblick[[#This Row],[Kürzel]]</f>
        <v>Lad18</v>
      </c>
      <c r="B19" s="65" t="s">
        <v>1792</v>
      </c>
      <c r="C19" s="65" t="s">
        <v>1792</v>
      </c>
      <c r="D19" s="65" t="s">
        <v>1792</v>
      </c>
      <c r="E19" s="65" t="s">
        <v>1792</v>
      </c>
      <c r="F19" s="65" t="s">
        <v>1792</v>
      </c>
      <c r="G19" s="65" t="s">
        <v>1792</v>
      </c>
      <c r="H19" s="65" t="s">
        <v>1792</v>
      </c>
      <c r="I19" s="65" t="s">
        <v>1792</v>
      </c>
      <c r="J19" s="65">
        <v>1</v>
      </c>
      <c r="K19" s="65" t="s">
        <v>1792</v>
      </c>
      <c r="L19" s="65" t="s">
        <v>1792</v>
      </c>
      <c r="M19" s="65" t="s">
        <v>1792</v>
      </c>
      <c r="N19" s="65" t="s">
        <v>1792</v>
      </c>
      <c r="O19" s="65" t="s">
        <v>1792</v>
      </c>
      <c r="P19" s="65" t="s">
        <v>1792</v>
      </c>
      <c r="Q19" s="65" t="s">
        <v>1792</v>
      </c>
      <c r="R19" s="40" t="s">
        <v>1792</v>
      </c>
    </row>
    <row r="20" spans="1:18" x14ac:dyDescent="0.25">
      <c r="A20" s="6" t="str">
        <f>Ueberblick[[#This Row],[Kürzel]]</f>
        <v>Lan15</v>
      </c>
      <c r="B20" s="65" t="s">
        <v>1792</v>
      </c>
      <c r="C20" s="65" t="s">
        <v>1792</v>
      </c>
      <c r="D20" s="65" t="s">
        <v>1792</v>
      </c>
      <c r="E20" s="65" t="s">
        <v>1792</v>
      </c>
      <c r="F20" s="65" t="s">
        <v>1792</v>
      </c>
      <c r="G20" s="65" t="s">
        <v>1792</v>
      </c>
      <c r="H20" s="65" t="s">
        <v>1792</v>
      </c>
      <c r="I20" s="65">
        <v>1</v>
      </c>
      <c r="J20" s="65">
        <v>1</v>
      </c>
      <c r="K20" s="65" t="s">
        <v>1792</v>
      </c>
      <c r="L20" s="65" t="s">
        <v>1792</v>
      </c>
      <c r="M20" s="65" t="s">
        <v>1792</v>
      </c>
      <c r="N20" s="65" t="s">
        <v>1792</v>
      </c>
      <c r="O20" s="65" t="s">
        <v>1792</v>
      </c>
      <c r="P20" s="65" t="s">
        <v>1792</v>
      </c>
      <c r="Q20" s="65" t="s">
        <v>1792</v>
      </c>
      <c r="R20" s="40" t="s">
        <v>1792</v>
      </c>
    </row>
    <row r="21" spans="1:18" x14ac:dyDescent="0.25">
      <c r="A21" s="6" t="str">
        <f>Ueberblick[[#This Row],[Kürzel]]</f>
        <v>Lie15</v>
      </c>
      <c r="B21" s="65">
        <v>1</v>
      </c>
      <c r="C21" s="65">
        <v>1</v>
      </c>
      <c r="D21" s="65">
        <v>1</v>
      </c>
      <c r="E21" s="65">
        <v>1</v>
      </c>
      <c r="F21" s="65">
        <v>1</v>
      </c>
      <c r="G21" s="65">
        <v>1</v>
      </c>
      <c r="H21" s="65">
        <v>1</v>
      </c>
      <c r="I21" s="65">
        <v>1</v>
      </c>
      <c r="J21" s="65">
        <v>1</v>
      </c>
      <c r="K21" s="65" t="s">
        <v>1792</v>
      </c>
      <c r="L21" s="65" t="s">
        <v>1792</v>
      </c>
      <c r="M21" s="65" t="s">
        <v>1792</v>
      </c>
      <c r="N21" s="65" t="s">
        <v>1792</v>
      </c>
      <c r="O21" s="65" t="s">
        <v>1792</v>
      </c>
      <c r="P21" s="65" t="s">
        <v>1792</v>
      </c>
      <c r="Q21" s="65" t="s">
        <v>1792</v>
      </c>
      <c r="R21" s="40" t="s">
        <v>1792</v>
      </c>
    </row>
    <row r="22" spans="1:18" x14ac:dyDescent="0.25">
      <c r="A22" s="6" t="str">
        <f>Ueberblick[[#This Row],[Kürzel]]</f>
        <v>Mae18</v>
      </c>
      <c r="B22" s="65" t="s">
        <v>1792</v>
      </c>
      <c r="C22" s="65" t="s">
        <v>1792</v>
      </c>
      <c r="D22" s="65" t="s">
        <v>1792</v>
      </c>
      <c r="E22" s="65" t="s">
        <v>1792</v>
      </c>
      <c r="F22" s="65" t="s">
        <v>1792</v>
      </c>
      <c r="G22" s="65" t="s">
        <v>1792</v>
      </c>
      <c r="H22" s="65" t="s">
        <v>1792</v>
      </c>
      <c r="I22" s="65" t="s">
        <v>1792</v>
      </c>
      <c r="J22" s="65" t="s">
        <v>1792</v>
      </c>
      <c r="K22" s="65">
        <v>1</v>
      </c>
      <c r="L22" s="65" t="s">
        <v>1792</v>
      </c>
      <c r="M22" s="65" t="s">
        <v>1792</v>
      </c>
      <c r="N22" s="65" t="s">
        <v>1792</v>
      </c>
      <c r="O22" s="65" t="s">
        <v>1792</v>
      </c>
      <c r="P22" s="65" t="s">
        <v>1792</v>
      </c>
      <c r="Q22" s="65" t="s">
        <v>1792</v>
      </c>
      <c r="R22" s="40" t="s">
        <v>1792</v>
      </c>
    </row>
    <row r="23" spans="1:18" x14ac:dyDescent="0.25">
      <c r="A23" s="6" t="str">
        <f>Ueberblick[[#This Row],[Kürzel]]</f>
        <v>Mol10</v>
      </c>
      <c r="B23" s="65">
        <v>1</v>
      </c>
      <c r="C23" s="65">
        <v>1</v>
      </c>
      <c r="D23" s="65">
        <v>1</v>
      </c>
      <c r="E23" s="65">
        <v>1</v>
      </c>
      <c r="F23" s="65">
        <v>1</v>
      </c>
      <c r="G23" s="65" t="s">
        <v>1792</v>
      </c>
      <c r="H23" s="65" t="s">
        <v>1792</v>
      </c>
      <c r="I23" s="65" t="s">
        <v>1792</v>
      </c>
      <c r="J23" s="65" t="s">
        <v>1792</v>
      </c>
      <c r="K23" s="65" t="s">
        <v>1792</v>
      </c>
      <c r="L23" s="65" t="s">
        <v>1792</v>
      </c>
      <c r="M23" s="65" t="s">
        <v>1792</v>
      </c>
      <c r="N23" s="65" t="s">
        <v>1792</v>
      </c>
      <c r="O23" s="65" t="s">
        <v>1792</v>
      </c>
      <c r="P23" s="65" t="s">
        <v>1792</v>
      </c>
      <c r="Q23" s="65" t="s">
        <v>1792</v>
      </c>
      <c r="R23" s="40" t="s">
        <v>1792</v>
      </c>
    </row>
    <row r="24" spans="1:18" x14ac:dyDescent="0.25">
      <c r="A24" s="6" t="str">
        <f>Ueberblick[[#This Row],[Kürzel]]</f>
        <v>Mue19</v>
      </c>
      <c r="B24" s="65" t="s">
        <v>1792</v>
      </c>
      <c r="C24" s="65" t="s">
        <v>1792</v>
      </c>
      <c r="D24" s="65" t="s">
        <v>1792</v>
      </c>
      <c r="E24" s="65" t="s">
        <v>1792</v>
      </c>
      <c r="F24" s="65" t="s">
        <v>1792</v>
      </c>
      <c r="G24" s="65" t="s">
        <v>1792</v>
      </c>
      <c r="H24" s="65" t="s">
        <v>1792</v>
      </c>
      <c r="I24" s="65" t="s">
        <v>1792</v>
      </c>
      <c r="J24" s="65" t="s">
        <v>1792</v>
      </c>
      <c r="K24" s="65" t="s">
        <v>1792</v>
      </c>
      <c r="L24" s="65" t="s">
        <v>1792</v>
      </c>
      <c r="M24" s="65" t="s">
        <v>1792</v>
      </c>
      <c r="N24" s="65">
        <v>1</v>
      </c>
      <c r="O24" s="65" t="s">
        <v>1792</v>
      </c>
      <c r="P24" s="65" t="s">
        <v>1792</v>
      </c>
      <c r="Q24" s="65" t="s">
        <v>1792</v>
      </c>
      <c r="R24" s="40" t="s">
        <v>1792</v>
      </c>
    </row>
    <row r="25" spans="1:18" x14ac:dyDescent="0.25">
      <c r="A25" s="6" t="str">
        <f>Ueberblick[[#This Row],[Kürzel]]</f>
        <v>Pau11</v>
      </c>
      <c r="B25" s="65" t="s">
        <v>1792</v>
      </c>
      <c r="C25" s="65" t="s">
        <v>1792</v>
      </c>
      <c r="D25" s="65" t="s">
        <v>1792</v>
      </c>
      <c r="E25" s="65" t="s">
        <v>1792</v>
      </c>
      <c r="F25" s="65">
        <v>1</v>
      </c>
      <c r="G25" s="65">
        <v>1</v>
      </c>
      <c r="H25" s="65" t="s">
        <v>1792</v>
      </c>
      <c r="I25" s="65" t="s">
        <v>1792</v>
      </c>
      <c r="J25" s="65" t="s">
        <v>1792</v>
      </c>
      <c r="K25" s="65" t="s">
        <v>1792</v>
      </c>
      <c r="L25" s="65" t="s">
        <v>1792</v>
      </c>
      <c r="M25" s="65" t="s">
        <v>1792</v>
      </c>
      <c r="N25" s="65" t="s">
        <v>1792</v>
      </c>
      <c r="O25" s="65" t="s">
        <v>1792</v>
      </c>
      <c r="P25" s="65" t="s">
        <v>1792</v>
      </c>
      <c r="Q25" s="65" t="s">
        <v>1792</v>
      </c>
      <c r="R25" s="40" t="s">
        <v>1792</v>
      </c>
    </row>
    <row r="26" spans="1:18" x14ac:dyDescent="0.25">
      <c r="A26" s="6" t="str">
        <f>Ueberblick[[#This Row],[Kürzel]]</f>
        <v>Pel16</v>
      </c>
      <c r="B26" s="65" t="s">
        <v>1792</v>
      </c>
      <c r="C26" s="65" t="s">
        <v>1792</v>
      </c>
      <c r="D26" s="65" t="s">
        <v>1792</v>
      </c>
      <c r="E26" s="65" t="s">
        <v>1792</v>
      </c>
      <c r="F26" s="65" t="s">
        <v>1792</v>
      </c>
      <c r="G26" s="65">
        <v>1</v>
      </c>
      <c r="H26" s="65">
        <v>1</v>
      </c>
      <c r="I26" s="65">
        <v>1</v>
      </c>
      <c r="J26" s="65" t="s">
        <v>1792</v>
      </c>
      <c r="K26" s="65" t="s">
        <v>1792</v>
      </c>
      <c r="L26" s="65" t="s">
        <v>1792</v>
      </c>
      <c r="M26" s="65" t="s">
        <v>1792</v>
      </c>
      <c r="N26" s="65" t="s">
        <v>1792</v>
      </c>
      <c r="O26" s="65" t="s">
        <v>1792</v>
      </c>
      <c r="P26" s="65" t="s">
        <v>1792</v>
      </c>
      <c r="Q26" s="65" t="s">
        <v>1792</v>
      </c>
      <c r="R26" s="40" t="s">
        <v>1792</v>
      </c>
    </row>
    <row r="27" spans="1:18" x14ac:dyDescent="0.25">
      <c r="A27" s="6" t="str">
        <f>Ueberblick[[#This Row],[Kürzel]]</f>
        <v>r2b14</v>
      </c>
      <c r="B27" s="65">
        <v>1</v>
      </c>
      <c r="C27" s="65">
        <v>1</v>
      </c>
      <c r="D27" s="65">
        <v>1</v>
      </c>
      <c r="E27" s="65">
        <v>1</v>
      </c>
      <c r="F27" s="65">
        <v>1</v>
      </c>
      <c r="G27" s="65">
        <v>1</v>
      </c>
      <c r="H27" s="65">
        <v>1</v>
      </c>
      <c r="I27" s="65">
        <v>1</v>
      </c>
      <c r="J27" s="65" t="s">
        <v>1792</v>
      </c>
      <c r="K27" s="65" t="s">
        <v>1792</v>
      </c>
      <c r="L27" s="65" t="s">
        <v>1792</v>
      </c>
      <c r="M27" s="65" t="s">
        <v>1792</v>
      </c>
      <c r="N27" s="65" t="s">
        <v>1792</v>
      </c>
      <c r="O27" s="65" t="s">
        <v>1792</v>
      </c>
      <c r="P27" s="65" t="s">
        <v>1792</v>
      </c>
      <c r="Q27" s="65" t="s">
        <v>1792</v>
      </c>
      <c r="R27" s="40" t="s">
        <v>1792</v>
      </c>
    </row>
    <row r="28" spans="1:18" x14ac:dyDescent="0.25">
      <c r="A28" s="6" t="str">
        <f>Ueberblick[[#This Row],[Kürzel]]</f>
        <v>Roo10</v>
      </c>
      <c r="B28" s="65" t="s">
        <v>1792</v>
      </c>
      <c r="C28" s="65" t="s">
        <v>1792</v>
      </c>
      <c r="D28" s="65" t="s">
        <v>1792</v>
      </c>
      <c r="E28" s="65" t="s">
        <v>1792</v>
      </c>
      <c r="F28" s="65" t="s">
        <v>1792</v>
      </c>
      <c r="G28" s="65" t="s">
        <v>1792</v>
      </c>
      <c r="H28" s="65" t="s">
        <v>1792</v>
      </c>
      <c r="I28" s="65" t="s">
        <v>1792</v>
      </c>
      <c r="J28" s="65" t="s">
        <v>1792</v>
      </c>
      <c r="K28" s="65" t="s">
        <v>1792</v>
      </c>
      <c r="L28" s="65" t="s">
        <v>1792</v>
      </c>
      <c r="M28" s="65" t="s">
        <v>1792</v>
      </c>
      <c r="N28" s="65" t="s">
        <v>1792</v>
      </c>
      <c r="O28" s="65" t="s">
        <v>1792</v>
      </c>
      <c r="P28" s="65" t="s">
        <v>1792</v>
      </c>
      <c r="Q28" s="65" t="s">
        <v>1792</v>
      </c>
      <c r="R28" s="65">
        <v>1</v>
      </c>
    </row>
    <row r="29" spans="1:18" x14ac:dyDescent="0.25">
      <c r="A29" s="6" t="str">
        <f>Ueberblick[[#This Row],[Kürzel]]</f>
        <v>Sau19</v>
      </c>
      <c r="B29" s="65"/>
      <c r="C29" s="65"/>
      <c r="D29" s="65"/>
      <c r="E29" s="65"/>
      <c r="F29" s="65"/>
      <c r="G29" s="65"/>
      <c r="H29" s="65" t="s">
        <v>1792</v>
      </c>
      <c r="I29" s="65" t="s">
        <v>1792</v>
      </c>
      <c r="J29" s="65" t="s">
        <v>1792</v>
      </c>
      <c r="K29" s="65" t="s">
        <v>1792</v>
      </c>
      <c r="L29" s="65" t="s">
        <v>1792</v>
      </c>
      <c r="M29" s="65" t="s">
        <v>1792</v>
      </c>
      <c r="N29" s="65">
        <v>1</v>
      </c>
      <c r="O29" s="65">
        <v>1</v>
      </c>
      <c r="P29" s="65" t="s">
        <v>1792</v>
      </c>
      <c r="Q29" s="65" t="s">
        <v>1792</v>
      </c>
      <c r="R29" s="40" t="s">
        <v>1792</v>
      </c>
    </row>
    <row r="30" spans="1:18" x14ac:dyDescent="0.25">
      <c r="A30" s="6" t="str">
        <f>Ueberblick[[#This Row],[Kürzel]]</f>
        <v>Sch14</v>
      </c>
      <c r="B30" s="65">
        <v>1</v>
      </c>
      <c r="C30" s="65">
        <v>1</v>
      </c>
      <c r="D30" s="65">
        <v>1</v>
      </c>
      <c r="E30" s="65">
        <v>1</v>
      </c>
      <c r="F30" s="65">
        <v>1</v>
      </c>
      <c r="G30" s="65">
        <v>1</v>
      </c>
      <c r="H30" s="65"/>
      <c r="I30" s="65"/>
      <c r="J30" s="65"/>
      <c r="K30" s="65"/>
      <c r="L30" s="65" t="s">
        <v>1792</v>
      </c>
      <c r="M30" s="65" t="s">
        <v>1792</v>
      </c>
      <c r="N30" s="65" t="s">
        <v>1792</v>
      </c>
      <c r="O30" s="65" t="s">
        <v>1792</v>
      </c>
      <c r="P30" s="65" t="s">
        <v>1792</v>
      </c>
      <c r="Q30" s="65" t="s">
        <v>1792</v>
      </c>
      <c r="R30" s="40" t="s">
        <v>1792</v>
      </c>
    </row>
    <row r="31" spans="1:18" x14ac:dyDescent="0.25">
      <c r="A31" s="6" t="str">
        <f>Ueberblick[[#This Row],[Kürzel]]</f>
        <v>Sta06</v>
      </c>
      <c r="B31" s="65" t="s">
        <v>1792</v>
      </c>
      <c r="C31" s="65" t="s">
        <v>1792</v>
      </c>
      <c r="D31" s="65" t="s">
        <v>1792</v>
      </c>
      <c r="E31" s="65" t="s">
        <v>1792</v>
      </c>
      <c r="F31" s="65" t="s">
        <v>1792</v>
      </c>
      <c r="G31" s="65" t="s">
        <v>1792</v>
      </c>
      <c r="H31" s="65" t="s">
        <v>1792</v>
      </c>
      <c r="I31" s="65" t="s">
        <v>1792</v>
      </c>
      <c r="J31" s="65" t="s">
        <v>1792</v>
      </c>
      <c r="K31" s="65" t="s">
        <v>1792</v>
      </c>
      <c r="L31" s="65" t="s">
        <v>1792</v>
      </c>
      <c r="M31" s="65" t="s">
        <v>1792</v>
      </c>
      <c r="N31" s="65" t="s">
        <v>1792</v>
      </c>
      <c r="O31" s="65" t="s">
        <v>1792</v>
      </c>
      <c r="P31" s="65" t="s">
        <v>1792</v>
      </c>
      <c r="Q31" s="65" t="s">
        <v>1792</v>
      </c>
      <c r="R31" s="40">
        <v>1</v>
      </c>
    </row>
    <row r="32" spans="1:18" x14ac:dyDescent="0.25">
      <c r="A32" s="6" t="str">
        <f>Ueberblick[[#This Row],[Kürzel]]</f>
        <v>Ste17</v>
      </c>
      <c r="B32" s="65" t="s">
        <v>1792</v>
      </c>
      <c r="C32" s="65" t="s">
        <v>1792</v>
      </c>
      <c r="D32" s="65" t="s">
        <v>1792</v>
      </c>
      <c r="E32" s="65">
        <v>1</v>
      </c>
      <c r="F32" s="65">
        <v>1</v>
      </c>
      <c r="G32" s="65">
        <v>1</v>
      </c>
      <c r="H32" s="65">
        <v>1</v>
      </c>
      <c r="I32" s="65">
        <v>1</v>
      </c>
      <c r="J32" s="65">
        <v>1</v>
      </c>
      <c r="K32" s="65">
        <v>1</v>
      </c>
      <c r="L32" s="65">
        <v>1</v>
      </c>
      <c r="M32" s="65" t="s">
        <v>1792</v>
      </c>
      <c r="N32" s="65" t="s">
        <v>1792</v>
      </c>
      <c r="O32" s="65" t="s">
        <v>1792</v>
      </c>
      <c r="P32" s="65" t="s">
        <v>1792</v>
      </c>
      <c r="Q32" s="65" t="s">
        <v>1792</v>
      </c>
      <c r="R32" s="40" t="s">
        <v>1792</v>
      </c>
    </row>
    <row r="33" spans="1:18" x14ac:dyDescent="0.25">
      <c r="A33" s="6" t="str">
        <f>Ueberblick[[#This Row],[Kürzel]]</f>
        <v>Sty15</v>
      </c>
      <c r="B33" s="65" t="s">
        <v>1792</v>
      </c>
      <c r="C33" s="65" t="s">
        <v>1792</v>
      </c>
      <c r="D33" s="65" t="s">
        <v>1792</v>
      </c>
      <c r="E33" s="65" t="s">
        <v>1792</v>
      </c>
      <c r="F33" s="65">
        <v>1</v>
      </c>
      <c r="G33" s="65">
        <v>1</v>
      </c>
      <c r="H33" s="65">
        <v>1</v>
      </c>
      <c r="I33" s="65">
        <v>1</v>
      </c>
      <c r="J33" s="65" t="s">
        <v>1792</v>
      </c>
      <c r="K33" s="65" t="s">
        <v>1792</v>
      </c>
      <c r="L33" s="65" t="s">
        <v>1792</v>
      </c>
      <c r="M33" s="65" t="s">
        <v>1792</v>
      </c>
      <c r="N33" s="65" t="s">
        <v>1792</v>
      </c>
      <c r="O33" s="65" t="s">
        <v>1792</v>
      </c>
      <c r="P33" s="65" t="s">
        <v>1792</v>
      </c>
      <c r="Q33" s="65" t="s">
        <v>1792</v>
      </c>
      <c r="R33" s="40" t="s">
        <v>1792</v>
      </c>
    </row>
    <row r="34" spans="1:18" x14ac:dyDescent="0.25">
      <c r="A34" s="6" t="str">
        <f>Ueberblick[[#This Row],[Kürzel]]</f>
        <v>Woh20</v>
      </c>
      <c r="B34" s="65" t="s">
        <v>1792</v>
      </c>
      <c r="C34" s="65" t="s">
        <v>1792</v>
      </c>
      <c r="D34" s="65" t="s">
        <v>1792</v>
      </c>
      <c r="E34" s="65" t="s">
        <v>1792</v>
      </c>
      <c r="F34" s="65" t="s">
        <v>1792</v>
      </c>
      <c r="G34" s="65" t="s">
        <v>1792</v>
      </c>
      <c r="H34" s="65" t="s">
        <v>1792</v>
      </c>
      <c r="I34" s="65" t="s">
        <v>1792</v>
      </c>
      <c r="J34" s="65" t="s">
        <v>1792</v>
      </c>
      <c r="K34" s="65" t="s">
        <v>1792</v>
      </c>
      <c r="L34" s="65" t="s">
        <v>1792</v>
      </c>
      <c r="M34" s="65" t="s">
        <v>1792</v>
      </c>
      <c r="N34" s="65" t="s">
        <v>1792</v>
      </c>
      <c r="O34" s="65">
        <v>1</v>
      </c>
      <c r="P34" s="65">
        <v>1</v>
      </c>
      <c r="Q34" s="65" t="s">
        <v>1792</v>
      </c>
      <c r="R34" s="40" t="s">
        <v>1792</v>
      </c>
    </row>
    <row r="35" spans="1:18" x14ac:dyDescent="0.25">
      <c r="A35" s="6" t="s">
        <v>853</v>
      </c>
      <c r="B35" s="65">
        <f>SUM(B3:B34)</f>
        <v>8</v>
      </c>
      <c r="C35" s="65">
        <f t="shared" ref="C35:R35" si="0">SUM(C3:C34)</f>
        <v>7</v>
      </c>
      <c r="D35" s="65">
        <f t="shared" si="0"/>
        <v>7</v>
      </c>
      <c r="E35" s="65">
        <f t="shared" si="0"/>
        <v>8</v>
      </c>
      <c r="F35" s="65">
        <f t="shared" si="0"/>
        <v>10</v>
      </c>
      <c r="G35" s="65">
        <f t="shared" si="0"/>
        <v>12</v>
      </c>
      <c r="H35" s="65">
        <f t="shared" si="0"/>
        <v>11</v>
      </c>
      <c r="I35" s="65">
        <f t="shared" si="0"/>
        <v>11</v>
      </c>
      <c r="J35" s="65">
        <f t="shared" si="0"/>
        <v>9</v>
      </c>
      <c r="K35" s="65">
        <f t="shared" si="0"/>
        <v>5</v>
      </c>
      <c r="L35" s="65">
        <f t="shared" si="0"/>
        <v>4</v>
      </c>
      <c r="M35" s="65">
        <f t="shared" si="0"/>
        <v>2</v>
      </c>
      <c r="N35" s="65">
        <f t="shared" si="0"/>
        <v>5</v>
      </c>
      <c r="O35" s="65">
        <f t="shared" si="0"/>
        <v>5</v>
      </c>
      <c r="P35" s="65">
        <f t="shared" si="0"/>
        <v>3</v>
      </c>
      <c r="Q35" s="65">
        <f t="shared" si="0"/>
        <v>2</v>
      </c>
      <c r="R35" s="65">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9" t="s">
        <v>86</v>
      </c>
      <c r="B1" s="59"/>
      <c r="C1" s="59"/>
      <c r="D1" s="59"/>
      <c r="E1" s="59"/>
      <c r="F1" s="59"/>
      <c r="G1" s="59" t="s">
        <v>2</v>
      </c>
      <c r="H1" s="59" t="s">
        <v>2</v>
      </c>
      <c r="I1" s="59" t="s">
        <v>2</v>
      </c>
      <c r="J1" s="59" t="s">
        <v>2</v>
      </c>
      <c r="K1" s="59" t="s">
        <v>2</v>
      </c>
      <c r="L1" s="59" t="s">
        <v>2</v>
      </c>
      <c r="M1" s="59" t="s">
        <v>2</v>
      </c>
      <c r="N1" s="59" t="s">
        <v>2</v>
      </c>
      <c r="O1" s="59" t="s">
        <v>2</v>
      </c>
      <c r="P1" s="59" t="s">
        <v>2</v>
      </c>
      <c r="Q1" s="59" t="s">
        <v>2</v>
      </c>
      <c r="R1" s="59" t="s">
        <v>2</v>
      </c>
    </row>
    <row r="2" spans="1:18" ht="134.25" customHeight="1" x14ac:dyDescent="0.25">
      <c r="A2" s="60" t="s">
        <v>1</v>
      </c>
      <c r="B2" s="62" t="s">
        <v>1182</v>
      </c>
      <c r="C2" s="62" t="s">
        <v>1183</v>
      </c>
      <c r="D2" s="62" t="s">
        <v>1184</v>
      </c>
      <c r="E2" s="62" t="s">
        <v>1185</v>
      </c>
      <c r="F2" s="62" t="s">
        <v>1186</v>
      </c>
      <c r="G2" s="62" t="s">
        <v>1171</v>
      </c>
      <c r="H2" s="62" t="s">
        <v>1172</v>
      </c>
      <c r="I2" s="62" t="s">
        <v>1173</v>
      </c>
      <c r="J2" s="62" t="s">
        <v>1174</v>
      </c>
      <c r="K2" s="62" t="s">
        <v>1175</v>
      </c>
      <c r="L2" s="64" t="s">
        <v>1176</v>
      </c>
      <c r="M2" s="64" t="s">
        <v>1177</v>
      </c>
      <c r="N2" s="64" t="s">
        <v>1178</v>
      </c>
      <c r="O2" s="64" t="s">
        <v>1179</v>
      </c>
      <c r="P2" s="64" t="s">
        <v>1180</v>
      </c>
      <c r="Q2" s="64" t="s">
        <v>1168</v>
      </c>
      <c r="R2" s="64" t="s">
        <v>1181</v>
      </c>
    </row>
    <row r="3" spans="1:18" x14ac:dyDescent="0.25">
      <c r="A3" s="6" t="str">
        <f>Tabelle2834[[#This Row],[Kurzbeleg]]</f>
        <v>Ape12</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Ary17</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Aus18</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Blu13</v>
      </c>
      <c r="B6" s="40"/>
      <c r="C6" s="40"/>
      <c r="D6" s="40"/>
      <c r="E6" s="40"/>
      <c r="F6" s="40"/>
      <c r="G6" s="40"/>
      <c r="H6" s="40"/>
      <c r="I6" s="40"/>
      <c r="J6" s="40"/>
      <c r="K6" s="40"/>
      <c r="L6" s="40"/>
      <c r="M6" s="40"/>
      <c r="N6" s="40"/>
      <c r="O6" s="40"/>
      <c r="P6" s="40"/>
      <c r="Q6" s="40"/>
      <c r="R6" s="40"/>
    </row>
    <row r="7" spans="1:18" x14ac:dyDescent="0.25">
      <c r="A7" s="6" t="str">
        <f>Tabelle2834[[#This Row],[Kurzbeleg]]</f>
        <v>Foc11</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Gil15</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Gob12</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Gro13</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Gru17</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Haa17</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Hei21</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Hen15</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Jet21</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Klo09</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Klo13</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Krz13</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Lad18</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Lan15</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Lie15</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Mae18</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Mol10</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Mue19</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Pau11</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Pel16</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r2b14</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Roo10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Sau19</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Sch14</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Sta06</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Ste17</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Sty15</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Woh20</v>
      </c>
      <c r="B34" s="65"/>
      <c r="C34" s="65"/>
      <c r="D34" s="65"/>
      <c r="E34" s="65"/>
      <c r="F34" s="65"/>
      <c r="G34" s="40"/>
      <c r="H34" s="40"/>
      <c r="I34" s="40"/>
      <c r="J34" s="40"/>
      <c r="K34" s="40"/>
      <c r="L34" s="40"/>
      <c r="M34" s="40"/>
      <c r="N34" s="40"/>
      <c r="O34" s="40"/>
      <c r="P34" s="40"/>
      <c r="Q34" s="40"/>
      <c r="R34" s="40"/>
    </row>
    <row r="35" spans="1:18" x14ac:dyDescent="0.25">
      <c r="A35" s="47" t="s">
        <v>853</v>
      </c>
      <c r="B35" s="135">
        <f>'05_Basisjahr_kodiert'!B35</f>
        <v>8</v>
      </c>
      <c r="C35" s="135">
        <f>'05_Basisjahr_kodiert'!C35</f>
        <v>7</v>
      </c>
      <c r="D35" s="135">
        <f>'05_Basisjahr_kodiert'!D35</f>
        <v>7</v>
      </c>
      <c r="E35" s="135">
        <f>'05_Basisjahr_kodiert'!E35</f>
        <v>8</v>
      </c>
      <c r="F35" s="135">
        <f>'05_Basisjahr_kodiert'!F35</f>
        <v>10</v>
      </c>
      <c r="G35" s="135">
        <f>'05_Basisjahr_kodiert'!G35</f>
        <v>12</v>
      </c>
      <c r="H35" s="135">
        <f>'05_Basisjahr_kodiert'!H35</f>
        <v>11</v>
      </c>
      <c r="I35" s="135">
        <f>'05_Basisjahr_kodiert'!I35</f>
        <v>11</v>
      </c>
      <c r="J35" s="135">
        <f>'05_Basisjahr_kodiert'!J35</f>
        <v>9</v>
      </c>
      <c r="K35" s="135">
        <f>'05_Basisjahr_kodiert'!K35</f>
        <v>5</v>
      </c>
      <c r="L35" s="135">
        <f>'05_Basisjahr_kodiert'!L35</f>
        <v>4</v>
      </c>
      <c r="M35" s="135">
        <f>'05_Basisjahr_kodiert'!M35</f>
        <v>2</v>
      </c>
      <c r="N35" s="135">
        <f>'05_Basisjahr_kodiert'!N35</f>
        <v>5</v>
      </c>
      <c r="O35" s="135">
        <f>'05_Basisjahr_kodiert'!O35</f>
        <v>5</v>
      </c>
      <c r="P35" s="135">
        <f>'05_Basisjahr_kodiert'!P35</f>
        <v>3</v>
      </c>
      <c r="Q35" s="135">
        <f>'05_Basisjahr_kodiert'!Q35</f>
        <v>2</v>
      </c>
      <c r="R35" s="135">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1650</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1725</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1664</v>
      </c>
      <c r="B4" s="118" t="s">
        <v>1665</v>
      </c>
      <c r="C4" s="31" t="s">
        <v>1673</v>
      </c>
      <c r="D4" s="8" t="s">
        <v>1657</v>
      </c>
      <c r="E4" s="34" t="s">
        <v>0</v>
      </c>
      <c r="F4" s="8" t="s">
        <v>530</v>
      </c>
    </row>
    <row r="5" spans="1:6" ht="38.25" x14ac:dyDescent="0.25">
      <c r="A5" s="33" t="s">
        <v>347</v>
      </c>
      <c r="B5" s="121" t="s">
        <v>348</v>
      </c>
      <c r="C5" s="8" t="s">
        <v>825</v>
      </c>
      <c r="D5" s="8" t="s">
        <v>130</v>
      </c>
      <c r="E5" s="34" t="s">
        <v>349</v>
      </c>
      <c r="F5" s="8" t="s">
        <v>530</v>
      </c>
    </row>
    <row r="6" spans="1:6" ht="25.5" x14ac:dyDescent="0.25">
      <c r="A6" s="33" t="s">
        <v>1777</v>
      </c>
      <c r="B6" s="121" t="s">
        <v>1778</v>
      </c>
      <c r="C6" s="8" t="s">
        <v>1779</v>
      </c>
      <c r="D6" s="8" t="s">
        <v>1780</v>
      </c>
      <c r="E6" s="34" t="s">
        <v>1781</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1675</v>
      </c>
      <c r="B16" s="8" t="s">
        <v>1677</v>
      </c>
      <c r="C16" s="31" t="s">
        <v>63</v>
      </c>
      <c r="D16" s="8" t="s">
        <v>1678</v>
      </c>
      <c r="E16" s="34" t="s">
        <v>1679</v>
      </c>
      <c r="F16" s="8" t="s">
        <v>530</v>
      </c>
    </row>
    <row r="17" spans="1:6" ht="51" x14ac:dyDescent="0.25">
      <c r="A17" s="33" t="s">
        <v>379</v>
      </c>
      <c r="B17" s="8" t="s">
        <v>380</v>
      </c>
      <c r="C17" s="8" t="s">
        <v>381</v>
      </c>
      <c r="D17" s="8" t="s">
        <v>243</v>
      </c>
      <c r="E17" s="34" t="s">
        <v>0</v>
      </c>
      <c r="F17" s="8" t="s">
        <v>530</v>
      </c>
    </row>
    <row r="18" spans="1:6" ht="38.25" x14ac:dyDescent="0.25">
      <c r="A18" s="33" t="s">
        <v>1704</v>
      </c>
      <c r="B18" s="8" t="s">
        <v>1706</v>
      </c>
      <c r="C18" s="31" t="s">
        <v>1707</v>
      </c>
      <c r="D18" s="8" t="s">
        <v>1708</v>
      </c>
      <c r="E18" s="34" t="s">
        <v>1709</v>
      </c>
      <c r="F18" s="8" t="s">
        <v>530</v>
      </c>
    </row>
    <row r="19" spans="1:6" ht="63.75" x14ac:dyDescent="0.25">
      <c r="A19" s="33" t="s">
        <v>95</v>
      </c>
      <c r="B19" s="8" t="s">
        <v>32</v>
      </c>
      <c r="C19" s="8" t="s">
        <v>70</v>
      </c>
      <c r="D19" s="8" t="s">
        <v>130</v>
      </c>
      <c r="E19" s="34" t="s">
        <v>828</v>
      </c>
      <c r="F19" s="8" t="s">
        <v>530</v>
      </c>
    </row>
    <row r="20" spans="1:6" ht="51" x14ac:dyDescent="0.25">
      <c r="A20" s="33" t="s">
        <v>1650</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1683</v>
      </c>
      <c r="B25" s="8" t="s">
        <v>1685</v>
      </c>
      <c r="C25" s="8" t="s">
        <v>62</v>
      </c>
      <c r="D25" s="8" t="s">
        <v>1724</v>
      </c>
      <c r="E25" s="34" t="s">
        <v>1723</v>
      </c>
      <c r="F25" s="8" t="s">
        <v>530</v>
      </c>
    </row>
    <row r="26" spans="1:6" ht="38.25" x14ac:dyDescent="0.25">
      <c r="A26" s="33" t="s">
        <v>132</v>
      </c>
      <c r="B26" s="8" t="s">
        <v>54</v>
      </c>
      <c r="C26" s="8" t="s">
        <v>133</v>
      </c>
      <c r="D26" s="8" t="s">
        <v>69</v>
      </c>
      <c r="E26" s="34" t="s">
        <v>0</v>
      </c>
      <c r="F26" s="8" t="s">
        <v>845</v>
      </c>
    </row>
    <row r="27" spans="1:6" ht="63.75" x14ac:dyDescent="0.25">
      <c r="A27" s="33" t="s">
        <v>1721</v>
      </c>
      <c r="B27" s="8" t="s">
        <v>1756</v>
      </c>
      <c r="C27" s="8" t="s">
        <v>1686</v>
      </c>
      <c r="D27" s="8" t="s">
        <v>130</v>
      </c>
      <c r="E27" s="34" t="s">
        <v>1679</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1692</v>
      </c>
      <c r="B32" s="8" t="s">
        <v>1656</v>
      </c>
      <c r="C32" s="8" t="s">
        <v>1673</v>
      </c>
      <c r="D32" s="8" t="s">
        <v>1657</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1691</v>
      </c>
      <c r="B38" s="16" t="s">
        <v>1695</v>
      </c>
      <c r="C38" s="8" t="s">
        <v>1694</v>
      </c>
      <c r="D38" s="8" t="s">
        <v>199</v>
      </c>
      <c r="E38" s="8" t="s">
        <v>1679</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5" workbookViewId="0">
      <selection activeCell="N28" sqref="N28"/>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1427</v>
      </c>
      <c r="E2" s="3" t="s">
        <v>1428</v>
      </c>
      <c r="F2" s="3" t="s">
        <v>135</v>
      </c>
      <c r="G2" s="3" t="s">
        <v>103</v>
      </c>
      <c r="H2" s="3" t="s">
        <v>100</v>
      </c>
      <c r="I2" s="3" t="s">
        <v>97</v>
      </c>
      <c r="J2" s="3" t="s">
        <v>98</v>
      </c>
      <c r="K2" s="3" t="s">
        <v>126</v>
      </c>
      <c r="L2" s="3" t="s">
        <v>1429</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f>Ueberblick[[#This Row],[Bezugsjahr(e) der Datenbasis]]</f>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tr">
        <f>Ueberblick[[#This Row],[Bezugsjahr(e) der Datenbasis]]</f>
        <v>2010-2016</v>
      </c>
      <c r="P4" s="8" t="s">
        <v>811</v>
      </c>
    </row>
    <row r="5" spans="1:16" s="11" customFormat="1" x14ac:dyDescent="0.25">
      <c r="A5" s="6" t="str">
        <f>Ueberblick[[#This Row],[Kürzel]]</f>
        <v>Aus18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0.5</v>
      </c>
      <c r="G5" s="8" t="str">
        <f>Ueberblick[[#This Row],[Quellen Methodik]]</f>
        <v>1-45</v>
      </c>
      <c r="H5" s="8">
        <f>Ueberblick[[#This Row],[Literaturanalyse]]</f>
        <v>1</v>
      </c>
      <c r="I5" s="8">
        <f>Ueberblick[[#This Row],[Auswertung von Statistiken]]</f>
        <v>1</v>
      </c>
      <c r="J5" s="8">
        <f>Ueberblick[[#This Row],[Expertenabschätzungen]]</f>
        <v>1</v>
      </c>
      <c r="K5" s="8">
        <f>Ueberblick[[#This Row],[(Online-)Umfragen]]</f>
        <v>0</v>
      </c>
      <c r="L5" s="8">
        <f>Ueberblick[[#This Row],[Unternehmensbefragungen / Interviews]]</f>
        <v>1</v>
      </c>
      <c r="M5" s="8">
        <f>Ueberblick[[#This Row],[eigene Annahmen]]</f>
        <v>1</v>
      </c>
      <c r="N5" s="8">
        <f>Ueberblick[[#This Row],[eigene Erhebungen]]</f>
        <v>1</v>
      </c>
      <c r="O5" s="8" t="str">
        <f>Ueberblick[[#This Row],[Bezugsjahr(e) der Datenbasis]]</f>
        <v>2017-2018</v>
      </c>
      <c r="P5" s="8" t="s">
        <v>371</v>
      </c>
    </row>
    <row r="6" spans="1:16" s="11" customFormat="1" ht="25.5" x14ac:dyDescent="0.25">
      <c r="A6" s="6" t="str">
        <f>Ueberblick[[#This Row],[Kürzel]]</f>
        <v>Blu13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v>
      </c>
      <c r="G6" s="8" t="str">
        <f>Ueberblick[[#This Row],[Quellen Methodik]]</f>
        <v>S. 1; 3-4</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v>
      </c>
      <c r="O6" s="8">
        <f>Ueberblick[[#This Row],[Bezugsjahr(e) der Datenbasis]]</f>
        <v>2011</v>
      </c>
      <c r="P6" s="8" t="s">
        <v>307</v>
      </c>
    </row>
    <row r="7" spans="1:16" s="11" customFormat="1" ht="25.5" x14ac:dyDescent="0.25">
      <c r="A7" s="6" t="str">
        <f>Ueberblick[[#This Row],[Kürzel]]</f>
        <v>Foc11</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0.5</v>
      </c>
      <c r="G7" s="8" t="str">
        <f>Ueberblick[[#This Row],[Quellen Methodik]]</f>
        <v>S. 2-58</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0.5</v>
      </c>
      <c r="O7" s="8" t="str">
        <f>Ueberblick[[#This Row],[Bezugsjahr(e) der Datenbasis]]</f>
        <v>2001-2010</v>
      </c>
      <c r="P7" s="8" t="s">
        <v>253</v>
      </c>
    </row>
    <row r="8" spans="1:16" s="11" customFormat="1" ht="102" x14ac:dyDescent="0.25">
      <c r="A8" s="6" t="str">
        <f>Ueberblick[[#This Row],[Kürzel]]</f>
        <v>Gil15</v>
      </c>
      <c r="B8" s="8">
        <f>Ueberblick[[#This Row],[Bottom-Up-Abschätzung]]</f>
        <v>1</v>
      </c>
      <c r="C8" s="8">
        <f>Ueberblick[[#This Row],[Top-Down-Abschätzung]]</f>
        <v>1</v>
      </c>
      <c r="D8" s="8">
        <f>Ueberblick[[#This Row],[Bestimmung Kosten-Potenzial-Kurven]]</f>
        <v>0</v>
      </c>
      <c r="E8" s="8">
        <f>Ueberblick[[#This Row],[Analyse mehrerer Szenarien / Entwicklungen]]</f>
        <v>0</v>
      </c>
      <c r="F8" s="8">
        <f>Ueberblick[[#This Row],[Untersuchung von Fehlermaßen]]</f>
        <v>0</v>
      </c>
      <c r="G8" s="8" t="str">
        <f>Ueberblick[[#This Row],[Quellen Methodik]]</f>
        <v>11-23; 65-70; 86-104; 135-414</v>
      </c>
      <c r="H8" s="8">
        <f>Ueberblick[[#This Row],[Literaturanalyse]]</f>
        <v>1</v>
      </c>
      <c r="I8" s="8">
        <f>Ueberblick[[#This Row],[Auswertung von Statistiken]]</f>
        <v>1</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tr">
        <f>Ueberblick[[#This Row],[Bezugsjahr(e) der Datenbasis]]</f>
        <v>überwiegend 2005-2010 (Primärliteratur teilweise älter; bis 1997)</v>
      </c>
      <c r="P8" s="16" t="s">
        <v>361</v>
      </c>
    </row>
    <row r="9" spans="1:16" ht="51" x14ac:dyDescent="0.25">
      <c r="A9" s="6" t="str">
        <f>Ueberblick[[#This Row],[Kürzel]]</f>
        <v>Gob12</v>
      </c>
      <c r="B9" s="8">
        <f>Ueberblick[[#This Row],[Bottom-Up-Abschätzung]]</f>
        <v>1</v>
      </c>
      <c r="C9" s="8">
        <f>Ueberblick[[#This Row],[Top-Down-Abschätzung]]</f>
        <v>1</v>
      </c>
      <c r="D9" s="8">
        <f>Ueberblick[[#This Row],[Bestimmung Kosten-Potenzial-Kurven]]</f>
        <v>0</v>
      </c>
      <c r="E9" s="8">
        <f>Ueberblick[[#This Row],[Analyse mehrerer Szenarien / Entwicklungen]]</f>
        <v>1</v>
      </c>
      <c r="F9" s="8">
        <f>Ueberblick[[#This Row],[Untersuchung von Fehlermaßen]]</f>
        <v>0</v>
      </c>
      <c r="G9" s="8" t="str">
        <f>Ueberblick[[#This Row],[Quellen Methodik]]</f>
        <v>S. 2-19; 80-93</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8" t="str">
        <f>Ueberblick[[#This Row],[Bezugsjahr(e) der Datenbasis]]</f>
        <v>nicht transparent dargelegt</v>
      </c>
      <c r="P9" s="16" t="s">
        <v>353</v>
      </c>
    </row>
    <row r="10" spans="1:16" ht="38.25" x14ac:dyDescent="0.25">
      <c r="A10" s="6" t="str">
        <f>Ueberblick[[#This Row],[Kürzel]]</f>
        <v>Gro13</v>
      </c>
      <c r="B10" s="8">
        <f>Ueberblick[[#This Row],[Bottom-Up-Abschätzung]]</f>
        <v>1</v>
      </c>
      <c r="C10" s="8">
        <f>Ueberblick[[#This Row],[Top-Down-Abschätzung]]</f>
        <v>1</v>
      </c>
      <c r="D10" s="8">
        <f>Ueberblick[[#This Row],[Bestimmung Kosten-Potenzial-Kurven]]</f>
        <v>0</v>
      </c>
      <c r="E10" s="8">
        <f>Ueberblick[[#This Row],[Analyse mehrerer Szenarien / Entwicklungen]]</f>
        <v>0</v>
      </c>
      <c r="F10" s="8">
        <f>Ueberblick[[#This Row],[Untersuchung von Fehlermaßen]]</f>
        <v>0</v>
      </c>
      <c r="G10" s="8" t="str">
        <f>Ueberblick[[#This Row],[Quellen Methodik]]</f>
        <v>S. 32; 35</v>
      </c>
      <c r="H10" s="8">
        <f>Ueberblick[[#This Row],[Literaturanalyse]]</f>
        <v>1</v>
      </c>
      <c r="I10" s="8">
        <f>Ueberblick[[#This Row],[Auswertung von Statistiken]]</f>
        <v>0</v>
      </c>
      <c r="J10" s="8">
        <f>Ueberblick[[#This Row],[Expertenabschätzungen]]</f>
        <v>0</v>
      </c>
      <c r="K10" s="8">
        <f>Ueberblick[[#This Row],[(Online-)Umfragen]]</f>
        <v>0</v>
      </c>
      <c r="L10" s="8">
        <f>Ueberblick[[#This Row],[Unternehmensbefragungen / Interviews]]</f>
        <v>0</v>
      </c>
      <c r="M10" s="8">
        <f>Ueberblick[[#This Row],[eigene Annahmen]]</f>
        <v>1</v>
      </c>
      <c r="N10" s="8">
        <f>Ueberblick[[#This Row],[eigene Erhebungen]]</f>
        <v>0</v>
      </c>
      <c r="O10" s="8" t="str">
        <f>Ueberblick[[#This Row],[Bezugsjahr(e) der Datenbasis]]</f>
        <v>s. referenzierte Untersuchungen</v>
      </c>
      <c r="P10" s="8" t="s">
        <v>284</v>
      </c>
    </row>
    <row r="11" spans="1:16" s="11" customFormat="1" ht="25.5" x14ac:dyDescent="0.25">
      <c r="A11" s="6" t="str">
        <f>Ueberblick[[#This Row],[Kürzel]]</f>
        <v>Gru17</v>
      </c>
      <c r="B11" s="8">
        <f>Ueberblick[[#This Row],[Bottom-Up-Abschätzung]]</f>
        <v>1</v>
      </c>
      <c r="C11" s="8">
        <f>Ueberblick[[#This Row],[Top-Down-Abschätzung]]</f>
        <v>1</v>
      </c>
      <c r="D11" s="8">
        <f>Ueberblick[[#This Row],[Bestimmung Kosten-Potenzial-Kurven]]</f>
        <v>1</v>
      </c>
      <c r="E11" s="8">
        <f>Ueberblick[[#This Row],[Analyse mehrerer Szenarien / Entwicklungen]]</f>
        <v>0</v>
      </c>
      <c r="F11" s="8">
        <f>Ueberblick[[#This Row],[Untersuchung von Fehlermaßen]]</f>
        <v>0</v>
      </c>
      <c r="G11" s="8" t="str">
        <f>Ueberblick[[#This Row],[Quellen Methodik]]</f>
        <v>13-52</v>
      </c>
      <c r="H11" s="8">
        <f>Ueberblick[[#This Row],[Literaturanalyse]]</f>
        <v>1</v>
      </c>
      <c r="I11" s="8">
        <f>Ueberblick[[#This Row],[Auswertung von Statistiken]]</f>
        <v>1</v>
      </c>
      <c r="J11" s="8">
        <f>Ueberblick[[#This Row],[Expertenabschätzungen]]</f>
        <v>1</v>
      </c>
      <c r="K11" s="8">
        <f>Ueberblick[[#This Row],[(Online-)Umfragen]]</f>
        <v>0</v>
      </c>
      <c r="L11" s="8">
        <f>Ueberblick[[#This Row],[Unternehmensbefragungen / Interviews]]</f>
        <v>1</v>
      </c>
      <c r="M11" s="8">
        <f>Ueberblick[[#This Row],[eigene Annahmen]]</f>
        <v>1</v>
      </c>
      <c r="N11" s="8">
        <f>Ueberblick[[#This Row],[eigene Erhebungen]]</f>
        <v>1</v>
      </c>
      <c r="O11" s="8" t="str">
        <f>Ueberblick[[#This Row],[Bezugsjahr(e) der Datenbasis]]</f>
        <v>2011/12</v>
      </c>
      <c r="P11" s="8" t="s">
        <v>397</v>
      </c>
    </row>
    <row r="12" spans="1:16" s="11" customFormat="1" ht="89.25" x14ac:dyDescent="0.25">
      <c r="A12" s="6" t="str">
        <f>Ueberblick[[#This Row],[Kürzel]]</f>
        <v>Haa17</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5-7; 37-54; 58-84; 85-95</v>
      </c>
      <c r="H12" s="8">
        <f>Ueberblick[[#This Row],[Literaturanalyse]]</f>
        <v>1</v>
      </c>
      <c r="I12" s="8">
        <f>Ueberblick[[#This Row],[Auswertung von Statistiken]]</f>
        <v>1</v>
      </c>
      <c r="J12" s="8">
        <f>Ueberblick[[#This Row],[Expertenabschätzungen]]</f>
        <v>0</v>
      </c>
      <c r="K12" s="8">
        <f>Ueberblick[[#This Row],[(Online-)Umfragen]]</f>
        <v>0</v>
      </c>
      <c r="L12" s="8">
        <f>Ueberblick[[#This Row],[Unternehmensbefragungen / Interviews]]</f>
        <v>0.5</v>
      </c>
      <c r="M12" s="8">
        <f>Ueberblick[[#This Row],[eigene Annahmen]]</f>
        <v>1</v>
      </c>
      <c r="N12" s="8">
        <f>Ueberblick[[#This Row],[eigene Erhebungen]]</f>
        <v>0</v>
      </c>
      <c r="O12" s="8" t="str">
        <f>Ueberblick[[#This Row],[Bezugsjahr(e) der Datenbasis]]</f>
        <v>2011-2015 (überwiegend)</v>
      </c>
      <c r="P12" s="21" t="s">
        <v>390</v>
      </c>
    </row>
    <row r="13" spans="1:16" ht="51" x14ac:dyDescent="0.25">
      <c r="A13" s="6" t="str">
        <f>Ueberblick[[#This Row],[Kürzel]]</f>
        <v>Hei21</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1</v>
      </c>
      <c r="G13" s="8" t="str">
        <f>Ueberblick[[#This Row],[Quellen Methodik]]</f>
        <v>100003-100008</v>
      </c>
      <c r="H13" s="8">
        <f>Ueberblick[[#This Row],[Literaturanalyse]]</f>
        <v>1</v>
      </c>
      <c r="I13" s="8">
        <f>Ueberblick[[#This Row],[Auswertung von Statistiken]]</f>
        <v>1</v>
      </c>
      <c r="J13" s="8">
        <f>Ueberblick[[#This Row],[Expertenabschätzungen]]</f>
        <v>0</v>
      </c>
      <c r="K13" s="8">
        <f>Ueberblick[[#This Row],[(Online-)Umfragen]]</f>
        <v>0</v>
      </c>
      <c r="L13" s="8">
        <f>Ueberblick[[#This Row],[Unternehmensbefragungen / Interviews]]</f>
        <v>0</v>
      </c>
      <c r="M13" s="8">
        <f>Ueberblick[[#This Row],[eigene Annahmen]]</f>
        <v>1</v>
      </c>
      <c r="N13" s="8">
        <f>Ueberblick[[#This Row],[eigene Erhebungen]]</f>
        <v>0</v>
      </c>
      <c r="O13" s="8" t="str">
        <f>Ueberblick[[#This Row],[Bezugsjahr(e) der Datenbasis]]</f>
        <v>2017-2020</v>
      </c>
      <c r="P13" s="8" t="s">
        <v>121</v>
      </c>
    </row>
    <row r="14" spans="1:16" s="11" customFormat="1" ht="25.5" x14ac:dyDescent="0.25">
      <c r="A14" s="6" t="str">
        <f>Ueberblick[[#This Row],[Kürzel]]</f>
        <v>Hen15</v>
      </c>
      <c r="B14" s="8">
        <f>Ueberblick[[#This Row],[Bottom-Up-Abschätzung]]</f>
        <v>1</v>
      </c>
      <c r="C14" s="8">
        <f>Ueberblick[[#This Row],[Top-Down-Abschätzung]]</f>
        <v>1</v>
      </c>
      <c r="D14" s="8">
        <f>Ueberblick[[#This Row],[Bestimmung Kosten-Potenzial-Kurven]]</f>
        <v>0</v>
      </c>
      <c r="E14" s="8">
        <f>Ueberblick[[#This Row],[Analyse mehrerer Szenarien / Entwicklungen]]</f>
        <v>1</v>
      </c>
      <c r="F14" s="8">
        <f>Ueberblick[[#This Row],[Untersuchung von Fehlermaßen]]</f>
        <v>0</v>
      </c>
      <c r="G14" s="8" t="str">
        <f>Ueberblick[[#This Row],[Quellen Methodik]]</f>
        <v>S. 6-8</v>
      </c>
      <c r="H14" s="8">
        <f>Ueberblick[[#This Row],[Literaturanalyse]]</f>
        <v>1</v>
      </c>
      <c r="I14" s="8">
        <f>Ueberblick[[#This Row],[Auswertung von Statistiken]]</f>
        <v>0</v>
      </c>
      <c r="J14" s="8">
        <f>Ueberblick[[#This Row],[Expertenabschätzungen]]</f>
        <v>1</v>
      </c>
      <c r="K14" s="8">
        <f>Ueberblick[[#This Row],[(Online-)Umfragen]]</f>
        <v>0</v>
      </c>
      <c r="L14" s="8">
        <f>Ueberblick[[#This Row],[Unternehmensbefragungen / Interviews]]</f>
        <v>0</v>
      </c>
      <c r="M14" s="8">
        <f>Ueberblick[[#This Row],[eigene Annahmen]]</f>
        <v>1</v>
      </c>
      <c r="N14" s="8">
        <f>Ueberblick[[#This Row],[eigene Erhebungen]]</f>
        <v>0</v>
      </c>
      <c r="O14" s="8" t="str">
        <f>Ueberblick[[#This Row],[Bezugsjahr(e) der Datenbasis]]</f>
        <v>2011-2015</v>
      </c>
      <c r="P14" s="8">
        <v>22</v>
      </c>
    </row>
    <row r="15" spans="1:16" ht="25.5" x14ac:dyDescent="0.25">
      <c r="A15" s="6" t="str">
        <f>Ueberblick[[#This Row],[Kürzel]]</f>
        <v>Jet21</v>
      </c>
      <c r="B15" s="8">
        <f>Ueberblick[[#This Row],[Bottom-Up-Abschätzung]]</f>
        <v>1</v>
      </c>
      <c r="C15" s="8">
        <f>Ueberblick[[#This Row],[Top-Down-Abschätzung]]</f>
        <v>1</v>
      </c>
      <c r="D15" s="8">
        <f>Ueberblick[[#This Row],[Bestimmung Kosten-Potenzial-Kurven]]</f>
        <v>1</v>
      </c>
      <c r="E15" s="8">
        <f>Ueberblick[[#This Row],[Analyse mehrerer Szenarien / Entwicklungen]]</f>
        <v>1</v>
      </c>
      <c r="F15" s="8">
        <f>Ueberblick[[#This Row],[Untersuchung von Fehlermaßen]]</f>
        <v>0</v>
      </c>
      <c r="G15" s="8" t="str">
        <f>Ueberblick[[#This Row],[Quellen Methodik]]</f>
        <v>12-16</v>
      </c>
      <c r="H15" s="8">
        <f>Ueberblick[[#This Row],[Literaturanalyse]]</f>
        <v>1</v>
      </c>
      <c r="I15" s="8">
        <f>Ueberblick[[#This Row],[Auswertung von Statistiken]]</f>
        <v>1</v>
      </c>
      <c r="J15" s="8">
        <f>Ueberblick[[#This Row],[Expertenabschätzungen]]</f>
        <v>0</v>
      </c>
      <c r="K15" s="8">
        <f>Ueberblick[[#This Row],[(Online-)Umfragen]]</f>
        <v>0</v>
      </c>
      <c r="L15" s="8">
        <f>Ueberblick[[#This Row],[Unternehmensbefragungen / Interviews]]</f>
        <v>1</v>
      </c>
      <c r="M15" s="8">
        <f>Ueberblick[[#This Row],[eigene Annahmen]]</f>
        <v>0.5</v>
      </c>
      <c r="N15" s="8">
        <f>Ueberblick[[#This Row],[eigene Erhebungen]]</f>
        <v>1</v>
      </c>
      <c r="O15" s="8" t="str">
        <f>Ueberblick[[#This Row],[Bezugsjahr(e) der Datenbasis]]</f>
        <v>2016-2021</v>
      </c>
      <c r="P15" s="8" t="s">
        <v>321</v>
      </c>
    </row>
    <row r="16" spans="1:16" s="11" customFormat="1" ht="38.25" x14ac:dyDescent="0.25">
      <c r="A16" s="6" t="str">
        <f>Ueberblick[[#This Row],[Kürzel]]</f>
        <v>Klo09</v>
      </c>
      <c r="B16" s="8">
        <f>Ueberblick[[#This Row],[Bottom-Up-Abschätzung]]</f>
        <v>1</v>
      </c>
      <c r="C16" s="8">
        <f>Ueberblick[[#This Row],[Top-Down-Abschätzung]]</f>
        <v>1</v>
      </c>
      <c r="D16" s="8">
        <f>Ueberblick[[#This Row],[Bestimmung Kosten-Potenzial-Kurven]]</f>
        <v>1</v>
      </c>
      <c r="E16" s="8">
        <f>Ueberblick[[#This Row],[Analyse mehrerer Szenarien / Entwicklungen]]</f>
        <v>0</v>
      </c>
      <c r="F16" s="8">
        <f>Ueberblick[[#This Row],[Untersuchung von Fehlermaßen]]</f>
        <v>0.5</v>
      </c>
      <c r="G16" s="8" t="str">
        <f>Ueberblick[[#This Row],[Quellen Methodik]]</f>
        <v>S. 23-34</v>
      </c>
      <c r="H16" s="8">
        <f>Ueberblick[[#This Row],[Literaturanalyse]]</f>
        <v>0.5</v>
      </c>
      <c r="I16" s="8">
        <f>Ueberblick[[#This Row],[Auswertung von Statistiken]]</f>
        <v>1</v>
      </c>
      <c r="J16" s="8">
        <f>Ueberblick[[#This Row],[Expertenabschätzungen]]</f>
        <v>1</v>
      </c>
      <c r="K16" s="8">
        <f>Ueberblick[[#This Row],[(Online-)Umfragen]]</f>
        <v>0</v>
      </c>
      <c r="L16" s="8">
        <f>Ueberblick[[#This Row],[Unternehmensbefragungen / Interviews]]</f>
        <v>1</v>
      </c>
      <c r="M16" s="8">
        <f>Ueberblick[[#This Row],[eigene Annahmen]]</f>
        <v>1</v>
      </c>
      <c r="N16" s="8">
        <f>Ueberblick[[#This Row],[eigene Erhebungen]]</f>
        <v>0</v>
      </c>
      <c r="O16" s="8" t="str">
        <f>Ueberblick[[#This Row],[Bezugsjahr(e) der Datenbasis]]</f>
        <v>1999-2005</v>
      </c>
      <c r="P16" s="8" t="s">
        <v>445</v>
      </c>
    </row>
    <row r="17" spans="1:16" ht="76.5" x14ac:dyDescent="0.25">
      <c r="A17" s="6" t="str">
        <f>Ueberblick[[#This Row],[Kürzel]]</f>
        <v>Klo13</v>
      </c>
      <c r="B17" s="8">
        <f>Ueberblick[[#This Row],[Bottom-Up-Abschätzung]]</f>
        <v>1</v>
      </c>
      <c r="C17" s="8">
        <f>Ueberblick[[#This Row],[Top-Down-Abschätzung]]</f>
        <v>1</v>
      </c>
      <c r="D17" s="8">
        <f>Ueberblick[[#This Row],[Bestimmung Kosten-Potenzial-Kurven]]</f>
        <v>0</v>
      </c>
      <c r="E17" s="8">
        <f>Ueberblick[[#This Row],[Analyse mehrerer Szenarien / Entwicklungen]]</f>
        <v>0</v>
      </c>
      <c r="F17" s="8">
        <f>Ueberblick[[#This Row],[Untersuchung von Fehlermaßen]]</f>
        <v>0</v>
      </c>
      <c r="G17" s="8" t="str">
        <f>Ueberblick[[#This Row],[Quellen Methodik]]</f>
        <v>22-23, 31, 44, 54-60</v>
      </c>
      <c r="H17" s="8">
        <v>1</v>
      </c>
      <c r="I17" s="8">
        <f>Ueberblick[[#This Row],[Auswertung von Statistiken]]</f>
        <v>1</v>
      </c>
      <c r="J17" s="8">
        <f>Ueberblick[[#This Row],[Expertenabschätzungen]]</f>
        <v>0</v>
      </c>
      <c r="K17" s="8">
        <f>Ueberblick[[#This Row],[(Online-)Umfragen]]</f>
        <v>1</v>
      </c>
      <c r="L17" s="8">
        <f>Ueberblick[[#This Row],[Unternehmensbefragungen / Interviews]]</f>
        <v>1</v>
      </c>
      <c r="M17" s="8">
        <f>Ueberblick[[#This Row],[eigene Annahmen]]</f>
        <v>1</v>
      </c>
      <c r="N17" s="8">
        <f>Ueberblick[[#This Row],[eigene Erhebungen]]</f>
        <v>0</v>
      </c>
      <c r="O17" s="8">
        <f>Ueberblick[[#This Row],[Bezugsjahr(e) der Datenbasis]]</f>
        <v>2013</v>
      </c>
      <c r="P17" s="8">
        <v>87</v>
      </c>
    </row>
    <row r="18" spans="1:16" s="11" customFormat="1" ht="63.75" x14ac:dyDescent="0.25">
      <c r="A18" s="6" t="str">
        <f>Ueberblick[[#This Row],[Kürzel]]</f>
        <v>Krz13</v>
      </c>
      <c r="B18" s="8">
        <f>Ueberblick[[#This Row],[Bottom-Up-Abschätzung]]</f>
        <v>0</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11-14; 27-28</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1</v>
      </c>
      <c r="N18" s="8">
        <f>Ueberblick[[#This Row],[eigene Erhebungen]]</f>
        <v>0</v>
      </c>
      <c r="O18" s="8" t="str">
        <f>Ueberblick[[#This Row],[Bezugsjahr(e) der Datenbasis]]</f>
        <v>1996-2013</v>
      </c>
      <c r="P18" s="8" t="s">
        <v>332</v>
      </c>
    </row>
    <row r="19" spans="1:16" ht="191.25" x14ac:dyDescent="0.25">
      <c r="A19" s="6" t="str">
        <f>Ueberblick[[#This Row],[Kürzel]]</f>
        <v>Lad18</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4-7; 16; 41-43; 44-45; 47-61; 75-80; 81-123; 126-127</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0</v>
      </c>
      <c r="M19" s="8">
        <f>Ueberblick[[#This Row],[eigene Annahmen]]</f>
        <v>1</v>
      </c>
      <c r="N19" s="8">
        <f>Ueberblick[[#This Row],[eigene Erhebungen]]</f>
        <v>0</v>
      </c>
      <c r="O19" s="8" t="str">
        <f>Ueberblick[[#This Row],[Bezugsjahr(e) der Datenbasis]]</f>
        <v>2013; Primärquellen: 2007-2014/2015</v>
      </c>
      <c r="P19" s="8" t="s">
        <v>163</v>
      </c>
    </row>
    <row r="20" spans="1:16" s="11" customFormat="1" ht="51" x14ac:dyDescent="0.25">
      <c r="A20" s="6" t="str">
        <f>Ueberblick[[#This Row],[Kürzel]]</f>
        <v>Lan15</v>
      </c>
      <c r="B20" s="8">
        <f>Ueberblick[[#This Row],[Bottom-Up-Abschätzung]]</f>
        <v>1</v>
      </c>
      <c r="C20" s="8">
        <f>Ueberblick[[#This Row],[Top-Down-Abschätzung]]</f>
        <v>1</v>
      </c>
      <c r="D20" s="8">
        <f>Ueberblick[[#This Row],[Bestimmung Kosten-Potenzial-Kurven]]</f>
        <v>0</v>
      </c>
      <c r="E20" s="8">
        <f>Ueberblick[[#This Row],[Analyse mehrerer Szenarien / Entwicklungen]]</f>
        <v>0.5</v>
      </c>
      <c r="F20" s="8">
        <f>Ueberblick[[#This Row],[Untersuchung von Fehlermaßen]]</f>
        <v>0</v>
      </c>
      <c r="G20" s="8" t="str">
        <f>Ueberblick[[#This Row],[Quellen Methodik]]</f>
        <v>97-99; 216-225</v>
      </c>
      <c r="H20" s="8">
        <f>Ueberblick[[#This Row],[Literaturanalyse]]</f>
        <v>0</v>
      </c>
      <c r="I20" s="8">
        <f>Ueberblick[[#This Row],[Auswertung von Statistiken]]</f>
        <v>0.5</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tr">
        <f>Ueberblick[[#This Row],[Bezugsjahr(e) der Datenbasis]]</f>
        <v>2012-2013</v>
      </c>
      <c r="P20" s="8">
        <v>434</v>
      </c>
    </row>
    <row r="21" spans="1:16" ht="114.75" x14ac:dyDescent="0.25">
      <c r="A21" s="6" t="str">
        <f>Ueberblick[[#This Row],[Kürzel]]</f>
        <v>Lie15</v>
      </c>
      <c r="B21" s="8">
        <f>Ueberblick[[#This Row],[Bottom-Up-Abschätzung]]</f>
        <v>1</v>
      </c>
      <c r="C21" s="8">
        <f>Ueberblick[[#This Row],[Top-Down-Abschätzung]]</f>
        <v>1</v>
      </c>
      <c r="D21" s="8">
        <f>Ueberblick[[#This Row],[Bestimmung Kosten-Potenzial-Kurven]]</f>
        <v>0</v>
      </c>
      <c r="E21" s="8">
        <f>Ueberblick[[#This Row],[Analyse mehrerer Szenarien / Entwicklungen]]</f>
        <v>0</v>
      </c>
      <c r="F21" s="8">
        <f>Ueberblick[[#This Row],[Untersuchung von Fehlermaßen]]</f>
        <v>0</v>
      </c>
      <c r="G21" s="8" t="str">
        <f>Ueberblick[[#This Row],[Quellen Methodik]]</f>
        <v>S. 15-16; 39-40; 46-48; 59-60</v>
      </c>
      <c r="H21" s="8">
        <f>Ueberblick[[#This Row],[Literaturanalyse]]</f>
        <v>1</v>
      </c>
      <c r="I21" s="8">
        <f>Ueberblick[[#This Row],[Auswertung von Statistiken]]</f>
        <v>0</v>
      </c>
      <c r="J21" s="8">
        <f>Ueberblick[[#This Row],[Expertenabschätzungen]]</f>
        <v>0</v>
      </c>
      <c r="K21" s="8">
        <f>Ueberblick[[#This Row],[(Online-)Umfragen]]</f>
        <v>0</v>
      </c>
      <c r="L21" s="8">
        <f>Ueberblick[[#This Row],[Unternehmensbefragungen / Interviews]]</f>
        <v>0</v>
      </c>
      <c r="M21" s="8">
        <f>Ueberblick[[#This Row],[eigene Annahmen]]</f>
        <v>0</v>
      </c>
      <c r="N21" s="8">
        <f>Ueberblick[[#This Row],[eigene Erhebungen]]</f>
        <v>0</v>
      </c>
      <c r="O21" s="8" t="str">
        <f>Ueberblick[[#This Row],[Bezugsjahr(e) der Datenbasis]]</f>
        <v>1996-2013</v>
      </c>
      <c r="P21" s="8">
        <v>186</v>
      </c>
    </row>
    <row r="22" spans="1:16" s="11" customFormat="1" ht="25.5" x14ac:dyDescent="0.25">
      <c r="A22" s="6" t="str">
        <f>Ueberblick[[#This Row],[Kürzel]]</f>
        <v>Mae18</v>
      </c>
      <c r="B22" s="8">
        <f>Ueberblick[[#This Row],[Bottom-Up-Abschätzung]]</f>
        <v>1</v>
      </c>
      <c r="C22" s="8">
        <f>Ueberblick[[#This Row],[Top-Down-Abschätzung]]</f>
        <v>0</v>
      </c>
      <c r="D22" s="8">
        <f>Ueberblick[[#This Row],[Bestimmung Kosten-Potenzial-Kurven]]</f>
        <v>0</v>
      </c>
      <c r="E22" s="8">
        <f>Ueberblick[[#This Row],[Analyse mehrerer Szenarien / Entwicklungen]]</f>
        <v>0</v>
      </c>
      <c r="F22" s="8">
        <f>Ueberblick[[#This Row],[Untersuchung von Fehlermaßen]]</f>
        <v>0</v>
      </c>
      <c r="G22" s="8" t="str">
        <f>Ueberblick[[#This Row],[Quellen Methodik]]</f>
        <v>1291-1292</v>
      </c>
      <c r="H22" s="8">
        <f>Ueberblick[[#This Row],[Literaturanalyse]]</f>
        <v>1</v>
      </c>
      <c r="I22" s="8">
        <f>Ueberblick[[#This Row],[Auswertung von Statistiken]]</f>
        <v>0</v>
      </c>
      <c r="J22" s="8">
        <f>Ueberblick[[#This Row],[Expertenabschätzungen]]</f>
        <v>0</v>
      </c>
      <c r="K22" s="8">
        <f>Ueberblick[[#This Row],[(Online-)Umfragen]]</f>
        <v>0</v>
      </c>
      <c r="L22" s="8">
        <f>Ueberblick[[#This Row],[Unternehmensbefragungen / Interviews]]</f>
        <v>0</v>
      </c>
      <c r="M22" s="8">
        <f>Ueberblick[[#This Row],[eigene Annahmen]]</f>
        <v>0</v>
      </c>
      <c r="N22" s="8">
        <f>Ueberblick[[#This Row],[eigene Erhebungen]]</f>
        <v>0</v>
      </c>
      <c r="O22" s="8">
        <f>Ueberblick[[#This Row],[Bezugsjahr(e) der Datenbasis]]</f>
        <v>2014</v>
      </c>
      <c r="P22" s="8">
        <v>77</v>
      </c>
    </row>
    <row r="23" spans="1:16" ht="38.25" x14ac:dyDescent="0.25">
      <c r="A23" s="6" t="str">
        <f>Ueberblick[[#This Row],[Kürzel]]</f>
        <v>Mol10</v>
      </c>
      <c r="B23" s="8">
        <f>Ueberblick[[#This Row],[Bottom-Up-Abschätzung]]</f>
        <v>1</v>
      </c>
      <c r="C23" s="8">
        <f>Ueberblick[[#This Row],[Top-Down-Abschätzung]]</f>
        <v>1</v>
      </c>
      <c r="D23" s="8">
        <f>Ueberblick[[#This Row],[Bestimmung Kosten-Potenzial-Kurven]]</f>
        <v>0</v>
      </c>
      <c r="E23" s="8">
        <f>Ueberblick[[#This Row],[Analyse mehrerer Szenarien / Entwicklungen]]</f>
        <v>1</v>
      </c>
      <c r="F23" s="8">
        <f>Ueberblick[[#This Row],[Untersuchung von Fehlermaßen]]</f>
        <v>0</v>
      </c>
      <c r="G23" s="8" t="str">
        <f>Ueberblick[[#This Row],[Quellen Methodik]]</f>
        <v>S. 410-425</v>
      </c>
      <c r="H23" s="8">
        <f>Ueberblick[[#This Row],[Literaturanalyse]]</f>
        <v>1</v>
      </c>
      <c r="I23" s="8">
        <f>Ueberblick[[#This Row],[Auswertung von Statistiken]]</f>
        <v>1</v>
      </c>
      <c r="J23" s="8">
        <f>Ueberblick[[#This Row],[Expertenabschätzungen]]</f>
        <v>0</v>
      </c>
      <c r="K23" s="8">
        <f>Ueberblick[[#This Row],[(Online-)Umfragen]]</f>
        <v>0</v>
      </c>
      <c r="L23" s="8">
        <f>Ueberblick[[#This Row],[Unternehmensbefragungen / Interviews]]</f>
        <v>1</v>
      </c>
      <c r="M23" s="8">
        <f>Ueberblick[[#This Row],[eigene Annahmen]]</f>
        <v>0</v>
      </c>
      <c r="N23" s="8">
        <f>Ueberblick[[#This Row],[eigene Erhebungen]]</f>
        <v>0</v>
      </c>
      <c r="O23" s="8" t="str">
        <f>Ueberblick[[#This Row],[Bezugsjahr(e) der Datenbasis]]</f>
        <v>1996-2009; Stand 2008 / 2010</v>
      </c>
      <c r="P23" s="8">
        <v>14</v>
      </c>
    </row>
    <row r="24" spans="1:16" s="11" customFormat="1" x14ac:dyDescent="0.25">
      <c r="A24" s="6" t="str">
        <f>Ueberblick[[#This Row],[Kürzel]]</f>
        <v>Mue19</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2-9</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0</v>
      </c>
      <c r="N24" s="8">
        <f>Ueberblick[[#This Row],[eigene Erhebungen]]</f>
        <v>0</v>
      </c>
      <c r="O24" s="8">
        <f>Ueberblick[[#This Row],[Bezugsjahr(e) der Datenbasis]]</f>
        <v>2017</v>
      </c>
      <c r="P24" s="8" t="s">
        <v>235</v>
      </c>
    </row>
    <row r="25" spans="1:16" ht="38.25" x14ac:dyDescent="0.25">
      <c r="A25" s="6" t="str">
        <f>Ueberblick[[#This Row],[Kürzel]]</f>
        <v>Pau11</v>
      </c>
      <c r="B25" s="8">
        <f>Ueberblick[[#This Row],[Bottom-Up-Abschätzung]]</f>
        <v>1</v>
      </c>
      <c r="C25" s="8">
        <f>Ueberblick[[#This Row],[Top-Down-Abschätzung]]</f>
        <v>1</v>
      </c>
      <c r="D25" s="8">
        <f>Ueberblick[[#This Row],[Bestimmung Kosten-Potenzial-Kurven]]</f>
        <v>0</v>
      </c>
      <c r="E25" s="8">
        <f>Ueberblick[[#This Row],[Analyse mehrerer Szenarien / Entwicklungen]]</f>
        <v>1</v>
      </c>
      <c r="F25" s="8">
        <f>Ueberblick[[#This Row],[Untersuchung von Fehlermaßen]]</f>
        <v>0</v>
      </c>
      <c r="G25" s="8" t="str">
        <f>Ueberblick[[#This Row],[Quellen Methodik]]</f>
        <v>S. 434-437</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1</v>
      </c>
      <c r="M25" s="8">
        <f>Ueberblick[[#This Row],[eigene Annahmen]]</f>
        <v>0</v>
      </c>
      <c r="N25" s="8">
        <f>Ueberblick[[#This Row],[eigene Erhebungen]]</f>
        <v>0</v>
      </c>
      <c r="O25" s="8" t="str">
        <f>Ueberblick[[#This Row],[Bezugsjahr(e) der Datenbasis]]</f>
        <v>2008-2009</v>
      </c>
      <c r="P25" s="8">
        <v>49</v>
      </c>
    </row>
    <row r="26" spans="1:16" s="11" customFormat="1" ht="165.75" x14ac:dyDescent="0.25">
      <c r="A26" s="6" t="str">
        <f>Ueberblick[[#This Row],[Kürzel]]</f>
        <v>Pel16</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0</v>
      </c>
      <c r="G26" s="8" t="str">
        <f>Ueberblick[[#This Row],[Quellen Methodik]]</f>
        <v>1-6; 88-94; 128-131; 137-139; 185-203; 206-209; 228-232</v>
      </c>
      <c r="H26" s="8">
        <f>Ueberblick[[#This Row],[Literaturanalyse]]</f>
        <v>1</v>
      </c>
      <c r="I26" s="8">
        <f>Ueberblick[[#This Row],[Auswertung von Statistiken]]</f>
        <v>1</v>
      </c>
      <c r="J26" s="8">
        <f>Ueberblick[[#This Row],[Expertenabschätzungen]]</f>
        <v>1</v>
      </c>
      <c r="K26" s="8">
        <f>Ueberblick[[#This Row],[(Online-)Umfragen]]</f>
        <v>1</v>
      </c>
      <c r="L26" s="8">
        <f>Ueberblick[[#This Row],[Unternehmensbefragungen / Interviews]]</f>
        <v>1</v>
      </c>
      <c r="M26" s="8">
        <f>Ueberblick[[#This Row],[eigene Annahmen]]</f>
        <v>1</v>
      </c>
      <c r="N26" s="8">
        <f>Ueberblick[[#This Row],[eigene Erhebungen]]</f>
        <v>1</v>
      </c>
      <c r="O26" s="8" t="str">
        <f>Ueberblick[[#This Row],[Bezugsjahr(e) der Datenbasis]]</f>
        <v>2010-2011/12</v>
      </c>
      <c r="P26" s="8" t="s">
        <v>290</v>
      </c>
    </row>
    <row r="27" spans="1:16" s="11" customFormat="1" ht="25.5" x14ac:dyDescent="0.25">
      <c r="A27" s="6" t="str">
        <f>Ueberblick[[#This Row],[Kürzel]]</f>
        <v>r2b14</v>
      </c>
      <c r="B27" s="8">
        <f>Ueberblick[[#This Row],[Bottom-Up-Abschätzung]]</f>
        <v>1</v>
      </c>
      <c r="C27" s="8">
        <f>Ueberblick[[#This Row],[Top-Down-Abschätzung]]</f>
        <v>1</v>
      </c>
      <c r="D27" s="8">
        <f>Ueberblick[[#This Row],[Bestimmung Kosten-Potenzial-Kurven]]</f>
        <v>1</v>
      </c>
      <c r="E27" s="8">
        <f>Ueberblick[[#This Row],[Analyse mehrerer Szenarien / Entwicklungen]]</f>
        <v>0</v>
      </c>
      <c r="F27" s="8">
        <f>Ueberblick[[#This Row],[Untersuchung von Fehlermaßen]]</f>
        <v>0</v>
      </c>
      <c r="G27" s="8" t="str">
        <f>Ueberblick[[#This Row],[Quellen Methodik]]</f>
        <v>52-57</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0.5</v>
      </c>
      <c r="N27" s="8">
        <f>Ueberblick[[#This Row],[eigene Erhebungen]]</f>
        <v>0</v>
      </c>
      <c r="O27" s="8" t="str">
        <f>Ueberblick[[#This Row],[Bezugsjahr(e) der Datenbasis]]</f>
        <v>1999-2012</v>
      </c>
      <c r="P27" s="8" t="s">
        <v>249</v>
      </c>
    </row>
    <row r="28" spans="1:16" s="11" customFormat="1" ht="25.5" x14ac:dyDescent="0.25">
      <c r="A28" s="6" t="str">
        <f>Ueberblick[[#This Row],[Kürzel]]</f>
        <v>Roo10</v>
      </c>
      <c r="B28" s="16">
        <f>Ueberblick[[#This Row],[Bottom-Up-Abschätzung]]</f>
        <v>0</v>
      </c>
      <c r="C28" s="16">
        <f>Ueberblick[[#This Row],[Top-Down-Abschätzung]]</f>
        <v>1</v>
      </c>
      <c r="D28" s="16">
        <f>Ueberblick[[#This Row],[Bestimmung Kosten-Potenzial-Kurven]]</f>
        <v>0</v>
      </c>
      <c r="E28" s="16">
        <f>Ueberblick[[#This Row],[Analyse mehrerer Szenarien / Entwicklungen]]</f>
        <v>0</v>
      </c>
      <c r="F28" s="16">
        <f>Ueberblick[[#This Row],[Untersuchung von Fehlermaßen]]</f>
        <v>0</v>
      </c>
      <c r="G28" s="16" t="str">
        <f>Ueberblick[[#This Row],[Quellen Methodik]]</f>
        <v>12-32</v>
      </c>
      <c r="H28" s="16">
        <f>Ueberblick[[#This Row],[Literaturanalyse]]</f>
        <v>0.5</v>
      </c>
      <c r="I28" s="16">
        <f>Ueberblick[[#This Row],[Auswertung von Statistiken]]</f>
        <v>0</v>
      </c>
      <c r="J28" s="16">
        <f>Ueberblick[[#This Row],[Expertenabschätzungen]]</f>
        <v>1</v>
      </c>
      <c r="K28" s="16">
        <f>Ueberblick[[#This Row],[(Online-)Umfragen]]</f>
        <v>0</v>
      </c>
      <c r="L28" s="16">
        <f>Ueberblick[[#This Row],[Unternehmensbefragungen / Interviews]]</f>
        <v>0</v>
      </c>
      <c r="M28" s="16">
        <f>Ueberblick[[#This Row],[eigene Annahmen]]</f>
        <v>0.5</v>
      </c>
      <c r="N28" s="16">
        <f>Ueberblick[[#This Row],[eigene Erhebungen]]</f>
        <v>0</v>
      </c>
      <c r="O28" s="8" t="str">
        <f>Ueberblick[[#This Row],[Bezugsjahr(e) der Datenbasis]]</f>
        <v>nicht transparent dargelegt</v>
      </c>
      <c r="P28" s="16"/>
    </row>
    <row r="29" spans="1:16" s="11" customFormat="1" ht="25.5" x14ac:dyDescent="0.25">
      <c r="A29" s="6" t="str">
        <f>Ueberblick[[#This Row],[Kürzel]]</f>
        <v>Sau19</v>
      </c>
      <c r="B29" s="16">
        <f>Ueberblick[[#This Row],[Bottom-Up-Abschätzung]]</f>
        <v>1</v>
      </c>
      <c r="C29" s="16">
        <f>Ueberblick[[#This Row],[Top-Down-Abschätzung]]</f>
        <v>0</v>
      </c>
      <c r="D29" s="16">
        <f>Ueberblick[[#This Row],[Bestimmung Kosten-Potenzial-Kurven]]</f>
        <v>0</v>
      </c>
      <c r="E29" s="16">
        <f>Ueberblick[[#This Row],[Analyse mehrerer Szenarien / Entwicklungen]]</f>
        <v>0</v>
      </c>
      <c r="F29" s="16">
        <f>Ueberblick[[#This Row],[Untersuchung von Fehlermaßen]]</f>
        <v>0.5</v>
      </c>
      <c r="G29" s="16" t="str">
        <f>Ueberblick[[#This Row],[Quellen Methodik]]</f>
        <v>421-446</v>
      </c>
      <c r="H29" s="16">
        <f>Ueberblick[[#This Row],[Literaturanalyse]]</f>
        <v>1</v>
      </c>
      <c r="I29" s="16">
        <f>Ueberblick[[#This Row],[Auswertung von Statistiken]]</f>
        <v>1</v>
      </c>
      <c r="J29" s="16">
        <f>Ueberblick[[#This Row],[Expertenabschätzungen]]</f>
        <v>1</v>
      </c>
      <c r="K29" s="16">
        <f>Ueberblick[[#This Row],[(Online-)Umfragen]]</f>
        <v>0</v>
      </c>
      <c r="L29" s="16">
        <f>Ueberblick[[#This Row],[Unternehmensbefragungen / Interviews]]</f>
        <v>1</v>
      </c>
      <c r="M29" s="16">
        <f>Ueberblick[[#This Row],[eigene Annahmen]]</f>
        <v>1</v>
      </c>
      <c r="N29" s="16">
        <f>Ueberblick[[#This Row],[eigene Erhebungen]]</f>
        <v>1</v>
      </c>
      <c r="O29" s="8" t="str">
        <f>Ueberblick[[#This Row],[Bezugsjahr(e) der Datenbasis]]</f>
        <v>2017-2018</v>
      </c>
      <c r="P29" s="16"/>
    </row>
    <row r="30" spans="1:16" s="11" customFormat="1" ht="51" x14ac:dyDescent="0.25">
      <c r="A30" s="6" t="str">
        <f>Ueberblick[[#This Row],[Kürzel]]</f>
        <v>Sch14</v>
      </c>
      <c r="B30" s="16">
        <f>Ueberblick[[#This Row],[Bottom-Up-Abschätzung]]</f>
        <v>1</v>
      </c>
      <c r="C30" s="16">
        <f>Ueberblick[[#This Row],[Top-Down-Abschätzung]]</f>
        <v>1</v>
      </c>
      <c r="D30" s="16">
        <f>Ueberblick[[#This Row],[Bestimmung Kosten-Potenzial-Kurven]]</f>
        <v>0</v>
      </c>
      <c r="E30" s="16">
        <f>Ueberblick[[#This Row],[Analyse mehrerer Szenarien / Entwicklungen]]</f>
        <v>0</v>
      </c>
      <c r="F30" s="16">
        <f>Ueberblick[[#This Row],[Untersuchung von Fehlermaßen]]</f>
        <v>0</v>
      </c>
      <c r="G30" s="16" t="str">
        <f>Ueberblick[[#This Row],[Quellen Methodik]]</f>
        <v>47-57, 89-91</v>
      </c>
      <c r="H30" s="16">
        <f>Ueberblick[[#This Row],[Literaturanalyse]]</f>
        <v>1</v>
      </c>
      <c r="I30" s="16">
        <f>Ueberblick[[#This Row],[Auswertung von Statistiken]]</f>
        <v>1</v>
      </c>
      <c r="J30" s="16">
        <f>Ueberblick[[#This Row],[Expertenabschätzungen]]</f>
        <v>0</v>
      </c>
      <c r="K30" s="16">
        <f>Ueberblick[[#This Row],[(Online-)Umfragen]]</f>
        <v>0</v>
      </c>
      <c r="L30" s="16">
        <f>Ueberblick[[#This Row],[Unternehmensbefragungen / Interviews]]</f>
        <v>0</v>
      </c>
      <c r="M30" s="16">
        <f>Ueberblick[[#This Row],[eigene Annahmen]]</f>
        <v>1</v>
      </c>
      <c r="N30" s="16">
        <f>Ueberblick[[#This Row],[eigene Erhebungen]]</f>
        <v>0</v>
      </c>
      <c r="O30" s="8" t="str">
        <f>Ueberblick[[#This Row],[Bezugsjahr(e) der Datenbasis]]</f>
        <v>überwiegend 2005-2010 (Primärliteratur teilweise älter; bis 1997)</v>
      </c>
      <c r="P30" s="16"/>
    </row>
    <row r="31" spans="1:16" s="11" customFormat="1" ht="178.5" x14ac:dyDescent="0.25">
      <c r="A31" s="6" t="str">
        <f>Ueberblick[[#This Row],[Kürzel]]</f>
        <v>Sta06</v>
      </c>
      <c r="B31" s="16">
        <f>Ueberblick[[#This Row],[Bottom-Up-Abschätzung]]</f>
        <v>1</v>
      </c>
      <c r="C31" s="16">
        <f>Ueberblick[[#This Row],[Top-Down-Abschätzung]]</f>
        <v>1</v>
      </c>
      <c r="D31" s="16">
        <f>Ueberblick[[#This Row],[Bestimmung Kosten-Potenzial-Kurven]]</f>
        <v>0</v>
      </c>
      <c r="E31" s="16">
        <f>Ueberblick[[#This Row],[Analyse mehrerer Szenarien / Entwicklungen]]</f>
        <v>0</v>
      </c>
      <c r="F31" s="16">
        <f>Ueberblick[[#This Row],[Untersuchung von Fehlermaßen]]</f>
        <v>0</v>
      </c>
      <c r="G31" s="16" t="str">
        <f>Ueberblick[[#This Row],[Quellen Methodik]]</f>
        <v>38-45; 48-53; 62-69; 73-97; 104-116; 119-121; 168-169</v>
      </c>
      <c r="H31" s="16">
        <f>Ueberblick[[#This Row],[Literaturanalyse]]</f>
        <v>1</v>
      </c>
      <c r="I31" s="16">
        <f>Ueberblick[[#This Row],[Auswertung von Statistiken]]</f>
        <v>1</v>
      </c>
      <c r="J31" s="16">
        <f>Ueberblick[[#This Row],[Expertenabschätzungen]]</f>
        <v>0</v>
      </c>
      <c r="K31" s="16">
        <f>Ueberblick[[#This Row],[(Online-)Umfragen]]</f>
        <v>0</v>
      </c>
      <c r="L31" s="16">
        <f>Ueberblick[[#This Row],[Unternehmensbefragungen / Interviews]]</f>
        <v>0</v>
      </c>
      <c r="M31" s="16">
        <f>Ueberblick[[#This Row],[eigene Annahmen]]</f>
        <v>1</v>
      </c>
      <c r="N31" s="16">
        <f>Ueberblick[[#This Row],[eigene Erhebungen]]</f>
        <v>0</v>
      </c>
      <c r="O31" s="8">
        <f>Ueberblick[[#This Row],[Bezugsjahr(e) der Datenbasis]]</f>
        <v>1996</v>
      </c>
      <c r="P31" s="16"/>
    </row>
    <row r="32" spans="1:16" s="11" customFormat="1" ht="114.75" x14ac:dyDescent="0.25">
      <c r="A32" s="6" t="str">
        <f>Ueberblick[[#This Row],[Kürzel]]</f>
        <v>Ste17</v>
      </c>
      <c r="B32" s="16">
        <f>Ueberblick[[#This Row],[Bottom-Up-Abschätzung]]</f>
        <v>1</v>
      </c>
      <c r="C32" s="16">
        <f>Ueberblick[[#This Row],[Top-Down-Abschätzung]]</f>
        <v>1</v>
      </c>
      <c r="D32" s="16">
        <f>Ueberblick[[#This Row],[Bestimmung Kosten-Potenzial-Kurven]]</f>
        <v>1</v>
      </c>
      <c r="E32" s="16">
        <f>Ueberblick[[#This Row],[Analyse mehrerer Szenarien / Entwicklungen]]</f>
        <v>1</v>
      </c>
      <c r="F32" s="16">
        <f>Ueberblick[[#This Row],[Untersuchung von Fehlermaßen]]</f>
        <v>1</v>
      </c>
      <c r="G32" s="16" t="str">
        <f>Ueberblick[[#This Row],[Quellen Methodik]]</f>
        <v>22-31; 46-63; 73-76; 77-87; 93</v>
      </c>
      <c r="H32" s="16">
        <f>Ueberblick[[#This Row],[Literaturanalyse]]</f>
        <v>1</v>
      </c>
      <c r="I32" s="16">
        <f>Ueberblick[[#This Row],[Auswertung von Statistiken]]</f>
        <v>1</v>
      </c>
      <c r="J32" s="16">
        <f>Ueberblick[[#This Row],[Expertenabschätzungen]]</f>
        <v>1</v>
      </c>
      <c r="K32" s="16">
        <f>Ueberblick[[#This Row],[(Online-)Umfragen]]</f>
        <v>0</v>
      </c>
      <c r="L32" s="16">
        <f>Ueberblick[[#This Row],[Unternehmensbefragungen / Interviews]]</f>
        <v>1</v>
      </c>
      <c r="M32" s="16">
        <f>Ueberblick[[#This Row],[eigene Annahmen]]</f>
        <v>1</v>
      </c>
      <c r="N32" s="16">
        <f>Ueberblick[[#This Row],[eigene Erhebungen]]</f>
        <v>1</v>
      </c>
      <c r="O32" s="8"/>
      <c r="P32" s="16"/>
    </row>
    <row r="33" spans="1:16" s="11" customFormat="1" ht="63.75" x14ac:dyDescent="0.25">
      <c r="A33" s="6" t="str">
        <f>Ueberblick[[#This Row],[Kürzel]]</f>
        <v>Sty15</v>
      </c>
      <c r="B33" s="16">
        <f>Ueberblick[[#This Row],[Bottom-Up-Abschätzung]]</f>
        <v>0</v>
      </c>
      <c r="C33" s="16">
        <f>Ueberblick[[#This Row],[Top-Down-Abschätzung]]</f>
        <v>1</v>
      </c>
      <c r="D33" s="16">
        <f>Ueberblick[[#This Row],[Bestimmung Kosten-Potenzial-Kurven]]</f>
        <v>0</v>
      </c>
      <c r="E33" s="16">
        <f>Ueberblick[[#This Row],[Analyse mehrerer Szenarien / Entwicklungen]]</f>
        <v>1</v>
      </c>
      <c r="F33" s="16">
        <f>Ueberblick[[#This Row],[Untersuchung von Fehlermaßen]]</f>
        <v>0</v>
      </c>
      <c r="G33" s="16" t="str">
        <f>Ueberblick[[#This Row],[Quellen Methodik]]</f>
        <v>8-10; 26-28; 38</v>
      </c>
      <c r="H33" s="16">
        <f>Ueberblick[[#This Row],[Literaturanalyse]]</f>
        <v>1</v>
      </c>
      <c r="I33" s="16">
        <f>Ueberblick[[#This Row],[Auswertung von Statistiken]]</f>
        <v>1</v>
      </c>
      <c r="J33" s="16">
        <f>Ueberblick[[#This Row],[Expertenabschätzungen]]</f>
        <v>0</v>
      </c>
      <c r="K33" s="16">
        <f>Ueberblick[[#This Row],[(Online-)Umfragen]]</f>
        <v>0</v>
      </c>
      <c r="L33" s="16">
        <f>Ueberblick[[#This Row],[Unternehmensbefragungen / Interviews]]</f>
        <v>0</v>
      </c>
      <c r="M33" s="16">
        <f>Ueberblick[[#This Row],[eigene Annahmen]]</f>
        <v>1</v>
      </c>
      <c r="N33" s="16">
        <f>Ueberblick[[#This Row],[eigene Erhebungen]]</f>
        <v>0</v>
      </c>
      <c r="O33" s="8" t="str">
        <f>Ueberblick[[#This Row],[Bezugsjahr(e) der Datenbasis]]</f>
        <v>2008-2012</v>
      </c>
      <c r="P33" s="16"/>
    </row>
    <row r="34" spans="1:16" s="11" customFormat="1" ht="51" x14ac:dyDescent="0.25">
      <c r="A34" s="6" t="str">
        <f>Ueberblick[[#This Row],[Kürzel]]</f>
        <v>Woh20</v>
      </c>
      <c r="B34" s="16">
        <f>Ueberblick[[#This Row],[Bottom-Up-Abschätzung]]</f>
        <v>1</v>
      </c>
      <c r="C34" s="16">
        <f>Ueberblick[[#This Row],[Top-Down-Abschätzung]]</f>
        <v>0</v>
      </c>
      <c r="D34" s="16">
        <f>Ueberblick[[#This Row],[Bestimmung Kosten-Potenzial-Kurven]]</f>
        <v>0</v>
      </c>
      <c r="E34" s="16">
        <f>Ueberblick[[#This Row],[Analyse mehrerer Szenarien / Entwicklungen]]</f>
        <v>0</v>
      </c>
      <c r="F34" s="16">
        <f>Ueberblick[[#This Row],[Untersuchung von Fehlermaßen]]</f>
        <v>0</v>
      </c>
      <c r="G34" s="16" t="str">
        <f>Ueberblick[[#This Row],[Quellen Methodik]]</f>
        <v>114091-114094</v>
      </c>
      <c r="H34" s="16">
        <f>Ueberblick[[#This Row],[Literaturanalyse]]</f>
        <v>1</v>
      </c>
      <c r="I34" s="16">
        <f>Ueberblick[[#This Row],[Auswertung von Statistiken]]</f>
        <v>1</v>
      </c>
      <c r="J34" s="16">
        <f>Ueberblick[[#This Row],[Expertenabschätzungen]]</f>
        <v>1</v>
      </c>
      <c r="K34" s="16">
        <f>Ueberblick[[#This Row],[(Online-)Umfragen]]</f>
        <v>1</v>
      </c>
      <c r="L34" s="16">
        <f>Ueberblick[[#This Row],[Unternehmensbefragungen / Interviews]]</f>
        <v>1</v>
      </c>
      <c r="M34" s="16">
        <f>Ueberblick[[#This Row],[eigene Annahmen]]</f>
        <v>0</v>
      </c>
      <c r="N34" s="16">
        <f>Ueberblick[[#This Row],[eigene Erhebungen]]</f>
        <v>1</v>
      </c>
      <c r="O34" s="8" t="str">
        <f>Ueberblick[[#This Row],[Bezugsjahr(e) der Datenbasis]]</f>
        <v>2018/19</v>
      </c>
      <c r="P34" s="16"/>
    </row>
    <row r="35" spans="1:16" x14ac:dyDescent="0.25">
      <c r="A35" s="17" t="s">
        <v>853</v>
      </c>
      <c r="B35" s="16">
        <f>SUM(B3:B34)</f>
        <v>29</v>
      </c>
      <c r="C35" s="16">
        <f>SUM(C3:C34)</f>
        <v>29</v>
      </c>
      <c r="D35" s="16">
        <f>SUM(D3:D34)</f>
        <v>7</v>
      </c>
      <c r="E35" s="16">
        <f>SUM(E3:E34)</f>
        <v>12.5</v>
      </c>
      <c r="F35" s="16">
        <f>SUM(F3:F34)</f>
        <v>4</v>
      </c>
      <c r="G35" s="16"/>
      <c r="H35" s="16">
        <f>SUM(H3:H34)</f>
        <v>30</v>
      </c>
      <c r="I35" s="16">
        <f>SUM(I3:I34)</f>
        <v>24.5</v>
      </c>
      <c r="J35" s="16">
        <f>SUM(J3:J34)</f>
        <v>9</v>
      </c>
      <c r="K35" s="16">
        <f>SUM(K3:K34)</f>
        <v>4</v>
      </c>
      <c r="L35" s="16">
        <f>SUM(L3:L34)</f>
        <v>13.5</v>
      </c>
      <c r="M35" s="16">
        <f>SUM(M3:M34)</f>
        <v>23</v>
      </c>
      <c r="N35" s="16">
        <f>SUM(N3:N34)</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M15" sqref="M1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1" t="s">
        <v>847</v>
      </c>
      <c r="C2" s="41" t="s">
        <v>848</v>
      </c>
      <c r="D2" s="41" t="s">
        <v>1427</v>
      </c>
      <c r="E2" s="41" t="s">
        <v>1428</v>
      </c>
      <c r="F2" s="41" t="s">
        <v>135</v>
      </c>
      <c r="G2" s="41" t="s">
        <v>103</v>
      </c>
      <c r="H2" s="41" t="s">
        <v>100</v>
      </c>
      <c r="I2" s="41" t="s">
        <v>97</v>
      </c>
      <c r="J2" s="41" t="s">
        <v>98</v>
      </c>
      <c r="K2" s="41" t="s">
        <v>126</v>
      </c>
      <c r="L2" s="41" t="s">
        <v>1429</v>
      </c>
      <c r="M2" s="41" t="s">
        <v>124</v>
      </c>
      <c r="N2" s="41" t="s">
        <v>99</v>
      </c>
      <c r="O2" s="3" t="s">
        <v>127</v>
      </c>
      <c r="P2" s="3" t="s">
        <v>104</v>
      </c>
    </row>
    <row r="3" spans="1:16" x14ac:dyDescent="0.25">
      <c r="A3" s="6" t="str">
        <f>Ueberblick[[#This Row],[Kürzel]]</f>
        <v>Ape12</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Ary17</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Aus18</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Blu13</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Foc11</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ht="32.25" customHeight="1" x14ac:dyDescent="0.25">
      <c r="A8" s="6" t="str">
        <f>Ueberblick[[#This Row],[Kürzel]]</f>
        <v>Gil15</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Gob12</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Gro13</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Gru17</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Haa17</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Hei21</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Hen15</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Jet21</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ht="25.5" x14ac:dyDescent="0.25">
      <c r="A16" s="6" t="str">
        <f>Ueberblick[[#This Row],[Kürzel]]</f>
        <v>Klo09</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Klo13</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Krz13</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Lad18</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Lan15</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Lie15</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Mae18</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Mol10</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Mue19</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Pau11</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Pel16</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r2b14</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Roo10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Sau19</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32.25" customHeight="1" x14ac:dyDescent="0.25">
      <c r="A30" s="6" t="str">
        <f>Ueberblick[[#This Row],[Kürzel]]</f>
        <v>Sch14</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Sta06</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Ste17</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Sty15</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Woh20</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2024-01-27T18:09:46Z</dcterms:modified>
</cp:coreProperties>
</file>