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  <Override PartName="/xl/threadedComments/threadedComment30.xml" ContentType="application/vnd.ms-excel.threadedcomments+xml"/>
  <Override PartName="/xl/threadedComments/threadedComment3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"/>
    </mc:Choice>
  </mc:AlternateContent>
  <xr:revisionPtr revIDLastSave="0" documentId="13_ncr:1_{5B0B5694-DD2B-4B01-85A2-500EEE117F65}" xr6:coauthVersionLast="36" xr6:coauthVersionMax="45" xr10:uidLastSave="{00000000-0000-0000-0000-000000000000}"/>
  <bookViews>
    <workbookView xWindow="-120" yWindow="-120" windowWidth="19440" windowHeight="15000" tabRatio="657" activeTab="27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state="hidden" r:id="rId32"/>
    <sheet name="LMM_Gruppen_Sch14" sheetId="37" r:id="rId33"/>
    <sheet name="Kuerzel" sheetId="17" r:id="rId34"/>
    <sheet name="Dropdown" sheetId="9" r:id="rId35"/>
    <sheet name="Kategorien" sheetId="49" r:id="rId36"/>
    <sheet name="Kategorien_grob" sheetId="52" r:id="rId37"/>
    <sheet name="Farben" sheetId="51" r:id="rId38"/>
    <sheet name="Studie_XY" sheetId="1" r:id="rId39"/>
    <sheet name="Herleitung_Studie_XY" sheetId="3" r:id="rId40"/>
    <sheet name="Pivot_Example_Pel16" sheetId="40" r:id="rId41"/>
    <sheet name="Umrechnungsfaktoren" sheetId="2" r:id="rId42"/>
    <sheet name="Methode" sheetId="25" r:id="rId43"/>
  </sheets>
  <definedNames>
    <definedName name="Alumi2005">'Klo09'!$A$6:$BG$6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14" i="20" l="1"/>
  <c r="AI15" i="20"/>
  <c r="AI16" i="20"/>
  <c r="AH2" i="20"/>
  <c r="AH3" i="20"/>
  <c r="AH4" i="20"/>
  <c r="AH5" i="20"/>
  <c r="AH6" i="20"/>
  <c r="AH7" i="20"/>
  <c r="AH8" i="20"/>
  <c r="AH9" i="20"/>
  <c r="AH10" i="20"/>
  <c r="AH11" i="20"/>
  <c r="AH12" i="20"/>
  <c r="AH13" i="20"/>
  <c r="AH17" i="20"/>
  <c r="AH18" i="20"/>
  <c r="AH19" i="20"/>
  <c r="H31" i="8"/>
  <c r="H30" i="8"/>
  <c r="AT3" i="19"/>
  <c r="AQ8" i="13" l="1"/>
  <c r="AQ9" i="13"/>
  <c r="AP23" i="8"/>
  <c r="AP22" i="8"/>
  <c r="AX2" i="19"/>
  <c r="AZ4" i="19"/>
  <c r="AZ3" i="19"/>
  <c r="BG33" i="16" l="1"/>
  <c r="BG32" i="16"/>
  <c r="BG31" i="16"/>
  <c r="BG30" i="16"/>
  <c r="BG2" i="16"/>
  <c r="BG3" i="16"/>
  <c r="BG4" i="16"/>
  <c r="BG5" i="16"/>
  <c r="BG6" i="16"/>
  <c r="BG7" i="16"/>
  <c r="BG8" i="16"/>
  <c r="BG9" i="16"/>
  <c r="BG10" i="16"/>
  <c r="BG11" i="16"/>
  <c r="BG12" i="16"/>
  <c r="BG13" i="16"/>
  <c r="BG14" i="16"/>
  <c r="BG15" i="16"/>
  <c r="BG16" i="16"/>
  <c r="BG17" i="16"/>
  <c r="B68" i="49" l="1"/>
  <c r="R2" i="29" l="1"/>
  <c r="V3" i="29"/>
  <c r="AC4" i="29"/>
  <c r="U8" i="44"/>
  <c r="U7" i="44"/>
  <c r="U6" i="44"/>
  <c r="U5" i="44"/>
  <c r="U4" i="44"/>
  <c r="U3" i="44"/>
  <c r="T47" i="4"/>
  <c r="T46" i="4"/>
  <c r="AJ2" i="14"/>
  <c r="AJ3" i="14"/>
  <c r="AJ4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S54" i="4" l="1"/>
  <c r="AA57" i="16"/>
  <c r="X2" i="19"/>
  <c r="X3" i="19"/>
  <c r="X4" i="19"/>
  <c r="X5" i="19"/>
  <c r="X6" i="19"/>
  <c r="Y3" i="19"/>
  <c r="Z3" i="19" s="1"/>
  <c r="Y4" i="19"/>
  <c r="Y5" i="19"/>
  <c r="Y6" i="19"/>
  <c r="Z6" i="19" s="1"/>
  <c r="Y2" i="19"/>
  <c r="AF2" i="41"/>
  <c r="AF5" i="41"/>
  <c r="AF8" i="41"/>
  <c r="AF9" i="41"/>
  <c r="AF10" i="41"/>
  <c r="AF11" i="41"/>
  <c r="AF12" i="41"/>
  <c r="AF15" i="41"/>
  <c r="AF18" i="41"/>
  <c r="AF21" i="41"/>
  <c r="AF24" i="41"/>
  <c r="AF27" i="41"/>
  <c r="AF30" i="41"/>
  <c r="AF33" i="41"/>
  <c r="AF36" i="41"/>
  <c r="AF37" i="41"/>
  <c r="AF38" i="41"/>
  <c r="AF39" i="41"/>
  <c r="AF40" i="41"/>
  <c r="AE2" i="41"/>
  <c r="AE5" i="41"/>
  <c r="AE8" i="41"/>
  <c r="AE9" i="41"/>
  <c r="AE11" i="41"/>
  <c r="AE12" i="41"/>
  <c r="AE15" i="41"/>
  <c r="AE18" i="41"/>
  <c r="AE21" i="41"/>
  <c r="AE24" i="41"/>
  <c r="AE27" i="41"/>
  <c r="AE30" i="41"/>
  <c r="AE33" i="41"/>
  <c r="AE36" i="41"/>
  <c r="AE37" i="41"/>
  <c r="AE38" i="41"/>
  <c r="AE39" i="41"/>
  <c r="AE40" i="41"/>
  <c r="AD2" i="41"/>
  <c r="AD5" i="41"/>
  <c r="AD8" i="41"/>
  <c r="AD9" i="41"/>
  <c r="AD10" i="41"/>
  <c r="AD11" i="41"/>
  <c r="AD12" i="41"/>
  <c r="AD15" i="41"/>
  <c r="AD18" i="41"/>
  <c r="AD21" i="41"/>
  <c r="AD24" i="41"/>
  <c r="AD27" i="41"/>
  <c r="AD30" i="41"/>
  <c r="AD33" i="41"/>
  <c r="AD36" i="41"/>
  <c r="AD37" i="41"/>
  <c r="AD38" i="41"/>
  <c r="AD39" i="41"/>
  <c r="AD40" i="41"/>
  <c r="AL2" i="41"/>
  <c r="AL14" i="41"/>
  <c r="AL15" i="41"/>
  <c r="AL16" i="41"/>
  <c r="AL17" i="41"/>
  <c r="AL18" i="41"/>
  <c r="AL19" i="41"/>
  <c r="AL20" i="41"/>
  <c r="AL21" i="41"/>
  <c r="AL22" i="41"/>
  <c r="AL23" i="41"/>
  <c r="AL24" i="41"/>
  <c r="AL25" i="41"/>
  <c r="AL26" i="41"/>
  <c r="AL27" i="41"/>
  <c r="AL28" i="41"/>
  <c r="AL29" i="41"/>
  <c r="AL30" i="41"/>
  <c r="AL31" i="41"/>
  <c r="AL32" i="41"/>
  <c r="AL33" i="41"/>
  <c r="AM33" i="41" s="1"/>
  <c r="AL34" i="41"/>
  <c r="AL35" i="41"/>
  <c r="AL36" i="41"/>
  <c r="AL37" i="41"/>
  <c r="AL38" i="41"/>
  <c r="AL39" i="41"/>
  <c r="AL40" i="41"/>
  <c r="AL13" i="41"/>
  <c r="AS2" i="15"/>
  <c r="AR2" i="15"/>
  <c r="U7" i="15"/>
  <c r="T7" i="15"/>
  <c r="R3" i="15"/>
  <c r="S3" i="15"/>
  <c r="R4" i="15"/>
  <c r="S4" i="15"/>
  <c r="R5" i="15"/>
  <c r="S5" i="15"/>
  <c r="R6" i="15"/>
  <c r="S6" i="15"/>
  <c r="R8" i="15"/>
  <c r="S8" i="15"/>
  <c r="R9" i="15"/>
  <c r="S9" i="15"/>
  <c r="R10" i="15"/>
  <c r="S10" i="15"/>
  <c r="R11" i="15"/>
  <c r="S11" i="15"/>
  <c r="R12" i="15"/>
  <c r="S12" i="15"/>
  <c r="R13" i="15"/>
  <c r="S2" i="15"/>
  <c r="R2" i="15"/>
  <c r="N13" i="15" l="1"/>
  <c r="Y13" i="15"/>
  <c r="V13" i="15" s="1"/>
  <c r="N2" i="15"/>
  <c r="N3" i="15"/>
  <c r="N4" i="15"/>
  <c r="N5" i="15"/>
  <c r="N6" i="15"/>
  <c r="N7" i="15"/>
  <c r="N8" i="15"/>
  <c r="N9" i="15"/>
  <c r="N10" i="15"/>
  <c r="N11" i="15"/>
  <c r="N12" i="15"/>
  <c r="Y2" i="15"/>
  <c r="V2" i="15" s="1"/>
  <c r="Y4" i="15"/>
  <c r="V4" i="15" s="1"/>
  <c r="Y5" i="15"/>
  <c r="V5" i="15" s="1"/>
  <c r="Y6" i="15"/>
  <c r="Y7" i="15"/>
  <c r="Y8" i="15"/>
  <c r="V8" i="15" s="1"/>
  <c r="Y9" i="15"/>
  <c r="V9" i="15" s="1"/>
  <c r="Y10" i="15"/>
  <c r="V10" i="15" s="1"/>
  <c r="Y11" i="15"/>
  <c r="V11" i="15" s="1"/>
  <c r="Y12" i="15"/>
  <c r="V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V38" i="4" l="1"/>
  <c r="J29" i="4"/>
  <c r="O29" i="4" s="1"/>
  <c r="N23" i="4" l="1"/>
  <c r="N22" i="4"/>
  <c r="J2" i="4"/>
  <c r="O2" i="4" s="1"/>
  <c r="J3" i="4"/>
  <c r="O3" i="4" s="1"/>
  <c r="K7" i="4"/>
  <c r="K21" i="4"/>
  <c r="N24" i="4"/>
  <c r="N25" i="4"/>
  <c r="N10" i="23" l="1"/>
  <c r="N6" i="23"/>
  <c r="I22" i="23"/>
  <c r="I10" i="23"/>
  <c r="I6" i="23"/>
  <c r="W3" i="43"/>
  <c r="X3" i="43"/>
  <c r="W4" i="43"/>
  <c r="X4" i="43"/>
  <c r="W5" i="43"/>
  <c r="X5" i="43"/>
  <c r="W6" i="43"/>
  <c r="X6" i="43"/>
  <c r="W7" i="43"/>
  <c r="X7" i="43"/>
  <c r="W8" i="43"/>
  <c r="X8" i="43"/>
  <c r="W9" i="43"/>
  <c r="X9" i="43"/>
  <c r="W10" i="43"/>
  <c r="X10" i="43"/>
  <c r="W11" i="43"/>
  <c r="X11" i="43"/>
  <c r="W12" i="43"/>
  <c r="X12" i="43"/>
  <c r="W13" i="43"/>
  <c r="X13" i="43"/>
  <c r="W14" i="43"/>
  <c r="X14" i="43"/>
  <c r="W15" i="43"/>
  <c r="X15" i="43"/>
  <c r="W16" i="43"/>
  <c r="X16" i="43"/>
  <c r="W17" i="43"/>
  <c r="X17" i="43"/>
  <c r="W18" i="43"/>
  <c r="X18" i="43"/>
  <c r="W19" i="43"/>
  <c r="X19" i="43"/>
  <c r="W20" i="43"/>
  <c r="X20" i="43"/>
  <c r="W21" i="43"/>
  <c r="X21" i="43"/>
  <c r="W22" i="43"/>
  <c r="X22" i="43"/>
  <c r="W23" i="43"/>
  <c r="X23" i="43"/>
  <c r="X2" i="43"/>
  <c r="W2" i="43"/>
  <c r="AA2" i="16" l="1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55" i="16"/>
  <c r="AA56" i="16"/>
  <c r="AA59" i="16"/>
  <c r="AA60" i="16"/>
  <c r="AA61" i="16"/>
  <c r="AA63" i="16"/>
  <c r="AA64" i="16"/>
  <c r="AA65" i="16"/>
  <c r="AA67" i="16"/>
  <c r="AA68" i="16"/>
  <c r="AA69" i="16"/>
  <c r="AA70" i="16"/>
  <c r="AA75" i="16"/>
  <c r="AA76" i="16"/>
  <c r="AA77" i="16"/>
  <c r="AA79" i="16"/>
  <c r="AA80" i="16"/>
  <c r="AA81" i="16"/>
  <c r="AA83" i="16"/>
  <c r="AA84" i="16"/>
  <c r="AA85" i="16"/>
  <c r="AA87" i="16"/>
  <c r="AA88" i="16"/>
  <c r="AA89" i="16"/>
  <c r="AA90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4" i="16"/>
  <c r="AA115" i="16"/>
  <c r="AA116" i="16"/>
  <c r="AA117" i="16"/>
  <c r="AA118" i="16"/>
  <c r="AA119" i="16"/>
  <c r="AA120" i="16"/>
  <c r="AA121" i="16"/>
  <c r="L42" i="16"/>
  <c r="K42" i="16"/>
  <c r="K6" i="16"/>
  <c r="L6" i="16"/>
  <c r="Z2" i="44"/>
  <c r="W2" i="44" s="1"/>
  <c r="U2" i="44"/>
  <c r="G2" i="44"/>
  <c r="BG4" i="14" l="1"/>
  <c r="BG3" i="14"/>
  <c r="BG2" i="14"/>
  <c r="AF19" i="14"/>
  <c r="AF18" i="14"/>
  <c r="AF17" i="14"/>
  <c r="AF11" i="14"/>
  <c r="AF12" i="14"/>
  <c r="AF13" i="14"/>
  <c r="I19" i="14"/>
  <c r="I18" i="14"/>
  <c r="I16" i="14"/>
  <c r="I15" i="14"/>
  <c r="G6" i="14"/>
  <c r="I6" i="14" s="1"/>
  <c r="G7" i="14"/>
  <c r="I7" i="14" s="1"/>
  <c r="R21" i="14"/>
  <c r="R22" i="14"/>
  <c r="R20" i="14"/>
  <c r="AG16" i="14"/>
  <c r="AG15" i="14"/>
  <c r="AG14" i="14"/>
  <c r="AI14" i="14" s="1"/>
  <c r="I14" i="14"/>
  <c r="AG10" i="14"/>
  <c r="AF10" i="14" s="1"/>
  <c r="AG9" i="14"/>
  <c r="AF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L12" i="14"/>
  <c r="AI12" i="14" s="1"/>
  <c r="AL13" i="14"/>
  <c r="AI13" i="14" s="1"/>
  <c r="AL11" i="14"/>
  <c r="AI11" i="14" s="1"/>
  <c r="G5" i="14"/>
  <c r="AI2" i="14"/>
  <c r="AI3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I5" i="14"/>
  <c r="C106" i="16" l="1"/>
  <c r="Y38" i="22" l="1"/>
  <c r="AF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D17" i="29" l="1"/>
  <c r="AD15" i="29"/>
  <c r="W15" i="29"/>
  <c r="W16" i="29"/>
  <c r="W17" i="29"/>
  <c r="V2" i="29"/>
  <c r="AV2" i="29"/>
  <c r="AW2" i="29"/>
  <c r="AV4" i="29"/>
  <c r="AW4" i="29"/>
  <c r="V6" i="29"/>
  <c r="AV8" i="29"/>
  <c r="AW8" i="29"/>
  <c r="V12" i="29"/>
  <c r="AC12" i="29"/>
  <c r="Z15" i="29"/>
  <c r="V15" i="29" s="1"/>
  <c r="AV15" i="29"/>
  <c r="AW15" i="29"/>
  <c r="AC17" i="29"/>
  <c r="AV17" i="29"/>
  <c r="AW17" i="29"/>
  <c r="AC15" i="29" l="1"/>
  <c r="AM5" i="48" l="1"/>
  <c r="AN5" i="48"/>
  <c r="AN4" i="48"/>
  <c r="AN3" i="48"/>
  <c r="AP4" i="42" l="1"/>
  <c r="AA4" i="42"/>
  <c r="T4" i="42"/>
  <c r="AC12" i="41" l="1"/>
  <c r="AC18" i="41"/>
  <c r="AC21" i="41"/>
  <c r="AC24" i="41"/>
  <c r="AC27" i="41"/>
  <c r="AC30" i="41"/>
  <c r="V29" i="41"/>
  <c r="AF29" i="41" s="1"/>
  <c r="U29" i="41"/>
  <c r="AE29" i="41" s="1"/>
  <c r="T29" i="41"/>
  <c r="AD29" i="41" s="1"/>
  <c r="V28" i="41"/>
  <c r="AF28" i="41" s="1"/>
  <c r="U28" i="41"/>
  <c r="AE28" i="41" s="1"/>
  <c r="T28" i="41"/>
  <c r="AD28" i="41" s="1"/>
  <c r="V32" i="41"/>
  <c r="AF32" i="41" s="1"/>
  <c r="U32" i="41"/>
  <c r="AE32" i="41" s="1"/>
  <c r="T32" i="41"/>
  <c r="AD32" i="41" s="1"/>
  <c r="V31" i="41"/>
  <c r="AF31" i="41" s="1"/>
  <c r="U31" i="41"/>
  <c r="AE31" i="41" s="1"/>
  <c r="T31" i="41"/>
  <c r="AD31" i="41" s="1"/>
  <c r="V23" i="41"/>
  <c r="AF23" i="41" s="1"/>
  <c r="U23" i="41"/>
  <c r="AE23" i="41" s="1"/>
  <c r="T23" i="41"/>
  <c r="AD23" i="41" s="1"/>
  <c r="V22" i="41"/>
  <c r="AF22" i="41" s="1"/>
  <c r="U22" i="41"/>
  <c r="AE22" i="41" s="1"/>
  <c r="T22" i="41"/>
  <c r="AD22" i="41" s="1"/>
  <c r="V20" i="41"/>
  <c r="AF20" i="41" s="1"/>
  <c r="U20" i="41"/>
  <c r="AE20" i="41" s="1"/>
  <c r="T20" i="41"/>
  <c r="AD20" i="41" s="1"/>
  <c r="V19" i="41"/>
  <c r="AF19" i="41" s="1"/>
  <c r="U19" i="41"/>
  <c r="AE19" i="41" s="1"/>
  <c r="T19" i="41"/>
  <c r="AD19" i="41" s="1"/>
  <c r="V26" i="41"/>
  <c r="AF26" i="41" s="1"/>
  <c r="U26" i="41"/>
  <c r="AE26" i="41" s="1"/>
  <c r="T26" i="41"/>
  <c r="AD26" i="41" s="1"/>
  <c r="V25" i="41"/>
  <c r="AF25" i="41" s="1"/>
  <c r="U25" i="41"/>
  <c r="AE25" i="41" s="1"/>
  <c r="T25" i="41"/>
  <c r="AD25" i="41" s="1"/>
  <c r="BD37" i="41"/>
  <c r="BD38" i="41"/>
  <c r="BD35" i="41"/>
  <c r="BD34" i="41"/>
  <c r="BD32" i="41"/>
  <c r="BD31" i="41"/>
  <c r="BD29" i="41"/>
  <c r="BD28" i="41"/>
  <c r="BD26" i="41"/>
  <c r="BD25" i="41"/>
  <c r="BD24" i="41"/>
  <c r="BD23" i="41"/>
  <c r="BD22" i="41"/>
  <c r="BD27" i="41"/>
  <c r="BD30" i="41"/>
  <c r="BD33" i="41"/>
  <c r="BD36" i="41"/>
  <c r="BD19" i="41"/>
  <c r="BD20" i="41"/>
  <c r="S3" i="41"/>
  <c r="S4" i="41"/>
  <c r="S6" i="41"/>
  <c r="S7" i="41"/>
  <c r="S10" i="41"/>
  <c r="S11" i="41"/>
  <c r="S13" i="41"/>
  <c r="Y13" i="41" s="1"/>
  <c r="AF13" i="41" s="1"/>
  <c r="S14" i="41"/>
  <c r="Y14" i="41" s="1"/>
  <c r="AF14" i="41" s="1"/>
  <c r="S16" i="41"/>
  <c r="S17" i="41"/>
  <c r="Q3" i="41"/>
  <c r="Q4" i="41"/>
  <c r="Q6" i="41"/>
  <c r="Q7" i="41"/>
  <c r="Q10" i="41"/>
  <c r="Q11" i="41"/>
  <c r="Q13" i="41"/>
  <c r="W13" i="41" s="1"/>
  <c r="AD13" i="41" s="1"/>
  <c r="Q14" i="41"/>
  <c r="W14" i="41" s="1"/>
  <c r="AD14" i="41" s="1"/>
  <c r="Q16" i="41"/>
  <c r="Q17" i="41"/>
  <c r="R13" i="41"/>
  <c r="X13" i="41" s="1"/>
  <c r="AE13" i="41" s="1"/>
  <c r="R16" i="41"/>
  <c r="BD16" i="41"/>
  <c r="R17" i="41"/>
  <c r="BD17" i="41"/>
  <c r="BD13" i="41"/>
  <c r="R14" i="41"/>
  <c r="X14" i="41" s="1"/>
  <c r="AE14" i="41" s="1"/>
  <c r="BD14" i="41"/>
  <c r="R10" i="41"/>
  <c r="BD10" i="41"/>
  <c r="R11" i="41"/>
  <c r="BD11" i="41"/>
  <c r="R6" i="41"/>
  <c r="BD6" i="41"/>
  <c r="R7" i="41"/>
  <c r="BD7" i="41"/>
  <c r="R3" i="41"/>
  <c r="BD3" i="41"/>
  <c r="R4" i="41"/>
  <c r="BD4" i="41"/>
  <c r="R33" i="41" l="1"/>
  <c r="AH33" i="41"/>
  <c r="AH24" i="41"/>
  <c r="R2" i="41"/>
  <c r="R5" i="41"/>
  <c r="R8" i="41"/>
  <c r="AC8" i="41" s="1"/>
  <c r="R9" i="41"/>
  <c r="AC9" i="41" s="1"/>
  <c r="R15" i="41"/>
  <c r="AH2" i="41"/>
  <c r="AH5" i="41"/>
  <c r="AH15" i="41"/>
  <c r="AH8" i="41"/>
  <c r="AH9" i="41"/>
  <c r="AH12" i="41"/>
  <c r="T16" i="41" l="1"/>
  <c r="AD16" i="41" s="1"/>
  <c r="AC15" i="41"/>
  <c r="X4" i="41"/>
  <c r="AE4" i="41" s="1"/>
  <c r="AC2" i="41"/>
  <c r="V35" i="41"/>
  <c r="AF35" i="41" s="1"/>
  <c r="U34" i="41"/>
  <c r="AE34" i="41" s="1"/>
  <c r="T35" i="41"/>
  <c r="AD35" i="41" s="1"/>
  <c r="V34" i="41"/>
  <c r="AF34" i="41" s="1"/>
  <c r="U35" i="41"/>
  <c r="AE35" i="41" s="1"/>
  <c r="T34" i="41"/>
  <c r="AD34" i="41" s="1"/>
  <c r="AC33" i="41"/>
  <c r="T7" i="41"/>
  <c r="AD7" i="41" s="1"/>
  <c r="AC5" i="41"/>
  <c r="Y3" i="41"/>
  <c r="AF3" i="41" s="1"/>
  <c r="V17" i="41"/>
  <c r="AF17" i="41" s="1"/>
  <c r="U16" i="41"/>
  <c r="AE16" i="41" s="1"/>
  <c r="X10" i="41"/>
  <c r="AE10" i="41" s="1"/>
  <c r="X3" i="41"/>
  <c r="AE3" i="41" s="1"/>
  <c r="Y4" i="41"/>
  <c r="AF4" i="41" s="1"/>
  <c r="V16" i="41"/>
  <c r="AF16" i="41" s="1"/>
  <c r="U7" i="41"/>
  <c r="AE7" i="41" s="1"/>
  <c r="V6" i="41"/>
  <c r="AF6" i="41" s="1"/>
  <c r="W4" i="41"/>
  <c r="AD4" i="41" s="1"/>
  <c r="U6" i="41"/>
  <c r="AE6" i="41" s="1"/>
  <c r="V7" i="41"/>
  <c r="AF7" i="41" s="1"/>
  <c r="T6" i="41"/>
  <c r="AD6" i="41" s="1"/>
  <c r="T17" i="41"/>
  <c r="AD17" i="41" s="1"/>
  <c r="W3" i="41"/>
  <c r="AD3" i="41" s="1"/>
  <c r="U17" i="41"/>
  <c r="AE17" i="41" s="1"/>
  <c r="BD21" i="41"/>
  <c r="BD18" i="41"/>
  <c r="AL12" i="41"/>
  <c r="AS6" i="46" l="1"/>
  <c r="AS5" i="46"/>
  <c r="AS4" i="46"/>
  <c r="AS2" i="46"/>
  <c r="AS3" i="46"/>
  <c r="T7" i="45" l="1"/>
  <c r="T6" i="45"/>
  <c r="I7" i="45"/>
  <c r="I6" i="45"/>
  <c r="M7" i="45"/>
  <c r="M6" i="45"/>
  <c r="AU6" i="45"/>
  <c r="AU7" i="45"/>
  <c r="AL7" i="45"/>
  <c r="AK7" i="45"/>
  <c r="AL6" i="45"/>
  <c r="AK6" i="45"/>
  <c r="M5" i="45"/>
  <c r="M4" i="45"/>
  <c r="I5" i="45"/>
  <c r="I4" i="45"/>
  <c r="T5" i="45"/>
  <c r="T4" i="45"/>
  <c r="S5" i="45"/>
  <c r="S4" i="45"/>
  <c r="AO5" i="45"/>
  <c r="AN5" i="45"/>
  <c r="AO4" i="45"/>
  <c r="AN4" i="45"/>
  <c r="W2" i="45"/>
  <c r="W3" i="45"/>
  <c r="W4" i="45"/>
  <c r="W5" i="45"/>
  <c r="W6" i="45"/>
  <c r="W7" i="45"/>
  <c r="AI2" i="45"/>
  <c r="AI3" i="45"/>
  <c r="Q2" i="45"/>
  <c r="Q3" i="45"/>
  <c r="Q4" i="45"/>
  <c r="Q5" i="45"/>
  <c r="AO3" i="45"/>
  <c r="AO2" i="45"/>
  <c r="AN2" i="45"/>
  <c r="AN3" i="45"/>
  <c r="AL2" i="45"/>
  <c r="AL3" i="45"/>
  <c r="AK2" i="45"/>
  <c r="AK3" i="45"/>
  <c r="N3" i="33" l="1"/>
  <c r="L3" i="33"/>
  <c r="L2" i="33"/>
  <c r="N2" i="33"/>
  <c r="J3" i="33"/>
  <c r="J2" i="33"/>
  <c r="BA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BC34" i="23" l="1"/>
  <c r="BC33" i="23"/>
  <c r="BC32" i="23"/>
  <c r="BC31" i="23"/>
  <c r="AU34" i="23"/>
  <c r="AU33" i="23"/>
  <c r="AU32" i="23"/>
  <c r="AU31" i="23"/>
  <c r="AY28" i="23"/>
  <c r="AY2" i="23"/>
  <c r="AY3" i="23"/>
  <c r="AY4" i="23"/>
  <c r="AY5" i="23"/>
  <c r="AY6" i="23"/>
  <c r="AY7" i="23"/>
  <c r="AY8" i="23"/>
  <c r="AY9" i="23"/>
  <c r="AX28" i="23"/>
  <c r="AA26" i="23"/>
  <c r="AC27" i="23"/>
  <c r="AI29" i="23"/>
  <c r="AE29" i="23"/>
  <c r="AZ23" i="23"/>
  <c r="AZ24" i="23"/>
  <c r="AZ25" i="23"/>
  <c r="AZ19" i="23"/>
  <c r="AZ20" i="23"/>
  <c r="AZ21" i="23"/>
  <c r="AZ15" i="23"/>
  <c r="AZ16" i="23"/>
  <c r="AZ17" i="23"/>
  <c r="AZ7" i="23"/>
  <c r="AZ8" i="23"/>
  <c r="AZ9" i="23"/>
  <c r="AZ3" i="23"/>
  <c r="AZ4" i="23"/>
  <c r="AZ5" i="23"/>
  <c r="AX3" i="23"/>
  <c r="AX4" i="23"/>
  <c r="AX5" i="23"/>
  <c r="AS23" i="23"/>
  <c r="AT23" i="23"/>
  <c r="AU23" i="23"/>
  <c r="BB23" i="23"/>
  <c r="AS24" i="23"/>
  <c r="AT24" i="23"/>
  <c r="AU24" i="23"/>
  <c r="BB24" i="23"/>
  <c r="AS25" i="23"/>
  <c r="AT25" i="23"/>
  <c r="AU25" i="23"/>
  <c r="BB25" i="23"/>
  <c r="AS19" i="23"/>
  <c r="AT19" i="23"/>
  <c r="AU19" i="23"/>
  <c r="BB19" i="23"/>
  <c r="AS20" i="23"/>
  <c r="AT20" i="23"/>
  <c r="AU20" i="23"/>
  <c r="BB20" i="23"/>
  <c r="AS21" i="23"/>
  <c r="AT21" i="23"/>
  <c r="AU21" i="23"/>
  <c r="BB21" i="23"/>
  <c r="AS15" i="23"/>
  <c r="AT15" i="23"/>
  <c r="AU15" i="23"/>
  <c r="BB15" i="23"/>
  <c r="AS16" i="23"/>
  <c r="AT16" i="23"/>
  <c r="AU16" i="23"/>
  <c r="BB16" i="23"/>
  <c r="AS17" i="23"/>
  <c r="AT17" i="23"/>
  <c r="AU17" i="23"/>
  <c r="BB17" i="23"/>
  <c r="AS11" i="23"/>
  <c r="AT11" i="23"/>
  <c r="AU11" i="23"/>
  <c r="BB11" i="23"/>
  <c r="AS12" i="23"/>
  <c r="AT12" i="23"/>
  <c r="AU12" i="23"/>
  <c r="BB12" i="23"/>
  <c r="AS13" i="23"/>
  <c r="AT13" i="23"/>
  <c r="AU13" i="23"/>
  <c r="BB13" i="23"/>
  <c r="AS7" i="23"/>
  <c r="AT7" i="23"/>
  <c r="AU7" i="23"/>
  <c r="BB7" i="23"/>
  <c r="AS8" i="23"/>
  <c r="AT8" i="23"/>
  <c r="AU8" i="23"/>
  <c r="BB8" i="23"/>
  <c r="AS9" i="23"/>
  <c r="AT9" i="23"/>
  <c r="AU9" i="23"/>
  <c r="BB9" i="23"/>
  <c r="AS3" i="23"/>
  <c r="AT3" i="23"/>
  <c r="AU3" i="23"/>
  <c r="BB3" i="23"/>
  <c r="AS4" i="23"/>
  <c r="AT4" i="23"/>
  <c r="AU4" i="23"/>
  <c r="BB4" i="23"/>
  <c r="AS5" i="23"/>
  <c r="AT5" i="23"/>
  <c r="AU5" i="23"/>
  <c r="BB5" i="23"/>
  <c r="AX2" i="23"/>
  <c r="AZ22" i="23"/>
  <c r="AZ18" i="23"/>
  <c r="AZ14" i="23"/>
  <c r="AZ2" i="23"/>
  <c r="AZ6" i="23"/>
  <c r="BB2" i="23"/>
  <c r="BB6" i="23"/>
  <c r="BB10" i="23"/>
  <c r="BB14" i="23"/>
  <c r="BB18" i="23"/>
  <c r="BB22" i="23"/>
  <c r="AU2" i="23"/>
  <c r="AU6" i="23"/>
  <c r="AU10" i="23"/>
  <c r="AU14" i="23"/>
  <c r="AU18" i="23"/>
  <c r="AU22" i="23"/>
  <c r="AT2" i="23"/>
  <c r="AT6" i="23"/>
  <c r="AT10" i="23"/>
  <c r="AT14" i="23"/>
  <c r="AT18" i="23"/>
  <c r="AT22" i="23"/>
  <c r="AS2" i="23"/>
  <c r="AS6" i="23"/>
  <c r="AS10" i="23"/>
  <c r="AS14" i="23"/>
  <c r="AS18" i="23"/>
  <c r="AS22" i="23"/>
  <c r="AO17" i="8"/>
  <c r="V10" i="23"/>
  <c r="V6" i="23"/>
  <c r="V22" i="23"/>
  <c r="G22" i="23"/>
  <c r="G10" i="23"/>
  <c r="G6" i="23"/>
  <c r="R8" i="4" l="1"/>
  <c r="R9" i="4"/>
  <c r="R10" i="4"/>
  <c r="M5" i="5"/>
  <c r="BH37" i="22" l="1"/>
  <c r="BH36" i="22"/>
  <c r="BH35" i="22"/>
  <c r="BH34" i="22"/>
  <c r="BH33" i="22"/>
  <c r="BH32" i="22"/>
  <c r="BH31" i="22"/>
  <c r="BH30" i="22"/>
  <c r="BH29" i="22"/>
  <c r="BH28" i="22"/>
  <c r="BH27" i="22"/>
  <c r="BH26" i="22"/>
  <c r="M25" i="22"/>
  <c r="M24" i="22"/>
  <c r="M23" i="22"/>
  <c r="M22" i="22"/>
  <c r="M21" i="22"/>
  <c r="M20" i="22"/>
  <c r="M19" i="22"/>
  <c r="M18" i="22"/>
  <c r="M13" i="22"/>
  <c r="M12" i="22"/>
  <c r="M11" i="22"/>
  <c r="M10" i="22"/>
  <c r="M6" i="22"/>
  <c r="M9" i="22" s="1"/>
  <c r="T10" i="22"/>
  <c r="G22" i="22"/>
  <c r="G18" i="22"/>
  <c r="G10" i="22"/>
  <c r="G6" i="22"/>
  <c r="AA10" i="22"/>
  <c r="AA22" i="22"/>
  <c r="AA6" i="22"/>
  <c r="BA25" i="22"/>
  <c r="BA24" i="22"/>
  <c r="BA23" i="22"/>
  <c r="BA22" i="22"/>
  <c r="BA21" i="22"/>
  <c r="BA20" i="22"/>
  <c r="BA19" i="22"/>
  <c r="BA18" i="22"/>
  <c r="BA17" i="22"/>
  <c r="BA16" i="22"/>
  <c r="BA15" i="22"/>
  <c r="BA14" i="22"/>
  <c r="BA13" i="22"/>
  <c r="BA12" i="22"/>
  <c r="BA11" i="22"/>
  <c r="BA10" i="22"/>
  <c r="BA9" i="22"/>
  <c r="BA8" i="22"/>
  <c r="BA7" i="22"/>
  <c r="BA6" i="22"/>
  <c r="BA5" i="22"/>
  <c r="BA4" i="22"/>
  <c r="BA3" i="22"/>
  <c r="AF25" i="22"/>
  <c r="AF24" i="22"/>
  <c r="AF23" i="22"/>
  <c r="AF22" i="22"/>
  <c r="AF21" i="22"/>
  <c r="AF20" i="22"/>
  <c r="AF19" i="22"/>
  <c r="AF18" i="22"/>
  <c r="AF13" i="22"/>
  <c r="AF12" i="22"/>
  <c r="AF11" i="22"/>
  <c r="AF10" i="22"/>
  <c r="AF9" i="22"/>
  <c r="AF8" i="22"/>
  <c r="AF7" i="22"/>
  <c r="AF6" i="22"/>
  <c r="AF5" i="22"/>
  <c r="AF4" i="22"/>
  <c r="AF3" i="22"/>
  <c r="AF2" i="22"/>
  <c r="BA61" i="22"/>
  <c r="BA34" i="22"/>
  <c r="BA30" i="22"/>
  <c r="BA26" i="22"/>
  <c r="Y35" i="22"/>
  <c r="AF35" i="22"/>
  <c r="Y36" i="22"/>
  <c r="AF36" i="22"/>
  <c r="Y37" i="22"/>
  <c r="AF37" i="22"/>
  <c r="Y31" i="22"/>
  <c r="Y32" i="22"/>
  <c r="Y33" i="22"/>
  <c r="Y27" i="22"/>
  <c r="Y28" i="22"/>
  <c r="Y29" i="22"/>
  <c r="BF2" i="22"/>
  <c r="BF3" i="22"/>
  <c r="BF4" i="22"/>
  <c r="BF5" i="22"/>
  <c r="BF6" i="22"/>
  <c r="BF7" i="22"/>
  <c r="BF8" i="22"/>
  <c r="BF9" i="22"/>
  <c r="BF10" i="22"/>
  <c r="BF11" i="22"/>
  <c r="BF12" i="22"/>
  <c r="BF13" i="22"/>
  <c r="BF14" i="22"/>
  <c r="BF15" i="22"/>
  <c r="BF16" i="22"/>
  <c r="BF17" i="22"/>
  <c r="BF18" i="22"/>
  <c r="BF19" i="22"/>
  <c r="BF20" i="22"/>
  <c r="BF21" i="22"/>
  <c r="BF22" i="22"/>
  <c r="BF23" i="22"/>
  <c r="BF24" i="22"/>
  <c r="BF25" i="22"/>
  <c r="BC25" i="22"/>
  <c r="BC24" i="22"/>
  <c r="BC23" i="22"/>
  <c r="BC21" i="22"/>
  <c r="BC20" i="22"/>
  <c r="BC19" i="22"/>
  <c r="BC17" i="22"/>
  <c r="BC16" i="22"/>
  <c r="BC15" i="22"/>
  <c r="BC13" i="22"/>
  <c r="BC12" i="22"/>
  <c r="BC11" i="22"/>
  <c r="BC9" i="22"/>
  <c r="BC8" i="22"/>
  <c r="BC7" i="22"/>
  <c r="BC5" i="22"/>
  <c r="BC4" i="22"/>
  <c r="BC3" i="22"/>
  <c r="BC22" i="22"/>
  <c r="BC18" i="22"/>
  <c r="BC14" i="22"/>
  <c r="BC10" i="22"/>
  <c r="BC6" i="22"/>
  <c r="BC2" i="22"/>
  <c r="M7" i="22" l="1"/>
  <c r="M8" i="22"/>
  <c r="N9" i="22"/>
  <c r="N8" i="22"/>
  <c r="N7" i="22"/>
  <c r="N25" i="22"/>
  <c r="N24" i="22"/>
  <c r="N23" i="22"/>
  <c r="N21" i="22"/>
  <c r="N20" i="22"/>
  <c r="N19" i="22"/>
  <c r="N17" i="22"/>
  <c r="N16" i="22"/>
  <c r="N15" i="22"/>
  <c r="AG60" i="22"/>
  <c r="BH57" i="22"/>
  <c r="BG57" i="22"/>
  <c r="BH56" i="22"/>
  <c r="BG56" i="22"/>
  <c r="BH55" i="22"/>
  <c r="BG55" i="22"/>
  <c r="BH54" i="22"/>
  <c r="BG54" i="22"/>
  <c r="BG47" i="22"/>
  <c r="BG48" i="22"/>
  <c r="BG49" i="22"/>
  <c r="Y45" i="22"/>
  <c r="Y44" i="22"/>
  <c r="Y43" i="22"/>
  <c r="Y42" i="22"/>
  <c r="AF45" i="22"/>
  <c r="AF44" i="22"/>
  <c r="AF43" i="22"/>
  <c r="AF42" i="22"/>
  <c r="BH49" i="22"/>
  <c r="BH48" i="22"/>
  <c r="BH47" i="22"/>
  <c r="BH45" i="22"/>
  <c r="BG45" i="22"/>
  <c r="BH44" i="22"/>
  <c r="BG44" i="22"/>
  <c r="BH43" i="22"/>
  <c r="BG43" i="22"/>
  <c r="BG40" i="22"/>
  <c r="BG39" i="22"/>
  <c r="BH39" i="22"/>
  <c r="BH40" i="22"/>
  <c r="Y39" i="22"/>
  <c r="Y40" i="22"/>
  <c r="Y41" i="22"/>
  <c r="AF39" i="22"/>
  <c r="AF40" i="22"/>
  <c r="AF41" i="22"/>
  <c r="K45" i="22"/>
  <c r="K44" i="22"/>
  <c r="K43" i="22"/>
  <c r="J45" i="22"/>
  <c r="J44" i="22"/>
  <c r="J43" i="22"/>
  <c r="U45" i="22"/>
  <c r="U44" i="22"/>
  <c r="U43" i="22"/>
  <c r="T45" i="22"/>
  <c r="T44" i="22"/>
  <c r="T43" i="22"/>
  <c r="R45" i="22"/>
  <c r="R44" i="22"/>
  <c r="R43" i="22"/>
  <c r="O45" i="22"/>
  <c r="O44" i="22"/>
  <c r="O43" i="22"/>
  <c r="U41" i="22"/>
  <c r="U40" i="22"/>
  <c r="U39" i="22"/>
  <c r="R41" i="22"/>
  <c r="R40" i="22"/>
  <c r="R39" i="22"/>
  <c r="O41" i="22"/>
  <c r="O40" i="22"/>
  <c r="O39" i="22"/>
  <c r="J41" i="22"/>
  <c r="J40" i="22"/>
  <c r="J39" i="22"/>
  <c r="BG41" i="22"/>
  <c r="BH41" i="22"/>
  <c r="AX45" i="16" l="1"/>
  <c r="AX44" i="16"/>
  <c r="AX43" i="16"/>
  <c r="AX42" i="16"/>
  <c r="AX41" i="16"/>
  <c r="AX40" i="16"/>
  <c r="AX39" i="16"/>
  <c r="AX38" i="16"/>
  <c r="AX37" i="16"/>
  <c r="AX36" i="16"/>
  <c r="AX35" i="16"/>
  <c r="AX34" i="16"/>
  <c r="AX29" i="16"/>
  <c r="AX28" i="16"/>
  <c r="AX27" i="16"/>
  <c r="AX26" i="16"/>
  <c r="AX25" i="16"/>
  <c r="AX24" i="16"/>
  <c r="AX23" i="16"/>
  <c r="AX22" i="16"/>
  <c r="AX21" i="16"/>
  <c r="AX20" i="16"/>
  <c r="AX19" i="16"/>
  <c r="AX18" i="16"/>
  <c r="AX89" i="16"/>
  <c r="AX88" i="16"/>
  <c r="AX87" i="16"/>
  <c r="AX86" i="16"/>
  <c r="AX85" i="16"/>
  <c r="AX84" i="16"/>
  <c r="AX83" i="16"/>
  <c r="AX82" i="16"/>
  <c r="AX65" i="16"/>
  <c r="AX64" i="16"/>
  <c r="AX63" i="16"/>
  <c r="AX62" i="16"/>
  <c r="AX61" i="16"/>
  <c r="AX60" i="16"/>
  <c r="AX59" i="16"/>
  <c r="AX58" i="16"/>
  <c r="AX49" i="16"/>
  <c r="AX48" i="16"/>
  <c r="AX47" i="16"/>
  <c r="AX46" i="16"/>
  <c r="AX73" i="16"/>
  <c r="AX72" i="16"/>
  <c r="AX71" i="16"/>
  <c r="AX70" i="16"/>
  <c r="AX69" i="16"/>
  <c r="AX68" i="16"/>
  <c r="AX67" i="16"/>
  <c r="AX66" i="16"/>
  <c r="AX57" i="16"/>
  <c r="AX56" i="16"/>
  <c r="AX55" i="16"/>
  <c r="AX54" i="16"/>
  <c r="AX53" i="16"/>
  <c r="AX52" i="16"/>
  <c r="AX51" i="16"/>
  <c r="AX50" i="16"/>
  <c r="AX113" i="16"/>
  <c r="AX112" i="16"/>
  <c r="AX111" i="16"/>
  <c r="AX110" i="16"/>
  <c r="AX97" i="16"/>
  <c r="AX96" i="16"/>
  <c r="AX95" i="16"/>
  <c r="AX94" i="16"/>
  <c r="AX93" i="16"/>
  <c r="AX92" i="16"/>
  <c r="AX91" i="16"/>
  <c r="AX90" i="16"/>
  <c r="AX33" i="16"/>
  <c r="AX32" i="16"/>
  <c r="AX31" i="16"/>
  <c r="AX30" i="16"/>
  <c r="AX17" i="16"/>
  <c r="AX16" i="16"/>
  <c r="AX15" i="16"/>
  <c r="AX14" i="16"/>
  <c r="AX13" i="16"/>
  <c r="AX12" i="16"/>
  <c r="AX11" i="16"/>
  <c r="AX10" i="16"/>
  <c r="AX9" i="16"/>
  <c r="AX8" i="16"/>
  <c r="AX7" i="16"/>
  <c r="AX6" i="16"/>
  <c r="AX5" i="16"/>
  <c r="AX4" i="16"/>
  <c r="AX3" i="16"/>
  <c r="AX2" i="16"/>
  <c r="BF121" i="16"/>
  <c r="BF120" i="16"/>
  <c r="BF119" i="16"/>
  <c r="BF118" i="16"/>
  <c r="BF117" i="16"/>
  <c r="BF116" i="16"/>
  <c r="BF115" i="16"/>
  <c r="BF114" i="16"/>
  <c r="BD114" i="16"/>
  <c r="BI114" i="16" s="1"/>
  <c r="BD121" i="16"/>
  <c r="BI121" i="16" s="1"/>
  <c r="BD120" i="16"/>
  <c r="BI120" i="16" s="1"/>
  <c r="BD119" i="16"/>
  <c r="BI119" i="16" s="1"/>
  <c r="BD118" i="16"/>
  <c r="BI118" i="16" s="1"/>
  <c r="BD117" i="16"/>
  <c r="BI117" i="16" s="1"/>
  <c r="BD116" i="16"/>
  <c r="BI116" i="16" s="1"/>
  <c r="BD115" i="16"/>
  <c r="BI115" i="16" s="1"/>
  <c r="BF109" i="16"/>
  <c r="BI109" i="16" s="1"/>
  <c r="BF108" i="16"/>
  <c r="BI108" i="16" s="1"/>
  <c r="BF107" i="16"/>
  <c r="BI107" i="16" s="1"/>
  <c r="BF106" i="16"/>
  <c r="BI106" i="16" s="1"/>
  <c r="BF105" i="16"/>
  <c r="BI105" i="16" s="1"/>
  <c r="BF104" i="16"/>
  <c r="BI104" i="16" s="1"/>
  <c r="BF103" i="16"/>
  <c r="BI103" i="16" s="1"/>
  <c r="BF102" i="16"/>
  <c r="BI102" i="16" s="1"/>
  <c r="BF101" i="16"/>
  <c r="BI101" i="16" s="1"/>
  <c r="BF100" i="16"/>
  <c r="BI100" i="16" s="1"/>
  <c r="BF99" i="16"/>
  <c r="BI99" i="16" s="1"/>
  <c r="BF98" i="16"/>
  <c r="BI98" i="16" s="1"/>
  <c r="BD109" i="16"/>
  <c r="BD108" i="16"/>
  <c r="BD107" i="16"/>
  <c r="BD106" i="16"/>
  <c r="BD105" i="16"/>
  <c r="BD104" i="16"/>
  <c r="BD103" i="16"/>
  <c r="BD102" i="16"/>
  <c r="BD101" i="16"/>
  <c r="BD100" i="16"/>
  <c r="BD99" i="16"/>
  <c r="BD98" i="16"/>
  <c r="BF45" i="16"/>
  <c r="BF44" i="16"/>
  <c r="BF43" i="16"/>
  <c r="BF42" i="16"/>
  <c r="BF41" i="16"/>
  <c r="BF40" i="16"/>
  <c r="BF39" i="16"/>
  <c r="BF38" i="16"/>
  <c r="BF37" i="16"/>
  <c r="BF36" i="16"/>
  <c r="BF35" i="16"/>
  <c r="BF34" i="16"/>
  <c r="BF29" i="16"/>
  <c r="BF28" i="16"/>
  <c r="BF27" i="16"/>
  <c r="BF26" i="16"/>
  <c r="BF25" i="16"/>
  <c r="BF24" i="16"/>
  <c r="BF23" i="16"/>
  <c r="BF22" i="16"/>
  <c r="BF21" i="16"/>
  <c r="BF20" i="16"/>
  <c r="BF19" i="16"/>
  <c r="BF18" i="16"/>
  <c r="BD45" i="16"/>
  <c r="BI45" i="16" s="1"/>
  <c r="BD44" i="16"/>
  <c r="BI44" i="16" s="1"/>
  <c r="BD43" i="16"/>
  <c r="BI43" i="16" s="1"/>
  <c r="BD42" i="16"/>
  <c r="BI42" i="16" s="1"/>
  <c r="BD41" i="16"/>
  <c r="BI41" i="16" s="1"/>
  <c r="BD40" i="16"/>
  <c r="BI40" i="16" s="1"/>
  <c r="BD39" i="16"/>
  <c r="BI39" i="16" s="1"/>
  <c r="BD38" i="16"/>
  <c r="BI38" i="16" s="1"/>
  <c r="BD37" i="16"/>
  <c r="BI37" i="16" s="1"/>
  <c r="BD36" i="16"/>
  <c r="BI36" i="16" s="1"/>
  <c r="BD35" i="16"/>
  <c r="BI35" i="16" s="1"/>
  <c r="BD34" i="16"/>
  <c r="BI34" i="16" s="1"/>
  <c r="BD29" i="16"/>
  <c r="BI29" i="16" s="1"/>
  <c r="BD28" i="16"/>
  <c r="BI28" i="16" s="1"/>
  <c r="BD27" i="16"/>
  <c r="BI27" i="16" s="1"/>
  <c r="BD26" i="16"/>
  <c r="BI26" i="16" s="1"/>
  <c r="BD25" i="16"/>
  <c r="BI25" i="16" s="1"/>
  <c r="BD24" i="16"/>
  <c r="BI24" i="16" s="1"/>
  <c r="BD23" i="16"/>
  <c r="BI23" i="16" s="1"/>
  <c r="BD22" i="16"/>
  <c r="BI22" i="16" s="1"/>
  <c r="BD21" i="16"/>
  <c r="BI21" i="16" s="1"/>
  <c r="BD20" i="16"/>
  <c r="BI20" i="16" s="1"/>
  <c r="BD19" i="16"/>
  <c r="BI19" i="16" s="1"/>
  <c r="BD18" i="16"/>
  <c r="BI18" i="16" s="1"/>
  <c r="BF89" i="16"/>
  <c r="BF88" i="16"/>
  <c r="BF87" i="16"/>
  <c r="BF86" i="16"/>
  <c r="BF85" i="16"/>
  <c r="BF84" i="16"/>
  <c r="BF83" i="16"/>
  <c r="BF82" i="16"/>
  <c r="BF65" i="16"/>
  <c r="BF64" i="16"/>
  <c r="BF63" i="16"/>
  <c r="BF62" i="16"/>
  <c r="BF61" i="16"/>
  <c r="BF60" i="16"/>
  <c r="BF59" i="16"/>
  <c r="BF58" i="16"/>
  <c r="BD89" i="16"/>
  <c r="BH89" i="16" s="1"/>
  <c r="BD88" i="16"/>
  <c r="BH88" i="16" s="1"/>
  <c r="BD87" i="16"/>
  <c r="BH87" i="16" s="1"/>
  <c r="BD86" i="16"/>
  <c r="BH86" i="16" s="1"/>
  <c r="BD85" i="16"/>
  <c r="BH85" i="16" s="1"/>
  <c r="BD84" i="16"/>
  <c r="BH84" i="16" s="1"/>
  <c r="BD83" i="16"/>
  <c r="BH83" i="16" s="1"/>
  <c r="BD82" i="16"/>
  <c r="BH82" i="16" s="1"/>
  <c r="BD65" i="16"/>
  <c r="BH65" i="16" s="1"/>
  <c r="BD64" i="16"/>
  <c r="BH64" i="16" s="1"/>
  <c r="BD63" i="16"/>
  <c r="BH63" i="16" s="1"/>
  <c r="BD62" i="16"/>
  <c r="BH62" i="16" s="1"/>
  <c r="BD61" i="16"/>
  <c r="BH61" i="16" s="1"/>
  <c r="BD60" i="16"/>
  <c r="BH60" i="16" s="1"/>
  <c r="BD59" i="16"/>
  <c r="BH59" i="16" s="1"/>
  <c r="BD58" i="16"/>
  <c r="BH58" i="16" s="1"/>
  <c r="BF73" i="16"/>
  <c r="BF72" i="16"/>
  <c r="BF71" i="16"/>
  <c r="BF70" i="16"/>
  <c r="BF69" i="16"/>
  <c r="BF68" i="16"/>
  <c r="BF67" i="16"/>
  <c r="BF66" i="16"/>
  <c r="BF57" i="16"/>
  <c r="BF56" i="16"/>
  <c r="BF55" i="16"/>
  <c r="BF54" i="16"/>
  <c r="BF53" i="16"/>
  <c r="BF52" i="16"/>
  <c r="BF51" i="16"/>
  <c r="BF50" i="16"/>
  <c r="BD73" i="16"/>
  <c r="BI73" i="16" s="1"/>
  <c r="BD72" i="16"/>
  <c r="BI72" i="16" s="1"/>
  <c r="BD71" i="16"/>
  <c r="BI71" i="16" s="1"/>
  <c r="BD70" i="16"/>
  <c r="BI70" i="16" s="1"/>
  <c r="BD69" i="16"/>
  <c r="BI69" i="16" s="1"/>
  <c r="BD68" i="16"/>
  <c r="BI68" i="16" s="1"/>
  <c r="BD67" i="16"/>
  <c r="BI67" i="16" s="1"/>
  <c r="BD66" i="16"/>
  <c r="BI66" i="16" s="1"/>
  <c r="BD57" i="16"/>
  <c r="BI57" i="16" s="1"/>
  <c r="BD56" i="16"/>
  <c r="BI56" i="16" s="1"/>
  <c r="BD55" i="16"/>
  <c r="BI55" i="16" s="1"/>
  <c r="BD54" i="16"/>
  <c r="BI54" i="16" s="1"/>
  <c r="BD53" i="16"/>
  <c r="BI53" i="16" s="1"/>
  <c r="BD52" i="16"/>
  <c r="BI52" i="16" s="1"/>
  <c r="BD51" i="16"/>
  <c r="BI51" i="16" s="1"/>
  <c r="BD50" i="16"/>
  <c r="BI50" i="16" s="1"/>
  <c r="BD113" i="16"/>
  <c r="BI113" i="16" s="1"/>
  <c r="BD112" i="16"/>
  <c r="BI112" i="16" s="1"/>
  <c r="BD111" i="16"/>
  <c r="BI111" i="16" s="1"/>
  <c r="BD110" i="16"/>
  <c r="BI110" i="16" s="1"/>
  <c r="BD97" i="16"/>
  <c r="BI97" i="16" s="1"/>
  <c r="BD96" i="16"/>
  <c r="BI96" i="16" s="1"/>
  <c r="BD95" i="16"/>
  <c r="BI95" i="16" s="1"/>
  <c r="BD94" i="16"/>
  <c r="BI94" i="16" s="1"/>
  <c r="BD93" i="16"/>
  <c r="BI93" i="16" s="1"/>
  <c r="BD92" i="16"/>
  <c r="BI92" i="16" s="1"/>
  <c r="BD91" i="16"/>
  <c r="BI91" i="16" s="1"/>
  <c r="BD90" i="16"/>
  <c r="BI90" i="16" s="1"/>
  <c r="BF113" i="16"/>
  <c r="BF112" i="16"/>
  <c r="BF111" i="16"/>
  <c r="BF110" i="16"/>
  <c r="BF97" i="16"/>
  <c r="BF96" i="16"/>
  <c r="BF95" i="16"/>
  <c r="BF94" i="16"/>
  <c r="BF93" i="16"/>
  <c r="BF92" i="16"/>
  <c r="BF91" i="16"/>
  <c r="BF90" i="16"/>
  <c r="E18" i="38" l="1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Z53" i="16"/>
  <c r="AA53" i="16" s="1"/>
  <c r="Z52" i="16"/>
  <c r="AA52" i="16" s="1"/>
  <c r="Z51" i="16"/>
  <c r="AA51" i="16" s="1"/>
  <c r="Z50" i="16"/>
  <c r="Z49" i="16"/>
  <c r="AA49" i="16" s="1"/>
  <c r="Z48" i="16"/>
  <c r="AA48" i="16" s="1"/>
  <c r="Z47" i="16"/>
  <c r="AA47" i="16" s="1"/>
  <c r="Z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R34" i="20" l="1"/>
  <c r="AO34" i="20"/>
  <c r="AL34" i="20"/>
  <c r="P34" i="20"/>
  <c r="P33" i="20"/>
  <c r="P32" i="20"/>
  <c r="AR31" i="20"/>
  <c r="AO31" i="20"/>
  <c r="AL31" i="20"/>
  <c r="P29" i="20"/>
  <c r="P30" i="20"/>
  <c r="P31" i="20"/>
  <c r="AR28" i="20"/>
  <c r="AO28" i="20"/>
  <c r="AL28" i="20"/>
  <c r="P28" i="20"/>
  <c r="P27" i="20"/>
  <c r="P26" i="20"/>
  <c r="AR25" i="20"/>
  <c r="AO25" i="20"/>
  <c r="AL25" i="20"/>
  <c r="P25" i="20"/>
  <c r="P24" i="20"/>
  <c r="P23" i="20"/>
  <c r="AR22" i="20"/>
  <c r="P2" i="20"/>
  <c r="AG2" i="20"/>
  <c r="P3" i="20"/>
  <c r="AG3" i="20"/>
  <c r="AJ3" i="20"/>
  <c r="AK3" i="20"/>
  <c r="AM3" i="20"/>
  <c r="AN3" i="20"/>
  <c r="AO3" i="20"/>
  <c r="AP3" i="20"/>
  <c r="AQ3" i="20"/>
  <c r="P4" i="20"/>
  <c r="AG4" i="20"/>
  <c r="P5" i="20"/>
  <c r="AG5" i="20"/>
  <c r="P6" i="20"/>
  <c r="AG6" i="20"/>
  <c r="AJ6" i="20"/>
  <c r="AK6" i="20"/>
  <c r="AM6" i="20"/>
  <c r="AN6" i="20"/>
  <c r="AO6" i="20"/>
  <c r="AP6" i="20"/>
  <c r="AQ6" i="20"/>
  <c r="P7" i="20"/>
  <c r="AG7" i="20"/>
  <c r="P8" i="20"/>
  <c r="AG8" i="20"/>
  <c r="P9" i="20"/>
  <c r="AG9" i="20"/>
  <c r="AJ9" i="20"/>
  <c r="AK9" i="20"/>
  <c r="AM9" i="20"/>
  <c r="AN9" i="20"/>
  <c r="AO9" i="20"/>
  <c r="AP9" i="20"/>
  <c r="AQ9" i="20"/>
  <c r="P10" i="20"/>
  <c r="AG10" i="20"/>
  <c r="P11" i="20"/>
  <c r="AG11" i="20"/>
  <c r="P12" i="20"/>
  <c r="AG12" i="20"/>
  <c r="AJ12" i="20"/>
  <c r="AK12" i="20"/>
  <c r="AM12" i="20"/>
  <c r="AN12" i="20"/>
  <c r="AO12" i="20"/>
  <c r="AP12" i="20"/>
  <c r="AQ12" i="20"/>
  <c r="P13" i="20"/>
  <c r="AG13" i="20"/>
  <c r="P14" i="20"/>
  <c r="AG14" i="20"/>
  <c r="P15" i="20"/>
  <c r="AG15" i="20"/>
  <c r="AJ15" i="20"/>
  <c r="AK15" i="20"/>
  <c r="AM15" i="20"/>
  <c r="AN15" i="20"/>
  <c r="AO15" i="20"/>
  <c r="AP15" i="20"/>
  <c r="AQ15" i="20"/>
  <c r="P16" i="20"/>
  <c r="AG16" i="20"/>
  <c r="P17" i="20"/>
  <c r="AG17" i="20"/>
  <c r="P18" i="20"/>
  <c r="AG18" i="20"/>
  <c r="AJ18" i="20"/>
  <c r="AK18" i="20"/>
  <c r="AM18" i="20"/>
  <c r="AN18" i="20"/>
  <c r="AO18" i="20"/>
  <c r="AP18" i="20"/>
  <c r="P19" i="20"/>
  <c r="AG19" i="20"/>
  <c r="P20" i="20"/>
  <c r="P21" i="20"/>
  <c r="P22" i="20"/>
  <c r="AL22" i="20"/>
  <c r="AO22" i="20"/>
  <c r="AQ18" i="20"/>
  <c r="AR6" i="20" l="1"/>
  <c r="AR9" i="20"/>
  <c r="AR12" i="20"/>
  <c r="AR18" i="20"/>
  <c r="AR3" i="20"/>
  <c r="AR15" i="20"/>
  <c r="BD2" i="19"/>
  <c r="AW2" i="19"/>
  <c r="BC2" i="19"/>
  <c r="BB2" i="19"/>
  <c r="AV2" i="19"/>
  <c r="AU2" i="19"/>
  <c r="AZ2" i="19"/>
  <c r="AT2" i="19"/>
  <c r="AG2" i="19"/>
  <c r="AF2" i="19"/>
  <c r="AD2" i="19"/>
  <c r="BD6" i="19" l="1"/>
  <c r="AW6" i="19"/>
  <c r="BC6" i="19"/>
  <c r="BB6" i="19"/>
  <c r="AV6" i="19"/>
  <c r="AU6" i="19"/>
  <c r="AX6" i="19"/>
  <c r="AT6" i="19"/>
  <c r="AE6" i="19"/>
  <c r="AD6" i="19"/>
  <c r="BC5" i="19"/>
  <c r="BD5" i="19"/>
  <c r="AW5" i="19"/>
  <c r="AV5" i="19"/>
  <c r="AU5" i="19"/>
  <c r="BB5" i="19"/>
  <c r="AV4" i="19"/>
  <c r="AD5" i="19"/>
  <c r="BD3" i="19" l="1"/>
  <c r="BC4" i="19"/>
  <c r="BC3" i="19"/>
  <c r="AW3" i="19"/>
  <c r="BB3" i="19"/>
  <c r="BB4" i="19"/>
  <c r="AV3" i="19"/>
  <c r="AU3" i="19"/>
  <c r="AX3" i="19"/>
  <c r="AD3" i="19"/>
  <c r="T3" i="19"/>
  <c r="S3" i="19" s="1"/>
  <c r="AW4" i="19"/>
  <c r="BF49" i="16" l="1"/>
  <c r="BF48" i="16"/>
  <c r="BF47" i="16"/>
  <c r="BF46" i="16"/>
  <c r="X7" i="16"/>
  <c r="X8" i="16"/>
  <c r="X9" i="16"/>
  <c r="V7" i="16"/>
  <c r="V8" i="16"/>
  <c r="V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Z92" i="16"/>
  <c r="AA92" i="16" s="1"/>
  <c r="Z93" i="16"/>
  <c r="AA93" i="16" s="1"/>
  <c r="Z91" i="16" l="1"/>
  <c r="AA91" i="16" s="1"/>
  <c r="Z113" i="16"/>
  <c r="AA113" i="16" s="1"/>
  <c r="Z112" i="16"/>
  <c r="AA112" i="16" s="1"/>
  <c r="Z111" i="16"/>
  <c r="AA111" i="16" s="1"/>
  <c r="Z74" i="16"/>
  <c r="AA74" i="16" s="1"/>
  <c r="Z73" i="16"/>
  <c r="AA73" i="16" s="1"/>
  <c r="Z72" i="16"/>
  <c r="AA72" i="16" s="1"/>
  <c r="Z71" i="16"/>
  <c r="AA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Z86" i="16"/>
  <c r="AA86" i="16" s="1"/>
  <c r="Z82" i="16"/>
  <c r="AA82" i="16" s="1"/>
  <c r="Z78" i="16"/>
  <c r="AA78" i="16" s="1"/>
  <c r="X6" i="16"/>
  <c r="V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Z66" i="16" l="1"/>
  <c r="AA66" i="16" s="1"/>
  <c r="Z62" i="16"/>
  <c r="AA62" i="16" s="1"/>
  <c r="Z58" i="16"/>
  <c r="AA58" i="16" s="1"/>
  <c r="Z54" i="16"/>
  <c r="AA54" i="16" s="1"/>
  <c r="AE7" i="27"/>
  <c r="W11" i="27"/>
  <c r="X11" i="27"/>
  <c r="X10" i="27"/>
  <c r="W10" i="27"/>
  <c r="AI6" i="32"/>
  <c r="Z4" i="15" l="1"/>
  <c r="V7" i="15"/>
  <c r="AS25" i="8" l="1"/>
  <c r="AS24" i="8"/>
  <c r="AS17" i="8"/>
  <c r="AS16" i="8"/>
  <c r="AT25" i="8"/>
  <c r="AT24" i="8"/>
  <c r="AT17" i="8"/>
  <c r="AT16" i="8"/>
  <c r="AQ22" i="14" l="1"/>
  <c r="AQ21" i="14"/>
  <c r="BE19" i="14"/>
  <c r="BE18" i="14"/>
  <c r="AQ16" i="14"/>
  <c r="AQ15" i="14"/>
  <c r="AQ13" i="14"/>
  <c r="AQ12" i="14"/>
  <c r="AQ10" i="14"/>
  <c r="AQ9" i="14"/>
  <c r="AQ7" i="14"/>
  <c r="AO7" i="14"/>
  <c r="AQ6" i="14"/>
  <c r="AO6" i="14"/>
  <c r="AO4" i="14"/>
  <c r="AG4" i="14"/>
  <c r="AF4" i="14" s="1"/>
  <c r="AO3" i="14"/>
  <c r="AG3" i="14"/>
  <c r="AF3" i="14" s="1"/>
  <c r="AG36" i="14"/>
  <c r="AF36" i="14" s="1"/>
  <c r="AG37" i="14"/>
  <c r="AF37" i="14" s="1"/>
  <c r="AS4" i="13"/>
  <c r="AS5" i="13"/>
  <c r="AS6" i="13"/>
  <c r="AS7" i="13"/>
  <c r="AS8" i="13"/>
  <c r="AS9" i="13"/>
  <c r="AS10" i="13"/>
  <c r="AS11" i="13"/>
  <c r="AS3" i="13"/>
  <c r="AN11" i="13"/>
  <c r="AR11" i="13"/>
  <c r="AN7" i="13"/>
  <c r="AO7" i="13"/>
  <c r="AP7" i="13"/>
  <c r="AN5" i="13"/>
  <c r="AR5" i="13"/>
  <c r="AO3" i="13"/>
  <c r="AR3" i="13" s="1"/>
  <c r="AP3" i="13"/>
  <c r="AL9" i="13"/>
  <c r="AM9" i="13"/>
  <c r="AL3" i="13"/>
  <c r="AM3" i="13"/>
  <c r="AR45" i="8"/>
  <c r="AR43" i="8"/>
  <c r="AR41" i="8"/>
  <c r="AR39" i="8"/>
  <c r="AR37" i="8"/>
  <c r="AR35" i="8"/>
  <c r="V31" i="8"/>
  <c r="M31" i="8"/>
  <c r="AG35" i="14"/>
  <c r="AF35" i="14" s="1"/>
  <c r="AG38" i="14"/>
  <c r="AG39" i="14"/>
  <c r="AG40" i="14"/>
  <c r="BE17" i="14"/>
  <c r="BF17" i="14" s="1"/>
  <c r="AQ8" i="14"/>
  <c r="AG2" i="14"/>
  <c r="AF2" i="14" s="1"/>
  <c r="AO79" i="14"/>
  <c r="AQ79" i="14"/>
  <c r="AO78" i="14"/>
  <c r="AQ78" i="14"/>
  <c r="AO75" i="14"/>
  <c r="AQ75" i="14"/>
  <c r="AO76" i="14"/>
  <c r="AQ76" i="14"/>
  <c r="AO72" i="14"/>
  <c r="AQ72" i="14"/>
  <c r="AO73" i="14"/>
  <c r="AQ73" i="14"/>
  <c r="AO69" i="14"/>
  <c r="AQ69" i="14"/>
  <c r="AO70" i="14"/>
  <c r="AQ70" i="14"/>
  <c r="AO66" i="14"/>
  <c r="AQ66" i="14"/>
  <c r="AO67" i="14"/>
  <c r="AQ67" i="14"/>
  <c r="AO63" i="14"/>
  <c r="AQ63" i="14"/>
  <c r="AO64" i="14"/>
  <c r="AQ64" i="14"/>
  <c r="AO60" i="14"/>
  <c r="AQ60" i="14"/>
  <c r="AO61" i="14"/>
  <c r="AQ61" i="14"/>
  <c r="AO57" i="14"/>
  <c r="AQ57" i="14"/>
  <c r="AO58" i="14"/>
  <c r="AQ58" i="14"/>
  <c r="AO54" i="14"/>
  <c r="AQ54" i="14"/>
  <c r="AO55" i="14"/>
  <c r="AQ55" i="14"/>
  <c r="AO56" i="14"/>
  <c r="AO59" i="14"/>
  <c r="AO62" i="14"/>
  <c r="AO65" i="14"/>
  <c r="AO68" i="14"/>
  <c r="AO71" i="14"/>
  <c r="AO74" i="14"/>
  <c r="AO77" i="14"/>
  <c r="AQ56" i="14"/>
  <c r="AQ59" i="14"/>
  <c r="AQ62" i="14"/>
  <c r="AQ65" i="14"/>
  <c r="AQ68" i="14"/>
  <c r="AQ71" i="14"/>
  <c r="AQ74" i="14"/>
  <c r="AQ77" i="14"/>
  <c r="AO53" i="14"/>
  <c r="AQ53" i="14"/>
  <c r="AO52" i="14"/>
  <c r="AQ52" i="14"/>
  <c r="AO51" i="14"/>
  <c r="AQ51" i="14"/>
  <c r="AO48" i="14"/>
  <c r="AQ48" i="14"/>
  <c r="AO49" i="14"/>
  <c r="AQ49" i="14"/>
  <c r="AO45" i="14"/>
  <c r="AQ45" i="14"/>
  <c r="AO46" i="14"/>
  <c r="AQ46" i="14"/>
  <c r="AO42" i="14"/>
  <c r="AQ42" i="14"/>
  <c r="AO43" i="14"/>
  <c r="AQ43" i="14"/>
  <c r="AO39" i="14"/>
  <c r="AQ39" i="14"/>
  <c r="AO40" i="14"/>
  <c r="AQ40" i="14"/>
  <c r="AO36" i="14"/>
  <c r="AQ36" i="14"/>
  <c r="AO37" i="14"/>
  <c r="AQ37" i="14"/>
  <c r="AO33" i="14"/>
  <c r="AQ33" i="14"/>
  <c r="AO34" i="14"/>
  <c r="AQ34" i="14"/>
  <c r="AO30" i="14"/>
  <c r="AQ30" i="14"/>
  <c r="AO31" i="14"/>
  <c r="AQ31" i="14"/>
  <c r="AO27" i="14"/>
  <c r="AQ27" i="14"/>
  <c r="AO28" i="14"/>
  <c r="AQ28" i="14"/>
  <c r="AO24" i="14"/>
  <c r="AQ24" i="14"/>
  <c r="AO25" i="14"/>
  <c r="AQ25" i="14"/>
  <c r="AO23" i="14"/>
  <c r="AO26" i="14"/>
  <c r="AO29" i="14"/>
  <c r="AO32" i="14"/>
  <c r="AO35" i="14"/>
  <c r="AO38" i="14"/>
  <c r="AO41" i="14"/>
  <c r="AO44" i="14"/>
  <c r="AO47" i="14"/>
  <c r="AO50" i="14"/>
  <c r="AQ23" i="14"/>
  <c r="AQ26" i="14"/>
  <c r="AQ29" i="14"/>
  <c r="AQ32" i="14"/>
  <c r="AQ35" i="14"/>
  <c r="AQ38" i="14"/>
  <c r="AQ41" i="14"/>
  <c r="AQ44" i="14"/>
  <c r="AQ47" i="14"/>
  <c r="AQ50" i="14"/>
  <c r="AQ14" i="14"/>
  <c r="AQ11" i="14"/>
  <c r="AQ5" i="14"/>
  <c r="AQ20" i="14"/>
  <c r="AO5" i="14"/>
  <c r="AO2" i="14"/>
  <c r="AF39" i="14" l="1"/>
  <c r="AI39" i="14"/>
  <c r="AF38" i="14"/>
  <c r="AI38" i="14"/>
  <c r="AF40" i="14"/>
  <c r="AI40" i="14"/>
  <c r="AR7" i="13"/>
  <c r="AS2" i="13"/>
  <c r="AR10" i="13"/>
  <c r="AP2" i="13"/>
  <c r="AO2" i="13"/>
  <c r="AR2" i="13" s="1"/>
  <c r="AP6" i="13"/>
  <c r="AO6" i="13"/>
  <c r="AR4" i="13"/>
  <c r="AM8" i="13"/>
  <c r="AL8" i="13"/>
  <c r="AM2" i="13"/>
  <c r="AL2" i="13"/>
  <c r="AN4" i="13"/>
  <c r="AN6" i="13"/>
  <c r="AN10" i="13"/>
  <c r="K19" i="8"/>
  <c r="AR6" i="13" l="1"/>
  <c r="AN45" i="8"/>
  <c r="AM45" i="8"/>
  <c r="AN44" i="8"/>
  <c r="AM44" i="8"/>
  <c r="AO31" i="8"/>
  <c r="AO30" i="8"/>
  <c r="AO29" i="8"/>
  <c r="AO28" i="8"/>
  <c r="AO27" i="8"/>
  <c r="AO26" i="8"/>
  <c r="AO16" i="8"/>
  <c r="AM20" i="8"/>
  <c r="AO21" i="8"/>
  <c r="AO20" i="8"/>
  <c r="AN39" i="8"/>
  <c r="AM39" i="8"/>
  <c r="AN38" i="8"/>
  <c r="AM38" i="8"/>
  <c r="AN43" i="8"/>
  <c r="AM43" i="8"/>
  <c r="AN41" i="8"/>
  <c r="AM41" i="8"/>
  <c r="AN40" i="8"/>
  <c r="AM40" i="8"/>
  <c r="AN37" i="8"/>
  <c r="AM37" i="8"/>
  <c r="AN36" i="8"/>
  <c r="AM36" i="8"/>
  <c r="AN35" i="8"/>
  <c r="AM35" i="8"/>
  <c r="AM34" i="8"/>
  <c r="AN42" i="8"/>
  <c r="AM42" i="8"/>
  <c r="AN34" i="8"/>
  <c r="AN11" i="8"/>
  <c r="AN10" i="8"/>
  <c r="AN9" i="8"/>
  <c r="AM9" i="8"/>
  <c r="AN8" i="8"/>
  <c r="AM8" i="8"/>
  <c r="AN7" i="8"/>
  <c r="AM7" i="8"/>
  <c r="AN5" i="8"/>
  <c r="AM5" i="8"/>
  <c r="AN3" i="8"/>
  <c r="AN2" i="8"/>
  <c r="AN6" i="8"/>
  <c r="AM6" i="8"/>
  <c r="AN4" i="8"/>
  <c r="AM4" i="8"/>
  <c r="AM2" i="8"/>
  <c r="AO2" i="8"/>
  <c r="AR36" i="8"/>
  <c r="AR44" i="8"/>
  <c r="AR42" i="8"/>
  <c r="AR40" i="8"/>
  <c r="AR38" i="8"/>
  <c r="AR34" i="8"/>
  <c r="AR15" i="8"/>
  <c r="AR14" i="8"/>
  <c r="AR13" i="8"/>
  <c r="AR12" i="8"/>
  <c r="AR11" i="8"/>
  <c r="AR10" i="8"/>
  <c r="AR9" i="8"/>
  <c r="AR8" i="8"/>
  <c r="AR5" i="8"/>
  <c r="AR4" i="8"/>
  <c r="AR3" i="8"/>
  <c r="AR2" i="8"/>
  <c r="V30" i="8"/>
  <c r="M30" i="8"/>
  <c r="N30" i="8"/>
  <c r="D9" i="11"/>
  <c r="K18" i="8"/>
  <c r="C9" i="11"/>
  <c r="I18" i="8"/>
  <c r="AO5" i="8" l="1"/>
  <c r="AO4" i="8"/>
  <c r="AT5" i="8"/>
  <c r="AT4" i="8"/>
  <c r="AT23" i="8"/>
  <c r="AT22" i="8"/>
  <c r="AO23" i="8"/>
  <c r="AO22" i="8"/>
  <c r="AN21" i="8"/>
  <c r="AM21" i="8"/>
  <c r="AN20" i="8"/>
  <c r="AT21" i="8"/>
  <c r="AT20" i="8"/>
  <c r="AQ21" i="8"/>
  <c r="AQ20" i="8"/>
  <c r="AP21" i="8"/>
  <c r="AP20" i="8"/>
  <c r="AQ17" i="8"/>
  <c r="AP17" i="8"/>
  <c r="AQ16" i="8"/>
  <c r="AP16" i="8"/>
  <c r="AT15" i="8"/>
  <c r="AT14" i="8"/>
  <c r="AT13" i="8"/>
  <c r="AT12" i="8"/>
  <c r="AT11" i="8"/>
  <c r="AT10" i="8"/>
  <c r="AT9" i="8"/>
  <c r="AT8" i="8"/>
  <c r="AT2" i="8"/>
  <c r="AT3" i="8"/>
  <c r="AR25" i="8"/>
  <c r="AR24" i="8"/>
  <c r="AR19" i="8"/>
  <c r="AR18" i="8"/>
  <c r="AT18" i="8"/>
  <c r="AT19" i="8"/>
  <c r="AO19" i="8"/>
  <c r="AO18" i="8"/>
  <c r="AO15" i="8"/>
  <c r="AO14" i="8"/>
  <c r="AO13" i="8"/>
  <c r="AO12" i="8"/>
  <c r="AO11" i="8"/>
  <c r="AO10" i="8"/>
  <c r="AO9" i="8"/>
  <c r="AO8" i="8"/>
  <c r="AO3" i="8"/>
  <c r="AN25" i="8"/>
  <c r="AN24" i="8"/>
  <c r="AM25" i="8"/>
  <c r="AM24" i="8"/>
  <c r="W21" i="8"/>
  <c r="W20" i="8"/>
  <c r="N7" i="8"/>
  <c r="I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O5" i="4" s="1"/>
  <c r="Q4" i="4"/>
  <c r="P2" i="4"/>
  <c r="Q2" i="4" s="1"/>
  <c r="P8" i="4" l="1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G8" i="14" l="1"/>
  <c r="AF8" i="14" s="1"/>
  <c r="V8" i="44"/>
  <c r="V3" i="44"/>
  <c r="W3" i="44" s="1"/>
  <c r="V5" i="44"/>
  <c r="W5" i="44" s="1"/>
  <c r="V7" i="44"/>
  <c r="V4" i="44"/>
  <c r="W4" i="44" s="1"/>
  <c r="V6" i="44"/>
  <c r="W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R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X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Y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AA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V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R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S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AA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O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P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Q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R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S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AA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O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P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Q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R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S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AA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O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P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Q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O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O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O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G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G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G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V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V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V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V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O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P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Q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BE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V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O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P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Q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BE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V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O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P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Q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BE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V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Q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V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Q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V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Q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O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X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BF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U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BF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U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CI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U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U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tc={D79BB86F-53AA-415F-80F9-DFBDD4FA127B}</author>
    <author>tc={91A73B24-706F-4124-9A59-25BC3745AAC6}</author>
    <author>tc={6473B44D-1E40-4428-BEA2-CA326B22E35B}</author>
    <author>tc={BADCA036-E654-41B7-A169-9098F9ED4828}</author>
    <author>tc={CBB13608-78A9-4B5D-B614-1FB253F8FBA3}</author>
    <author>tc={7C5D5C86-F9E6-4D20-8372-7E1FB6411CFA}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D79BB86F-53AA-415F-80F9-DFBDD4FA127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K1" authorId="2" shapeId="0" xr:uid="{91A73B24-706F-4124-9A59-25BC3745AA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M1" authorId="3" shapeId="0" xr:uid="{6473B44D-1E40-4428-BEA2-CA326B22E35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N1" authorId="4" shapeId="0" xr:uid="{BADCA036-E654-41B7-A169-9098F9ED48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O1" authorId="5" shapeId="0" xr:uid="{CBB13608-78A9-4B5D-B614-1FB253F8FBA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P1" authorId="6" shapeId="0" xr:uid="{7C5D5C86-F9E6-4D20-8372-7E1FB6411CF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W1" authorId="7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8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9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10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11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12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13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14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15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6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7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8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9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20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21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22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23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24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25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6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7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8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9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30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31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tc={3343CC46-B642-4711-A37F-E30B4CDAEDE6}</author>
    <author>tc={20888235-6E85-4BB8-AC3B-827139F075CA}</author>
    <author>tc={6AC0FD0F-BD60-4635-9AFD-295774DE7423}</author>
  </authors>
  <commentList>
    <comment ref="X2" authorId="0" shapeId="0" xr:uid="{3343CC46-B642-4711-A37F-E30B4CDAED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Z2" authorId="1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2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S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S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V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O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M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P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Q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V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W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P1" authorId="0" shapeId="0" xr:uid="{00000000-0006-0000-09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Skalierung über StV-Änderung</t>
        </r>
      </text>
    </comment>
    <comment ref="AC1" authorId="0" shapeId="0" xr:uid="{00000000-0006-0000-09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im Text bezogen auf gesamtes Untersuchungsgebiet (EU!)</t>
        </r>
      </text>
    </comment>
    <comment ref="AG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V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X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R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P32" authorId="0" shapeId="0" xr:uid="{00000000-0006-0000-09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Zusammensetzung Stahlindustrie verändert</t>
        </r>
      </text>
    </comment>
    <comment ref="P33" authorId="0" shapeId="0" xr:uid="{00000000-0006-0000-09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Zusammensetzung Stahlindustrie verändert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X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Y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R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Z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X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Y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X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Y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X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Y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Y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Z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BI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Y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Y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Y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Z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AI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T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Z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I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Z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AI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BI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P91" authorId="0" shapeId="0" xr:uid="{00000000-0006-0000-09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P92" authorId="0" shapeId="0" xr:uid="{00000000-0006-0000-0900-00004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P93" authorId="0" shapeId="0" xr:uid="{00000000-0006-0000-0900-00004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Unplausibilität? Reduktion kompletter Leistungsbestand?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S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K98" authorId="0" shapeId="0" xr:uid="{00000000-0006-0000-0900-00004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O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T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T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T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T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Z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I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I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W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  <author>tc={8EE90534-19EF-4D64-A5D1-75257E336028}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J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N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  <comment ref="AQ1" authorId="3" shapeId="0" xr:uid="{8EE90534-19EF-4D64-A5D1-75257E3360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Z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X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Z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Y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Z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Z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I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I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C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I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I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I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N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H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U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BC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S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AN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O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I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M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AF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I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M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AF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AF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AU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AF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X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X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BE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Z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tc={7946B472-9AEB-4CB6-84A8-916FC12C1C14}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R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S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N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AC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AD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AB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AB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AA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AB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K12" authorId="9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vorgegebene Sperrzeit</t>
        </r>
      </text>
    </comment>
    <comment ref="A13" authorId="10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P1" authorId="0" shapeId="0" xr:uid="{00000000-0006-0000-1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E2" authorId="1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AO2" authorId="2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3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AE3" authorId="4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AO3" authorId="5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6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Z6" authorId="7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6" authorId="8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AI6" authorId="9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tc={A88D4CC7-0265-4DF6-A9D5-56F88B209A65}</author>
    <author>tc={936D7620-D151-41A2-B722-C76165853D05}</author>
    <author>tc={B98FE828-DC1A-408F-B562-43A7BA75AF48}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Z1" authorId="6" shapeId="0" xr:uid="{A88D4CC7-0265-4DF6-A9D5-56F88B209A6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AA1" authorId="7" shapeId="0" xr:uid="{936D7620-D151-41A2-B722-C76165853D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AB1" authorId="8" shapeId="0" xr:uid="{B98FE828-DC1A-408F-B562-43A7BA75AF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AI1" authorId="9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10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11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12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3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4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5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6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BD18" authorId="17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8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9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BD21" authorId="20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BD22" authorId="21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BD23" authorId="22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BD24" authorId="23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BD25" authorId="24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BD26" authorId="25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BD27" authorId="26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BD28" authorId="27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BD29" authorId="28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BD30" authorId="29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BD31" authorId="30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BD32" authorId="31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BD33" authorId="32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BD34" authorId="33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BD35" authorId="34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BD36" authorId="35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BD39" authorId="36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BD40" authorId="37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Y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Y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AF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AI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T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X2" authorId="6" shapeId="0" xr:uid="{9ECA1320-C489-4D4F-AB7D-5BF92560550E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bei nachholender Produktion</t>
        </r>
      </text>
    </comment>
    <comment ref="AZ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K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T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AI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T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X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Z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K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T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AF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T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X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Z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K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AI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T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K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O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AI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T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tc={48424C6E-DB7D-4E80-A6CE-54632708D2E4}</author>
    <author>tc={AD464845-2D6B-4D71-8364-17095566BF61}</author>
    <author>tc={B80B1BD7-A1C3-481D-8880-6BBA22317276}</author>
  </authors>
  <commentList>
    <comment ref="Q1" authorId="0" shapeId="0" xr:uid="{00000000-0006-0000-1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H4" authorId="1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J4" authorId="2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3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K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H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I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M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N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R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T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H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I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M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N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R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J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R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J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R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M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N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I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M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N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R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R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Z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AE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R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Z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AE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R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Z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E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R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Z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E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R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L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R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L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R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R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O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S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T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O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S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T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K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O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R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T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K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O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T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O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J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R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AB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O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P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T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AB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H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R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S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T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H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S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T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J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J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R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W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R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R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R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R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R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W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S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AN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AR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M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AQ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AA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AR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M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N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X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AF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N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AF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T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AF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AF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BB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N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BB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BB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BB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N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AF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N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AF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F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BB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BC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BA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BH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BA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BH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BA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BH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BA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BH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BA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BH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BA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BH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BA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BH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BA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BH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BA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BH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BA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BH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BA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BH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BA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BH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M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AF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AG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AH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O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P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U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AH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O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P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U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AH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O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P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O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U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O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P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F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AG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AH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N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O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P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U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N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O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P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M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O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U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N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O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P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O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T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U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N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O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P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M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O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M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T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U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M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T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U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M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T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U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M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T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O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P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O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P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O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P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O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P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Z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BA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Z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BA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Z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BA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Z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BA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I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tc={942DFEEA-40BE-4C49-8C97-D68218B77F73}</author>
    <author>tc={A4755949-C1AD-47B1-BAC0-A38D452F164C}</author>
    <author>tc={C1231DC0-6E35-41C4-9083-61CD6FA3574C}</author>
    <author>tc={2B203EE6-A954-4CF2-BC3B-825A44ABAF79}</author>
    <author>tc={A04BD5AB-8B3E-4CCE-9B87-50EDB93F87D4}</author>
    <author>tc={B5B5E688-B286-4E70-A488-8EB3E9D6F2C9}</author>
    <author>jkochems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H1" authorId="2" shapeId="0" xr:uid="{942DFEEA-40BE-4C49-8C97-D68218B77F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R1" authorId="3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T1" authorId="4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U1" authorId="5" shapeId="0" xr:uid="{2B203EE6-A954-4CF2-BC3B-825A44ABAF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V1" authorId="6" shapeId="0" xr:uid="{A04BD5AB-8B3E-4CCE-9B87-50EDB93F87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W1" authorId="7" shapeId="0" xr:uid="{B5B5E688-B286-4E70-A488-8EB3E9D6F2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AD1" authorId="8" shapeId="0" xr:uid="{B53BBA2B-FEDB-435D-9A52-F75649025418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M1" authorId="9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10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L3" authorId="11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Q3" authorId="12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R3" authorId="13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T3" authorId="14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Z3" authorId="15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6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P5" authorId="17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P6" authorId="18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9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P7" authorId="20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21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22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P8" authorId="23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24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R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R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R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R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R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P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R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R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R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R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R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R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R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R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R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P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R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R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R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R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R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R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R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R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R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R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R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R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R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R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R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R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R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R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tc={C0BAED97-AB2D-413D-AD6B-149E9186FC44}</author>
  </authors>
  <commentList>
    <comment ref="A34" authorId="0" shapeId="0" xr:uid="{C0BAED97-AB2D-413D-AD6B-149E9186FC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tc={491EB1E2-BDE1-4324-922D-DB218AFA07E8}</author>
  </authors>
  <commentList>
    <comment ref="B1" authorId="0" shapeId="0" xr:uid="{71F5162E-A185-4405-AC55-1222C05701A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33" authorId="1" shapeId="0" xr:uid="{491EB1E2-BDE1-4324-922D-DB218AFA07E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Waschmaschine, Spülmaschine, Trockner</t>
        </r>
      </text>
    </comment>
  </commentList>
</comments>
</file>

<file path=xl/sharedStrings.xml><?xml version="1.0" encoding="utf-8"?>
<sst xmlns="http://schemas.openxmlformats.org/spreadsheetml/2006/main" count="20425" uniqueCount="1207">
  <si>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</si>
  <si>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</si>
  <si>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</si>
  <si>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</si>
  <si>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</si>
  <si>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</si>
  <si>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</si>
  <si>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</si>
  <si>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</si>
  <si>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</si>
  <si>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</si>
  <si>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</si>
  <si>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</si>
  <si>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</si>
  <si>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</si>
  <si>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</si>
  <si>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</si>
  <si>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</si>
  <si>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</si>
  <si>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</si>
  <si>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</si>
  <si>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</si>
  <si>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</si>
  <si>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</si>
  <si>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</si>
  <si>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</si>
  <si>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</si>
  <si>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</si>
  <si>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</si>
  <si>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</si>
  <si>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</si>
  <si>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</si>
  <si>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</si>
  <si>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</si>
  <si>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</si>
  <si>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</si>
  <si>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</si>
  <si>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</si>
  <si>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</si>
  <si>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</si>
  <si>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</si>
  <si>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</si>
  <si>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</si>
  <si>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</si>
  <si>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</si>
  <si>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</si>
  <si>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</si>
  <si>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</si>
  <si>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</si>
  <si>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</si>
  <si>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</si>
  <si>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</si>
  <si>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</si>
  <si>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Lufzerlegung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</si>
  <si>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</si>
  <si>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</si>
  <si>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</si>
  <si>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</si>
  <si>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</si>
  <si>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</si>
  <si>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</si>
  <si>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</si>
  <si>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</si>
  <si>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</si>
  <si>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</si>
  <si>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</si>
  <si>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</si>
  <si>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</si>
  <si>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</si>
  <si>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</si>
  <si>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</si>
  <si>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</si>
  <si>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</si>
  <si>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</si>
  <si>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</si>
  <si>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</si>
  <si>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</si>
  <si>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</si>
  <si>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</si>
  <si>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</si>
  <si>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</si>
  <si>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</si>
  <si>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</si>
  <si>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</si>
  <si>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</si>
  <si>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</si>
  <si>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</si>
  <si>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</si>
  <si>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</si>
  <si>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</si>
  <si>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</si>
  <si>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</si>
  <si>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</si>
  <si>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</si>
  <si>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</si>
  <si>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</si>
  <si>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</si>
  <si>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</si>
  <si>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</si>
  <si>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</si>
  <si>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</si>
  <si>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</si>
  <si>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</si>
  <si>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</si>
  <si>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</si>
  <si>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</si>
  <si>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</si>
  <si>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</si>
  <si>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</si>
  <si>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</si>
  <si>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</si>
  <si>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</si>
  <si>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</si>
  <si>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</si>
  <si>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</si>
  <si>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</si>
  <si>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</si>
  <si>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</si>
  <si>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</si>
  <si>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</si>
  <si>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</si>
  <si>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</si>
  <si>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</si>
  <si>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</si>
  <si>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</si>
  <si>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</si>
  <si>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</si>
  <si>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</si>
  <si>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</si>
  <si>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</si>
  <si>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</si>
  <si>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</si>
  <si>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</si>
  <si>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</si>
  <si>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</si>
  <si>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</si>
  <si>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</si>
  <si>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</si>
  <si>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</si>
  <si>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</si>
  <si>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</si>
  <si>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</si>
  <si>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</si>
  <si>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</si>
  <si>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</si>
  <si>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</si>
  <si>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</si>
  <si>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</si>
  <si>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</si>
  <si>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</si>
  <si>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</si>
  <si>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</si>
  <si>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</si>
  <si>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</si>
  <si>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</si>
  <si>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</si>
  <si>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</si>
  <si>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</si>
  <si>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</si>
  <si>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</si>
  <si>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</si>
  <si>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</si>
  <si>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</si>
  <si>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</si>
  <si>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</si>
  <si>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</si>
  <si>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</si>
  <si>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</si>
  <si>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</si>
  <si>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</si>
  <si>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</si>
  <si>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</si>
  <si>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</si>
  <si>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</si>
  <si>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</si>
  <si>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</si>
  <si>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</si>
  <si>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</si>
  <si>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</si>
  <si>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</si>
  <si>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</si>
  <si>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</si>
  <si>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</si>
  <si>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</si>
  <si>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</si>
  <si>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</si>
  <si>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var. Kosten von €_2018/kW</t>
  </si>
  <si>
    <t>var. Kosten bis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</si>
  <si>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</si>
  <si>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</si>
  <si>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</si>
  <si>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</si>
  <si>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</si>
  <si>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</si>
  <si>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</si>
  <si>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</si>
  <si>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</si>
  <si>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</si>
  <si>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</si>
  <si>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</si>
  <si>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</si>
  <si>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</si>
  <si>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</si>
  <si>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</si>
  <si>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</si>
  <si>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</si>
  <si>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</si>
  <si>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</si>
  <si>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</si>
  <si>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</si>
  <si>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</si>
  <si>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</si>
  <si>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</si>
  <si>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</si>
  <si>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</si>
  <si>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</si>
  <si>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</si>
  <si>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</si>
  <si>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</si>
  <si>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</si>
  <si>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</si>
  <si>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</si>
  <si>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</si>
  <si>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</si>
  <si>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</si>
  <si>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</si>
  <si>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</si>
  <si>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</si>
  <si>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</si>
  <si>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</si>
  <si>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</si>
  <si>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</si>
  <si>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</si>
  <si>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</si>
  <si>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</si>
  <si>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</si>
  <si>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</si>
  <si>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</si>
  <si>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</si>
  <si>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</si>
  <si>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</si>
  <si>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</si>
  <si>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</si>
  <si>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</si>
  <si>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</si>
  <si>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</si>
  <si>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</si>
  <si>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</si>
  <si>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</si>
  <si>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</si>
  <si>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</si>
  <si>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</si>
  <si>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</si>
  <si>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</si>
  <si>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</si>
  <si>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</si>
  <si>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</si>
  <si>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</si>
  <si>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</si>
  <si>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</si>
  <si>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</si>
  <si>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</si>
  <si>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</si>
  <si>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</si>
  <si>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</si>
  <si>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</si>
  <si>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</si>
  <si>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</si>
  <si>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</si>
  <si>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</si>
  <si>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</si>
  <si>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</si>
  <si>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</si>
  <si>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</si>
  <si>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</si>
  <si>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</si>
  <si>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</si>
  <si>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</si>
  <si>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</si>
  <si>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</si>
  <si>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</si>
  <si>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</si>
  <si>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</si>
  <si>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</si>
  <si>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</si>
  <si>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</si>
  <si>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</si>
  <si>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</si>
  <si>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</si>
  <si>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</si>
  <si>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</si>
  <si>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</si>
  <si>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</si>
  <si>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</si>
  <si>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</si>
  <si>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</si>
  <si>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</si>
  <si>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</si>
  <si>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</si>
  <si>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</si>
  <si>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</si>
  <si>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</si>
  <si>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</si>
  <si>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</si>
  <si>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</si>
  <si>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</si>
  <si>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</si>
  <si>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</si>
  <si>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</si>
  <si>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</si>
  <si>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</si>
  <si>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</si>
  <si>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</si>
  <si>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</si>
  <si>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</si>
  <si>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</si>
  <si>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</si>
  <si>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</si>
  <si>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</si>
  <si>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</si>
  <si>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</si>
  <si>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</si>
  <si>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</si>
  <si>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</si>
  <si>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</si>
  <si>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</si>
  <si>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</si>
  <si>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</si>
  <si>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</si>
  <si>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</si>
  <si>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</si>
  <si>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</si>
  <si>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</si>
  <si>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</si>
  <si>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</si>
  <si>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</si>
  <si>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</si>
  <si>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</si>
  <si>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</si>
  <si>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</si>
  <si>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</si>
  <si>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</si>
  <si>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</si>
  <si>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</si>
  <si>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</si>
  <si>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</si>
  <si>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</si>
  <si>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</si>
  <si>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</si>
  <si>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</si>
  <si>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</si>
  <si>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</si>
  <si>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</si>
  <si>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</si>
  <si>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</si>
  <si>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</si>
  <si>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</si>
  <si>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</si>
  <si>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</si>
  <si>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</si>
  <si>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</si>
  <si>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</si>
  <si>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</si>
  <si>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</si>
  <si>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</si>
  <si>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</si>
  <si>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</si>
  <si>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</si>
  <si>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</si>
  <si>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</si>
  <si>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</si>
  <si>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</si>
  <si>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</si>
  <si>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</si>
  <si>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</si>
  <si>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</si>
  <si>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</si>
  <si>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</si>
  <si>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</si>
  <si>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</si>
  <si>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</si>
  <si>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</si>
  <si>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</si>
  <si>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</si>
  <si>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</si>
  <si>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</si>
  <si>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</si>
  <si>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</si>
  <si>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</si>
  <si>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</si>
  <si>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</si>
  <si>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</si>
  <si>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</si>
  <si>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</si>
  <si>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</si>
  <si>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</si>
  <si>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</si>
  <si>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</si>
  <si>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</si>
  <si>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</si>
  <si>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</si>
  <si>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</si>
  <si>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</si>
  <si>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</si>
  <si>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</si>
  <si>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</si>
  <si>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</si>
  <si>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</si>
  <si>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</si>
  <si>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</si>
  <si>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</si>
  <si>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</si>
  <si>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</si>
  <si>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</si>
  <si>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</si>
  <si>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</si>
  <si>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</si>
  <si>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</si>
  <si>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</si>
  <si>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</si>
  <si>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</si>
  <si>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</si>
  <si>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</si>
  <si>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</si>
  <si>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</si>
  <si>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</si>
  <si>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</si>
  <si>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</si>
  <si>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</si>
  <si>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</si>
  <si>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</si>
  <si>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</si>
  <si>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</si>
  <si>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</si>
  <si>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</si>
  <si>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</si>
  <si>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</si>
  <si>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</si>
  <si>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</si>
  <si>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</si>
  <si>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</si>
  <si>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</si>
  <si>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</si>
  <si>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</si>
  <si>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</si>
  <si>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</si>
  <si>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</si>
  <si>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</si>
  <si>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</si>
  <si>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</si>
  <si>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</si>
  <si>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</si>
  <si>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</si>
  <si>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</si>
  <si>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</si>
  <si>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</si>
  <si>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</si>
  <si>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</si>
  <si>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</si>
  <si>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</si>
  <si>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</si>
  <si>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</si>
  <si>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</si>
  <si>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</si>
  <si>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</si>
  <si>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</si>
  <si>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</si>
  <si>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</si>
  <si>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</si>
  <si>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</si>
  <si>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</si>
  <si>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</si>
  <si>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</si>
  <si>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</si>
  <si>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</si>
  <si>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</si>
  <si>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</si>
  <si>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</si>
  <si>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</si>
  <si>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</si>
  <si>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</si>
  <si>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</si>
  <si>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</si>
  <si>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</si>
  <si>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</si>
  <si>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</si>
  <si>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</si>
  <si>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</si>
  <si>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</si>
  <si>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</si>
  <si>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</si>
  <si>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</si>
  <si>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</si>
  <si>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</si>
  <si>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</si>
  <si>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</si>
  <si>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</si>
  <si>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</si>
  <si>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</si>
  <si>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</si>
  <si>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</si>
  <si>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</si>
  <si>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</si>
  <si>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</si>
  <si>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</si>
  <si>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</si>
  <si>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</si>
  <si>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</si>
  <si>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</si>
  <si>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</si>
  <si>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</si>
  <si>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</si>
  <si>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</si>
  <si>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</si>
  <si>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</si>
  <si>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</si>
  <si>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</si>
  <si>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</si>
  <si>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</si>
  <si>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</si>
  <si>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</si>
  <si>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</si>
  <si>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</si>
  <si>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</si>
  <si>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</si>
  <si>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</si>
  <si>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</si>
  <si>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</si>
  <si>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</si>
  <si>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</si>
  <si>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</si>
  <si>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</si>
  <si>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</si>
  <si>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</si>
  <si>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</si>
  <si>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</si>
  <si>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</si>
  <si>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</si>
  <si>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</si>
  <si>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</si>
  <si>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</si>
  <si>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</si>
  <si>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</si>
  <si>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</si>
  <si>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</si>
  <si>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</si>
  <si>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</si>
  <si>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</si>
  <si>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</si>
  <si>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</si>
  <si>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</si>
  <si>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</si>
  <si>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</si>
  <si>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</si>
  <si>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</si>
  <si>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</si>
  <si>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</si>
  <si>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</si>
  <si>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</si>
  <si>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</si>
  <si>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</si>
  <si>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</si>
  <si>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</si>
  <si>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</si>
  <si>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</si>
  <si>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</si>
  <si>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</si>
  <si>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</si>
  <si>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</si>
  <si>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</si>
  <si>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</si>
  <si>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</si>
  <si>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</si>
  <si>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</si>
  <si>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</si>
  <si>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</si>
  <si>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</si>
  <si>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</si>
  <si>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</si>
  <si>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</si>
  <si>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</si>
  <si>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</si>
  <si>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</si>
  <si>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</si>
  <si>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</si>
  <si>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</si>
  <si>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</si>
  <si>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</si>
  <si>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</si>
  <si>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</si>
  <si>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</si>
  <si>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</si>
  <si>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</si>
  <si>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</si>
  <si>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</si>
  <si>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</si>
  <si>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</si>
  <si>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</si>
  <si>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</si>
  <si>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</si>
  <si>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</si>
  <si>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</si>
  <si>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</si>
  <si>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</si>
  <si>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</si>
  <si>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</si>
  <si>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</si>
  <si>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</si>
  <si>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</si>
  <si>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</si>
  <si>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</si>
  <si>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</si>
  <si>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</si>
  <si>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</si>
  <si>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</si>
  <si>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</si>
  <si>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</si>
  <si>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</si>
  <si>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</si>
  <si>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</si>
  <si>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</si>
  <si>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</si>
  <si>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</si>
  <si>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</si>
  <si>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</si>
  <si>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</si>
  <si>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</si>
  <si>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</si>
  <si>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</si>
  <si>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</si>
  <si>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</si>
  <si>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</si>
  <si>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</si>
  <si>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</si>
  <si>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</si>
  <si>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</si>
  <si>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</si>
  <si>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</si>
  <si>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</si>
  <si>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</si>
  <si>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</si>
  <si>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</si>
  <si>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</si>
  <si>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</si>
  <si>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</si>
  <si>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</si>
  <si>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</si>
  <si>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</si>
  <si>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</si>
  <si>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</si>
  <si>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</si>
  <si>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</si>
  <si>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</si>
  <si>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</si>
  <si>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</si>
  <si>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</si>
  <si>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</si>
  <si>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</si>
  <si>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</si>
  <si>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</si>
  <si>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</si>
  <si>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</si>
  <si>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</si>
  <si>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</si>
  <si>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</si>
  <si>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</si>
  <si>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</si>
  <si>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</si>
  <si>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</si>
  <si>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</si>
  <si>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</si>
  <si>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</si>
  <si>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</si>
  <si>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</si>
  <si>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</si>
  <si>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</si>
  <si>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</si>
  <si>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</si>
  <si>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</si>
  <si>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</si>
  <si>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</si>
  <si>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</si>
  <si>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</si>
  <si>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</si>
  <si>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</si>
  <si>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</si>
  <si>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</si>
  <si>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</si>
  <si>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</si>
  <si>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</si>
  <si>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</si>
  <si>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</si>
  <si>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</si>
  <si>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</si>
  <si>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</si>
  <si>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</si>
  <si>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</si>
  <si>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</si>
  <si>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</si>
  <si>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</si>
  <si>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</si>
  <si>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</si>
  <si>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</si>
  <si>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</si>
  <si>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</si>
  <si>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</si>
  <si>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</si>
  <si>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</si>
  <si>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</si>
  <si>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</si>
  <si>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</si>
  <si>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</si>
  <si>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</si>
  <si>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</si>
  <si>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</si>
  <si>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</si>
  <si>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</si>
  <si>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</si>
  <si>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</si>
  <si>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</si>
  <si>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</si>
  <si>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</si>
  <si>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</si>
  <si>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</si>
  <si>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</si>
  <si>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</si>
  <si>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</si>
  <si>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</si>
  <si>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</si>
  <si>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</si>
  <si>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</si>
  <si>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</si>
  <si>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</si>
  <si>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</si>
  <si>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</si>
  <si>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</si>
  <si>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</si>
  <si>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</si>
  <si>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</si>
  <si>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</si>
  <si>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</si>
  <si>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</si>
  <si>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</si>
  <si>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</si>
  <si>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</si>
  <si>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</si>
  <si>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</si>
  <si>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</si>
  <si>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</si>
  <si>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</si>
  <si>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</si>
  <si>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</si>
  <si>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</si>
  <si>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</si>
  <si>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</si>
  <si>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</si>
  <si>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</si>
  <si>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</si>
  <si>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</si>
  <si>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</si>
  <si>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</si>
  <si>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</si>
  <si>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</si>
  <si>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</si>
  <si>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</si>
  <si>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</si>
  <si>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</si>
  <si>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</si>
  <si>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</si>
  <si>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</si>
  <si>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</si>
  <si>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</si>
  <si>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</si>
  <si>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</si>
  <si>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</si>
  <si>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</si>
  <si>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</si>
  <si>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</si>
  <si>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</si>
  <si>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</si>
  <si>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</si>
  <si>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</si>
  <si>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</si>
  <si>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</si>
  <si>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</si>
  <si>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</si>
  <si>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</si>
  <si>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</si>
  <si>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</si>
  <si>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</si>
  <si>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</si>
  <si>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</si>
  <si>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</si>
  <si>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</si>
  <si>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</si>
  <si>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</si>
  <si>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</si>
  <si>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</si>
  <si>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</si>
  <si>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</si>
  <si>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</si>
  <si>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</si>
  <si>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</si>
  <si>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</si>
  <si>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</si>
  <si>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</si>
  <si>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</si>
  <si>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</si>
  <si>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</si>
  <si>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</si>
  <si>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</si>
  <si>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</si>
  <si>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</si>
  <si>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</si>
  <si>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</si>
  <si>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</si>
  <si>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</si>
  <si>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</si>
  <si>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</si>
  <si>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</si>
  <si>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</si>
  <si>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</si>
  <si>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</si>
  <si>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</si>
  <si>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</si>
  <si>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</si>
  <si>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</si>
  <si>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</si>
  <si>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</si>
  <si>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</si>
  <si>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</si>
  <si>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</si>
  <si>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</si>
  <si>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</si>
  <si>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</si>
  <si>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</si>
  <si>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</si>
  <si>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</si>
  <si>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</si>
  <si>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</si>
  <si>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</si>
  <si>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</si>
  <si>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</si>
  <si>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</si>
  <si>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</si>
  <si>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</si>
  <si>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</si>
  <si>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</si>
  <si>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</si>
  <si>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</si>
  <si>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</si>
  <si>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</si>
  <si>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</si>
  <si>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</si>
  <si>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</si>
  <si>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</si>
  <si>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</si>
  <si>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</si>
  <si>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</si>
  <si>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</si>
  <si>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</si>
  <si>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</si>
  <si>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</si>
  <si>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</si>
  <si>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</si>
  <si>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</si>
  <si>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</si>
  <si>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</si>
  <si>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</si>
  <si>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</si>
  <si>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</si>
  <si>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</si>
  <si>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</si>
  <si>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</si>
  <si>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</si>
  <si>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wirtschaftliches Potenzial!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</si>
  <si>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</si>
  <si>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</si>
  <si>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</si>
  <si>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</si>
  <si>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</si>
  <si>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</si>
  <si>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</si>
  <si>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</si>
  <si>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</si>
  <si>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</si>
  <si>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</si>
  <si>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</si>
  <si>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</si>
  <si>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</si>
  <si>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</si>
  <si>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</si>
  <si>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</si>
  <si>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</si>
  <si>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</si>
  <si>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</si>
  <si>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</si>
  <si>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</si>
  <si>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</si>
  <si>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</si>
  <si>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</si>
  <si>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</si>
  <si>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</si>
  <si>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</si>
  <si>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</si>
  <si>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</si>
  <si>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</si>
  <si>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</si>
  <si>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</si>
  <si>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</si>
  <si>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</si>
  <si>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</si>
  <si>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</si>
  <si>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</si>
  <si>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</si>
  <si>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</si>
  <si>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</si>
  <si>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</si>
  <si>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</si>
  <si>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</si>
  <si>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</si>
  <si>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Aktivierungskosten [€_2018/kW]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</si>
  <si>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</si>
  <si>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</si>
  <si>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</si>
  <si>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</si>
  <si>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</si>
  <si>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</si>
  <si>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</si>
  <si>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</si>
  <si>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</si>
  <si>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</si>
  <si>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</si>
  <si>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</si>
  <si>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</si>
  <si>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</si>
  <si>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</si>
  <si>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</si>
  <si>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</si>
  <si>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</si>
  <si>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</si>
  <si>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</si>
  <si>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</si>
  <si>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</si>
  <si>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</si>
  <si>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</si>
  <si>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</si>
  <si>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</si>
  <si>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</si>
  <si>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</si>
  <si>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</si>
  <si>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</si>
  <si>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</si>
  <si>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</si>
  <si>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</si>
  <si>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</si>
  <si>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</si>
  <si>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</si>
  <si>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</si>
  <si>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</si>
  <si>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</si>
  <si>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</si>
  <si>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</si>
  <si>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</si>
  <si>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</si>
  <si>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</si>
  <si>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</si>
  <si>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</si>
  <si>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</si>
  <si>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</si>
  <si>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</si>
  <si>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</si>
  <si>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</si>
  <si>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</si>
  <si>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</si>
  <si>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</si>
  <si>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</si>
  <si>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</si>
  <si>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</si>
  <si>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</si>
  <si>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</si>
  <si>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</si>
  <si>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</si>
  <si>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</si>
  <si>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</si>
  <si>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</si>
  <si>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</si>
  <si>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</si>
  <si>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</si>
  <si>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</si>
  <si>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</si>
  <si>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</si>
  <si>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</si>
  <si>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</si>
  <si>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</si>
  <si>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</si>
  <si>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</si>
  <si>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</si>
  <si>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</si>
  <si>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</si>
  <si>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</si>
  <si>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</si>
  <si>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</si>
  <si>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</si>
  <si>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</si>
  <si>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</si>
  <si>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</si>
  <si>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</si>
  <si>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</si>
  <si>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</si>
  <si>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</si>
  <si>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</si>
  <si>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</si>
  <si>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</si>
  <si>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</si>
  <si>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</si>
  <si>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</si>
  <si>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</si>
  <si>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</si>
  <si>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</si>
  <si>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</si>
  <si>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</si>
  <si>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</si>
  <si>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</si>
  <si>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</si>
  <si>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</si>
  <si>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</si>
  <si>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</si>
  <si>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</si>
  <si>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</si>
  <si>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</si>
  <si>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</si>
  <si>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</si>
  <si>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</si>
  <si>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</si>
  <si>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</si>
  <si>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</si>
  <si>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</si>
  <si>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</si>
  <si>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gray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</si>
  <si>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</si>
  <si>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</si>
  <si>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</si>
  <si>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</si>
  <si>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</si>
  <si>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</si>
  <si>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</si>
  <si>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</si>
  <si>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skyblue</t>
  </si>
  <si>
    <t>lightskyblue</t>
  </si>
  <si>
    <t>paleturquoise</t>
  </si>
  <si>
    <t>blanchedalmond</t>
  </si>
  <si>
    <t>papayawhip</t>
  </si>
  <si>
    <t>moccasin</t>
  </si>
  <si>
    <t>navajowhite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</si>
  <si>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</si>
  <si>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</si>
  <si>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</si>
  <si>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</si>
  <si>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</si>
  <si>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</si>
  <si>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</si>
  <si>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</si>
  <si>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</si>
  <si>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</si>
  <si>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</si>
  <si>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</si>
  <si>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</si>
  <si>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</si>
  <si>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</si>
  <si>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</si>
  <si>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firebrick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</si>
  <si>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</si>
  <si>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</si>
  <si>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</si>
  <si>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</si>
  <si>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</si>
  <si>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</si>
  <si>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</si>
  <si>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</si>
  <si>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</si>
  <si>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</si>
  <si>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</si>
  <si>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</si>
  <si>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</si>
  <si>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dimgray</t>
  </si>
  <si>
    <t>burlywood</t>
  </si>
  <si>
    <t>rebeccapurple</t>
  </si>
  <si>
    <t>mechanische Energie (gesamt)</t>
  </si>
  <si>
    <t>lightcyan</t>
  </si>
  <si>
    <t>darkcyan</t>
  </si>
  <si>
    <t>aquamarine</t>
  </si>
  <si>
    <t>sienna</t>
  </si>
  <si>
    <t>yellow</t>
  </si>
  <si>
    <t>blue</t>
  </si>
  <si>
    <t>silver</t>
  </si>
  <si>
    <t>tomato</t>
  </si>
  <si>
    <t>mediumacquamarine</t>
  </si>
  <si>
    <t>olive</t>
  </si>
  <si>
    <t>coral</t>
  </si>
  <si>
    <t>crimson</t>
  </si>
  <si>
    <t>plaevioletred</t>
  </si>
  <si>
    <t>orange</t>
  </si>
  <si>
    <t>mediumvioletred</t>
  </si>
  <si>
    <t>wheat</t>
  </si>
  <si>
    <t>darkviolet</t>
  </si>
  <si>
    <t>red</t>
  </si>
  <si>
    <t>gainsboro</t>
  </si>
  <si>
    <t>slategrey</t>
  </si>
  <si>
    <t>turquoise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</si>
  <si>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</si>
  <si>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</si>
  <si>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</si>
  <si>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</si>
  <si>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</si>
  <si>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</si>
  <si>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</si>
  <si>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</si>
  <si>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</si>
  <si>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</si>
  <si>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</si>
  <si>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</si>
  <si>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</si>
  <si>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</si>
  <si>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</si>
  <si>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</si>
  <si>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</si>
  <si>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</si>
  <si>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</si>
  <si>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</si>
  <si>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</si>
  <si>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</si>
  <si>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</si>
  <si>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</si>
  <si>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</si>
  <si>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</si>
  <si>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</si>
  <si>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</si>
  <si>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</si>
  <si>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</si>
  <si>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</si>
  <si>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</si>
  <si>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</si>
  <si>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</si>
  <si>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</si>
  <si>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</si>
  <si>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</si>
  <si>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</si>
  <si>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</si>
  <si>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</si>
  <si>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</si>
  <si>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</si>
  <si>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</si>
  <si>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</si>
  <si>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</si>
  <si>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</si>
  <si>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</si>
  <si>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</si>
  <si>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</si>
  <si>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</si>
  <si>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</si>
  <si>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</si>
  <si>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</si>
  <si>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</si>
  <si>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</si>
  <si>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</si>
  <si>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</si>
  <si>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</si>
  <si>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</si>
  <si>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</si>
  <si>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</si>
  <si>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</si>
  <si>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</si>
  <si>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</si>
  <si>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</si>
  <si>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</si>
  <si>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</si>
  <si>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Schaltdauer pos. (h) Lastverzicht2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</si>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</sst>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0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9" fontId="12" fillId="0" borderId="0" xfId="1" applyFont="1"/>
    <xf numFmtId="0" fontId="12" fillId="0" borderId="0" xfId="0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9" fontId="13" fillId="0" borderId="0" xfId="1" applyNumberFormat="1" applyFont="1"/>
    <xf numFmtId="9" fontId="13" fillId="0" borderId="0" xfId="1" applyFont="1"/>
    <xf numFmtId="165" fontId="13" fillId="0" borderId="0" xfId="1" applyNumberFormat="1" applyFont="1"/>
    <xf numFmtId="0" fontId="13" fillId="0" borderId="0" xfId="0" applyNumberFormat="1" applyFont="1"/>
    <xf numFmtId="164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4" fillId="0" borderId="0" xfId="0" applyFont="1" applyFill="1"/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</cellXfs>
  <cellStyles count="2">
    <cellStyle name="Prozent" xfId="1" builtinId="5"/>
    <cellStyle name="Standard" xfId="0" builtinId="0"/>
  </cellStyles>
  <dxfs count="2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CP79" totalsRowShown="0" headerRowDxfId="2559" dataDxfId="2558" tableBorderDxfId="2557">
  <autoFilter ref="A1:CP79" xr:uid="{00000000-0009-0000-0100-00000A000000}"/>
  <tableColumns count="94">
    <tableColumn id="1" xr3:uid="{00000000-0010-0000-0600-000001000000}" name="Prozess" dataDxfId="2556"/>
    <tableColumn id="47" xr3:uid="{00000000-0010-0000-0600-00002F000000}" name="Sektorenzuordnung" dataDxfId="2555"/>
    <tableColumn id="2" xr3:uid="{00000000-0010-0000-0600-000002000000}" name="Jahr" dataDxfId="2554"/>
    <tableColumn id="52" xr3:uid="{00000000-0010-0000-0600-000034000000}" name="Lastverschiebung" dataDxfId="2553"/>
    <tableColumn id="53" xr3:uid="{00000000-0010-0000-0600-000035000000}" name="Lastverzicht" dataDxfId="2552"/>
    <tableColumn id="79" xr3:uid="{00000000-0010-0000-0600-00004F000000}" name="Lasterhöhung" dataDxfId="2551"/>
    <tableColumn id="72" xr3:uid="{B20C2450-827E-4E13-B508-1E5560999F24}" name="jährliche Produktion kt" dataDxfId="2550"/>
    <tableColumn id="80" xr3:uid="{DFD6CD8B-0CA5-4FCC-87E6-3CFB7ABB390A}" name="spez. StV kWh/t min" dataDxfId="2549"/>
    <tableColumn id="85" xr3:uid="{D2B50151-4C2D-452C-9AA6-50848499803C}" name="spez. StV kWh/t" dataDxfId="2548"/>
    <tableColumn id="82" xr3:uid="{F9CC59E2-4EA8-4A85-A748-2DECF5E1243F}" name="spez. StV kWh/t max" dataDxfId="2547"/>
    <tableColumn id="84" xr3:uid="{4EBA232D-7458-44C1-9938-CA0F8B9C2D25}" name="Stromverbrauch in TWh" dataDxfId="2546"/>
    <tableColumn id="70" xr3:uid="{00000000-0010-0000-0600-000046000000}" name="Potenzial pos. Lastabwurf MW aus Teillast" dataDxfId="2545"/>
    <tableColumn id="69" xr3:uid="{00000000-0010-0000-0600-000045000000}" name="Potenzial pos. Lastverschiebung MW" dataDxfId="2544"/>
    <tableColumn id="3" xr3:uid="{00000000-0010-0000-0600-000003000000}" name="Potenzial pos. min MW" dataDxfId="2543"/>
    <tableColumn id="75" xr3:uid="{00000000-0010-0000-0600-00004B000000}" name="Potenzial pos. Sommer MW" dataDxfId="2542"/>
    <tableColumn id="76" xr3:uid="{00000000-0010-0000-0600-00004C000000}" name="Potenzial pos. Winter MW" dataDxfId="2541"/>
    <tableColumn id="38" xr3:uid="{00000000-0010-0000-0600-000026000000}" name="Potenzial pos. MW Durchschnitt" dataDxfId="2540"/>
    <tableColumn id="71" xr3:uid="{00000000-0010-0000-0600-000047000000}" name="Potenzial pos. Literatur MW" dataDxfId="2539"/>
    <tableColumn id="5" xr3:uid="{00000000-0010-0000-0600-000005000000}" name="Potenzial pos. max MW Lastverzicht" dataDxfId="2538"/>
    <tableColumn id="88" xr3:uid="{0116290E-AD3D-4C10-9D75-C27257168336}" name="Potenzial pos. max MW bei Vollauslastung Lastverzicht" dataDxfId="2537"/>
    <tableColumn id="37" xr3:uid="{00000000-0010-0000-0600-000025000000}" name="ausgewiesenes Pot. pos. MW (falls abweichend)" dataDxfId="2536"/>
    <tableColumn id="73" xr3:uid="{00000000-0010-0000-0600-000049000000}" name="Potenzial neg. Lastverschiebung MW" dataDxfId="2535"/>
    <tableColumn id="50" xr3:uid="{00000000-0010-0000-0600-000032000000}" name="Potenzial neg. min MW" dataDxfId="2534"/>
    <tableColumn id="78" xr3:uid="{00000000-0010-0000-0600-00004E000000}" name="Potenzial neg. Sommer MW" dataDxfId="2533"/>
    <tableColumn id="77" xr3:uid="{00000000-0010-0000-0600-00004D000000}" name="Potenzial neg. Winter MW" dataDxfId="2532"/>
    <tableColumn id="41" xr3:uid="{00000000-0010-0000-0600-000029000000}" name="Potenzial neg. MW Durchschnitt" dataDxfId="2531"/>
    <tableColumn id="74" xr3:uid="{00000000-0010-0000-0600-00004A000000}" name="Potenzial neg. Literatur MW" dataDxfId="2530"/>
    <tableColumn id="6" xr3:uid="{00000000-0010-0000-0600-000006000000}" name="Potenzial neg. max MW" dataDxfId="2529"/>
    <tableColumn id="7" xr3:uid="{00000000-0010-0000-0600-000007000000}" name="Mindestleistung MW" dataDxfId="2528"/>
    <tableColumn id="8" xr3:uid="{00000000-0010-0000-0600-000008000000}" name="Mindestauslastung" dataDxfId="2527" dataCellStyle="Prozent"/>
    <tableColumn id="36" xr3:uid="{00000000-0010-0000-0600-000024000000}" name="flexibilisierbarer Anteil an Durchschnittslast" dataDxfId="2526" dataCellStyle="Prozent"/>
    <tableColumn id="86" xr3:uid="{51E77986-45AB-4F86-B8F7-3619215F5E7B}" name="Vollbenutzungsstunden h/a" dataDxfId="2525" dataCellStyle="Prozent"/>
    <tableColumn id="65" xr3:uid="{00000000-0010-0000-0600-000041000000}" name="Durchschnittsauslastung" dataDxfId="2524" dataCellStyle="Prozent"/>
    <tableColumn id="90" xr3:uid="{55ED8CB6-95BF-4607-9513-32CC667B409B}" name="Durchschnittsauslastung im Betriebszeitraum" dataDxfId="2523" dataCellStyle="Prozent"/>
    <tableColumn id="44" xr3:uid="{00000000-0010-0000-0600-00002C000000}" name="Durchschnittliche Leistung MW" dataDxfId="2522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9" xr3:uid="{00000000-0010-0000-0600-000009000000}" name="Maximalleistung MW" dataDxfId="2521">
      <calculatedColumnFormula>IF(Tabelle589711[[#This Row],[installierte Leistung MW]]&lt;&gt;"",Tabelle589711[[#This Row],[installierte Leistung MW]],"")</calculatedColumnFormula>
    </tableColumn>
    <tableColumn id="46" xr3:uid="{00000000-0010-0000-0600-00002E000000}" name="Maximalauslastung" dataDxfId="2520" dataCellStyle="Prozent"/>
    <tableColumn id="10" xr3:uid="{00000000-0010-0000-0600-00000A000000}" name="installierte Leistung MW" dataDxfId="2519"/>
    <tableColumn id="92" xr3:uid="{ED84D14C-0AAC-4396-98E3-612BB7B8063E}" name="installierte Leistung MW min" dataDxfId="2518"/>
    <tableColumn id="91" xr3:uid="{4CCEE92F-967B-4215-8454-3B960F4FA6FB}" name="installierte Leistung MW max" dataDxfId="2517"/>
    <tableColumn id="68" xr3:uid="{00000000-0010-0000-0600-000044000000}" name="Aktivierungsdauer min (h)" dataDxfId="2516">
      <calculatedColumnFormula>0.01/60</calculatedColumnFormula>
    </tableColumn>
    <tableColumn id="67" xr3:uid="{00000000-0010-0000-0600-000043000000}" name="Aktivierungsdauer max (h)" dataDxfId="2515"/>
    <tableColumn id="11" xr3:uid="{00000000-0010-0000-0600-00000B000000}" name="Aktivierungsdauer (h)" dataDxfId="2514">
      <calculatedColumnFormula>0.1/60</calculatedColumnFormula>
    </tableColumn>
    <tableColumn id="94" xr3:uid="{5BD248D6-711B-4031-BA4A-E0D79C9A3F85}" name="Schaltdauer pos. min (h) Lastverzicht" dataDxfId="2513"/>
    <tableColumn id="93" xr3:uid="{64C7741E-23F4-4D9C-87A3-A1DBBCC978A0}" name="Schaltdauer pos. max (h) Lastverzicht" dataDxfId="2512"/>
    <tableColumn id="61" xr3:uid="{00000000-0010-0000-0600-00003D000000}" name="Schaltdauer pos. min (h)" dataDxfId="2511"/>
    <tableColumn id="60" xr3:uid="{00000000-0010-0000-0600-00003C000000}" name="Schaltdauer pos. max (h)" dataDxfId="2510"/>
    <tableColumn id="12" xr3:uid="{00000000-0010-0000-0600-00000C000000}" name="Schaltdauer pos. (h)" dataDxfId="2509"/>
    <tableColumn id="63" xr3:uid="{00000000-0010-0000-0600-00003F000000}" name="Schaltdauer neg min (h)" dataDxfId="2508"/>
    <tableColumn id="62" xr3:uid="{00000000-0010-0000-0600-00003E000000}" name="Schaltdauer neg. max (h)" dataDxfId="2507"/>
    <tableColumn id="51" xr3:uid="{00000000-0010-0000-0600-000033000000}" name="Schaltdauer neg. (h)" dataDxfId="2506"/>
    <tableColumn id="42" xr3:uid="{00000000-0010-0000-0600-00002A000000}" name="Verschiebedauer min. (h)" dataDxfId="2505"/>
    <tableColumn id="4" xr3:uid="{00000000-0010-0000-0600-000004000000}" name="Verschiebedauer max (h)" dataDxfId="2504"/>
    <tableColumn id="13" xr3:uid="{00000000-0010-0000-0600-00000D000000}" name="Verschiebedauer (h)" dataDxfId="2503"/>
    <tableColumn id="14" xr3:uid="{00000000-0010-0000-0600-00000E000000}" name="Regenerationsdauer (h)" dataDxfId="2502"/>
    <tableColumn id="15" xr3:uid="{00000000-0010-0000-0600-00000F000000}" name="Zeitverfügbarkeit?" dataDxfId="2501"/>
    <tableColumn id="16" xr3:uid="{00000000-0010-0000-0600-000010000000}" name="max. Abrufhäufigkeit pro Woche" dataDxfId="2500"/>
    <tableColumn id="40" xr3:uid="{00000000-0010-0000-0600-000028000000}" name="max. Abrufhäufigkeit pro Jahr Lastverschiebung" dataDxfId="2499"/>
    <tableColumn id="89" xr3:uid="{181B7AEA-F0FD-4284-AA00-65D9D8BA6197}" name="max. Abrufhäufigkeit pro Jahr Lastverzicht" dataDxfId="2498">
      <calculatedColumnFormula>Tabelle589711[[#This Row],[max. Abrufhäufigkeit pro Jahr Lastverschiebung]]/3</calculatedColumnFormula>
    </tableColumn>
    <tableColumn id="57" xr3:uid="{00000000-0010-0000-0600-000039000000}" name="min. Investitionsausgaben €_2018/kW" dataDxfId="2497"/>
    <tableColumn id="56" xr3:uid="{00000000-0010-0000-0600-000038000000}" name="max. Investitionsausgaben €_2018/kW" dataDxfId="2496"/>
    <tableColumn id="17" xr3:uid="{00000000-0010-0000-0600-000011000000}" name="Investitionsausgaben €_2018/kW" dataDxfId="2495"/>
    <tableColumn id="59" xr3:uid="{00000000-0010-0000-0600-00003B000000}" name="var. Kosten min. €_2018/MWh" dataDxfId="2494"/>
    <tableColumn id="58" xr3:uid="{00000000-0010-0000-0600-00003A000000}" name="var. Kosten max. €_2018/MWh" dataDxfId="2493"/>
    <tableColumn id="18" xr3:uid="{00000000-0010-0000-0600-000012000000}" name="variable Kosten €_2018/MWh" dataDxfId="2492"/>
    <tableColumn id="64" xr3:uid="{00000000-0010-0000-0600-000040000000}" name="fixe Kosten min. €_2018/kW*a" dataDxfId="2491"/>
    <tableColumn id="19" xr3:uid="{00000000-0010-0000-0600-000013000000}" name="fixe Kosten €_2018/kW*a" dataDxfId="2490"/>
    <tableColumn id="48" xr3:uid="{00000000-0010-0000-0600-000030000000}" name="Investitionsausgaben je Anschlusspunkt (€_2018)" dataDxfId="2489"/>
    <tableColumn id="20" xr3:uid="{00000000-0010-0000-0600-000014000000}" name="Bemerkungen" dataDxfId="2488"/>
    <tableColumn id="55" xr3:uid="{00000000-0010-0000-0600-000037000000}" name="Fundstelle Lastverschiebung" dataDxfId="2487"/>
    <tableColumn id="54" xr3:uid="{00000000-0010-0000-0600-000036000000}" name="Fundstelle Lastverzicht" dataDxfId="2486"/>
    <tableColumn id="81" xr3:uid="{BFFF0E9D-5762-4501-9AED-3BE243495168}" name="Fundstelle Produktion" dataDxfId="2485"/>
    <tableColumn id="83" xr3:uid="{7C89B8C1-6B07-4858-BE2D-E0BB2B86EB93}" name="Fundstelle Stromverbrauch" dataDxfId="2484"/>
    <tableColumn id="21" xr3:uid="{00000000-0010-0000-0600-000015000000}" name="Fundstelle Potenzial pos." dataDxfId="2483"/>
    <tableColumn id="22" xr3:uid="{00000000-0010-0000-0600-000016000000}" name="Fundstelle Potenzial neg." dataDxfId="2482"/>
    <tableColumn id="23" xr3:uid="{00000000-0010-0000-0600-000017000000}" name="Fundstelle Mindestleistung" dataDxfId="2481"/>
    <tableColumn id="43" xr3:uid="{00000000-0010-0000-0600-00002B000000}" name="Fundstelle flexibilisierbarer Anteil" dataDxfId="2480"/>
    <tableColumn id="87" xr3:uid="{DBDEEC53-1C5F-4139-8131-941377563E46}" name="Fundstelle Vollbenutzungsstunden" dataDxfId="2479"/>
    <tableColumn id="66" xr3:uid="{00000000-0010-0000-0600-000042000000}" name="Fundstelle Durchschnittsauslastung" dataDxfId="2478"/>
    <tableColumn id="45" xr3:uid="{00000000-0010-0000-0600-00002D000000}" name="Fundstelle durchschnittliche Leistung" dataDxfId="2477"/>
    <tableColumn id="24" xr3:uid="{00000000-0010-0000-0600-000018000000}" name="Fundstelle Maximalleistung" dataDxfId="2476"/>
    <tableColumn id="25" xr3:uid="{00000000-0010-0000-0600-000019000000}" name="Fundstelle installierte Leistung" dataDxfId="2475"/>
    <tableColumn id="39" xr3:uid="{00000000-0010-0000-0600-000027000000}" name="Fundstelle Aktivierungsdauer" dataDxfId="2474"/>
    <tableColumn id="26" xr3:uid="{00000000-0010-0000-0600-00001A000000}" name="Fundstelle Schaltdauer" dataDxfId="2473"/>
    <tableColumn id="27" xr3:uid="{00000000-0010-0000-0600-00001B000000}" name="Fundstelle Verschiebedauer" dataDxfId="2472"/>
    <tableColumn id="28" xr3:uid="{00000000-0010-0000-0600-00001C000000}" name="Fundstelle Regenerationsdauer" dataDxfId="2471"/>
    <tableColumn id="29" xr3:uid="{00000000-0010-0000-0600-00001D000000}" name="Fundstelle Zeitverfügbarkeit" dataDxfId="2470"/>
    <tableColumn id="30" xr3:uid="{00000000-0010-0000-0600-00001E000000}" name="Fundstelle max. Abrufhäufigkeit" dataDxfId="2469"/>
    <tableColumn id="31" xr3:uid="{00000000-0010-0000-0600-00001F000000}" name="Fundstelle Invest" dataDxfId="2468"/>
    <tableColumn id="32" xr3:uid="{00000000-0010-0000-0600-000020000000}" name="Fundstelle var. Kosten" dataDxfId="2467"/>
    <tableColumn id="33" xr3:uid="{00000000-0010-0000-0600-000021000000}" name="Fundstelle fixe Kosten" dataDxfId="2466"/>
    <tableColumn id="49" xr3:uid="{00000000-0010-0000-0600-000031000000}" name="Fundstelle Investition je Anschlusspunkt" dataDxfId="2465"/>
    <tableColumn id="34" xr3:uid="{00000000-0010-0000-0600-000022000000}" name="Fundstelle Bemerkungen" dataDxfId="2464"/>
    <tableColumn id="35" xr3:uid="{00000000-0010-0000-0600-000023000000}" name="eigene Anmerkung" dataDxfId="246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CH26" totalsRowShown="0" headerRowDxfId="2462" dataDxfId="2461" tableBorderDxfId="2460">
  <autoFilter ref="A1:CH26" xr:uid="{D9595355-F35D-476F-88E0-DDF6666BAFEC}"/>
  <tableColumns count="86">
    <tableColumn id="1" xr3:uid="{1DB65BD7-C349-4313-8114-97CF50D2120B}" name="Prozess" dataDxfId="2459"/>
    <tableColumn id="47" xr3:uid="{C673D246-BEEC-4DBF-B6C8-0AEDAF4B0374}" name="Sektorenzuordnung" dataDxfId="2458"/>
    <tableColumn id="73" xr3:uid="{9900630D-917D-4E8C-87D8-DC913EEE5229}" name="Verfahren" dataDxfId="2457"/>
    <tableColumn id="2" xr3:uid="{391D2FEF-8D39-4945-B643-AA03A27D3450}" name="Jahr" dataDxfId="2456"/>
    <tableColumn id="52" xr3:uid="{9038B23F-3082-4414-9F6A-4F82BFFB7F37}" name="Lastverschiebung" dataDxfId="2455"/>
    <tableColumn id="53" xr3:uid="{44A744D5-52D4-40F8-81E1-AED7DF94401E}" name="Lastverzicht" dataDxfId="2454"/>
    <tableColumn id="71" xr3:uid="{FC8E7E95-DF08-4B31-934D-448233AC6B12}" name="Lasterhöhung" dataDxfId="2453"/>
    <tableColumn id="81" xr3:uid="{2D17C478-95F9-45CA-AEBE-F7440FD3EFAD}" name="jährliche Produktion kt" dataDxfId="2452"/>
    <tableColumn id="74" xr3:uid="{BE60CF16-0D28-46B4-92CF-624DC9FD6C89}" name="spez. StV kWh/t" dataDxfId="2451"/>
    <tableColumn id="83" xr3:uid="{207EA23E-EF17-4906-A72B-BAABC08705DA}" name="Stromverbrauch in TWh" dataDxfId="2450"/>
    <tableColumn id="3" xr3:uid="{30465E82-9625-4C88-8EC8-618E04A008EA}" name="Potenzial pos. min MW" dataDxfId="2449"/>
    <tableColumn id="38" xr3:uid="{99BFAC1E-CB21-4298-A073-DC5BDF422AE3}" name="Potenzial pos. MW Durchschnitt" dataDxfId="2448"/>
    <tableColumn id="5" xr3:uid="{2BA8AB08-85B1-4458-A61E-E291788A251D}" name="Potenzial pos. max MW" dataDxfId="2447"/>
    <tableColumn id="68" xr3:uid="{AB4035FB-1129-4A1B-BD1C-3387A8C675F6}" name="Potenzial pos. Winter MW" dataDxfId="2446"/>
    <tableColumn id="70" xr3:uid="{C771949A-F335-4269-B0D4-C2F944F6BB58}" name="Potenzial neg. Sommer MW" dataDxfId="2445"/>
    <tableColumn id="69" xr3:uid="{36E5C8DB-3F54-45D8-A041-6DE00E06EEA1}" name="Potenzial neg. Winter MW" dataDxfId="2444"/>
    <tableColumn id="37" xr3:uid="{42744CF1-DA3D-4953-8D92-8873C32F9714}" name="Pot. pos. MW errechnet" dataDxfId="2443"/>
    <tableColumn id="50" xr3:uid="{C197D857-42B2-425A-B48A-95B81A42912C}" name="Potenzial neg. min MW" dataDxfId="2442"/>
    <tableColumn id="41" xr3:uid="{DEEFBA07-1AC2-430C-B62E-15F45AE83FC9}" name="Potenzial neg. MW Durchschnitt" dataDxfId="2441"/>
    <tableColumn id="6" xr3:uid="{E831DC37-31C9-4735-83B8-E3E1E2AA872C}" name="Potenzial neg. max MW" dataDxfId="2440"/>
    <tableColumn id="7" xr3:uid="{93729FE6-F528-4F96-BC2B-1675904D01E1}" name="Mindestleistung MW" dataDxfId="2439"/>
    <tableColumn id="8" xr3:uid="{11A9589B-04EA-48C0-A86D-315BAFC4809E}" name="Mindestauslastung" dataDxfId="2438" dataCellStyle="Prozent"/>
    <tableColumn id="36" xr3:uid="{CFD732D3-9733-426B-9471-8512DCB99E68}" name="flexibilisierbarer Anteil" dataDxfId="2437" dataCellStyle="Prozent"/>
    <tableColumn id="67" xr3:uid="{932B8C62-5DCA-4AC0-A233-3C983C963F8F}" name="flexibilisierbarer Anteil an Durchschnittslast" dataDxfId="2436" dataCellStyle="Prozent"/>
    <tableColumn id="76" xr3:uid="{22EEFDBA-EC99-41A4-B74D-8872DDF7C0C4}" name="Vollbenutzungsstunden h/a" dataDxfId="2435" dataCellStyle="Prozent"/>
    <tableColumn id="65" xr3:uid="{1D6AEE37-F1FA-466E-8FD2-522E9E5E7317}" name="Durchschnittsauslastung" dataDxfId="2434" dataCellStyle="Prozent"/>
    <tableColumn id="44" xr3:uid="{482F66E0-32C8-4815-8053-D1D761FC8DA0}" name="Durchschnittliche Leistung MW" dataDxfId="2433" dataCellStyle="Prozent"/>
    <tableColumn id="9" xr3:uid="{44F3974A-AAD5-4595-95EB-BC8A969C0A76}" name="Maximalleistung MW" dataDxfId="2432"/>
    <tableColumn id="46" xr3:uid="{2757F9DD-9BB5-488E-B7C2-67A235F2A714}" name="Maximalauslastung" dataDxfId="2431" dataCellStyle="Prozent"/>
    <tableColumn id="10" xr3:uid="{437C09AE-AE72-4574-8FAD-27726E2C44CA}" name="installierte Leistung MW" dataDxfId="2430"/>
    <tableColumn id="11" xr3:uid="{14FE614F-0924-475C-8C46-ED3F140ED73B}" name="Aktivierungsdauer (h)" dataDxfId="2429"/>
    <tableColumn id="61" xr3:uid="{8BDFA817-8081-4510-B146-63602F07B678}" name="Schaltdauer pos. min (h)" dataDxfId="2428"/>
    <tableColumn id="60" xr3:uid="{F7FD3BD4-9DF4-44F1-9425-065969CC923F}" name="Schaltdauer pos. max (h)" dataDxfId="2427"/>
    <tableColumn id="12" xr3:uid="{7D284B89-E821-4F6E-8D96-39D034A118E2}" name="Schaltdauer pos. (h)" dataDxfId="2426"/>
    <tableColumn id="63" xr3:uid="{4EE27B66-A445-4822-8904-2CC6AFE954E0}" name="Schaltdauer neg min (h)" dataDxfId="2425"/>
    <tableColumn id="62" xr3:uid="{B6A0A9AB-F66D-4FC4-A26C-EB5161A16C56}" name="Schaltdauer neg. max (h)" dataDxfId="2424"/>
    <tableColumn id="51" xr3:uid="{B1EBA4BF-EF04-4AD5-8DAC-44991ADABAC0}" name="Schaltdauer neg. (h)" dataDxfId="2423"/>
    <tableColumn id="42" xr3:uid="{B0AE1147-D6EC-4D70-BA97-BDF6FF39D293}" name="Verschiebedauer min. (h)" dataDxfId="2422"/>
    <tableColumn id="75" xr3:uid="{54746B05-5114-4818-9A4F-40E0D20D0391}" name="Verschiebedauer max bei Vorankündigung (h)" dataDxfId="2421"/>
    <tableColumn id="4" xr3:uid="{F4DEB5FD-5A13-48A2-9CE7-E56C8E64C9C9}" name="Verschiebedauer max sofortig (h)" dataDxfId="2420"/>
    <tableColumn id="13" xr3:uid="{47F07E65-1D67-4B41-99F3-D80D15A583C2}" name="Verschiebedauer (h)" dataDxfId="2419"/>
    <tableColumn id="14" xr3:uid="{FA7E14F4-90D7-4995-A384-C5A36AE3C559}" name="Regenerationsdauer (h)" dataDxfId="2418"/>
    <tableColumn id="15" xr3:uid="{B0509062-078D-4808-8A03-EAAAA3549218}" name="Zeitverfügbarkeit?" dataDxfId="2417"/>
    <tableColumn id="16" xr3:uid="{7EB7012B-0CF1-44B3-A6D6-F57938E09179}" name="max. Abrufhäufigkeit pro Woche" dataDxfId="2416"/>
    <tableColumn id="40" xr3:uid="{FB0BBF58-F69C-4B76-A43F-A4770FB93DDF}" name="max. Abrufhäufigkeit pro Jahr" dataDxfId="2415"/>
    <tableColumn id="57" xr3:uid="{62497B06-8310-489C-83EF-6943578A11F9}" name="min. Investitionsausgaben €_2018/kW" dataDxfId="2414"/>
    <tableColumn id="56" xr3:uid="{93E9C5AF-060E-42C3-9748-6DC0169A2C3B}" name="max. Investitionsausgaben €_2018/kW" dataDxfId="2413"/>
    <tableColumn id="17" xr3:uid="{635B3892-B11B-4E16-B14A-40FAB7A9923F}" name="Investitionsausgaben €_2018/kW" dataDxfId="2412"/>
    <tableColumn id="59" xr3:uid="{5AFEAFEA-B18E-4AD9-A615-2BBB928AA53C}" name="var. Kosten min. €_2018/MWh" dataDxfId="2411"/>
    <tableColumn id="58" xr3:uid="{56B29DCE-3A39-449C-A215-996212E33722}" name="var. Kosten max. €_2018/MWh" dataDxfId="2410"/>
    <tableColumn id="18" xr3:uid="{33E0FFEE-C7CB-4E49-A6FE-CFE356973022}" name="variable Kosten €_2018/MWh" dataDxfId="2409"/>
    <tableColumn id="64" xr3:uid="{4FCC2680-148D-4803-84C2-BD90215585F4}" name="fixe Kosten min. €_2018/kW*a" dataDxfId="2408"/>
    <tableColumn id="72" xr3:uid="{C025F731-6DF8-4941-B531-2165CED04B7F}" name="fixe Kosten max. €_2018/kW*a" dataDxfId="2407"/>
    <tableColumn id="19" xr3:uid="{DC8988C2-E2F9-4212-93A2-F61E436D680C}" name="fixe Kosten €_2018/kW*a" dataDxfId="2406"/>
    <tableColumn id="48" xr3:uid="{AE992859-873C-4BA8-935F-8A64F4711496}" name="Investitionsausgaben je Anschlusspunkt (€_2018)" dataDxfId="2405"/>
    <tableColumn id="93" xr3:uid="{C6521E37-291E-41D6-95A2-E2434B57A65C}" name="Aktivierungskosten [€_2018/kW]" dataDxfId="2404"/>
    <tableColumn id="20" xr3:uid="{D354AAFB-CCCA-46BE-A63F-D9934766476B}" name="Bemerkungen" dataDxfId="2403"/>
    <tableColumn id="95" xr3:uid="{98383C52-807C-4D03-B9E1-2245605849CC}" name="Bemerkungen 2" dataDxfId="2402"/>
    <tableColumn id="55" xr3:uid="{736DBAE7-2A67-4282-84F1-12BE12545909}" name="Fundstelle Lastverschiebung" dataDxfId="2401"/>
    <tableColumn id="54" xr3:uid="{5A2D18D6-3C9B-45A5-9379-8768500DA6B6}" name="Fundstelle Lastverzicht" dataDxfId="2400"/>
    <tableColumn id="80" xr3:uid="{A284A8DE-B393-40D4-9438-542251485099}" name="Fundstelle Produktion" dataDxfId="2399"/>
    <tableColumn id="91" xr3:uid="{BAF946FF-22CD-49AA-B365-08B568ABE0BB}" name="Fundstelle Anzahl Anlagen" dataDxfId="2398"/>
    <tableColumn id="92" xr3:uid="{D43C56C8-E325-4BAF-BC6A-1B7BED456FBE}" name="Fundstelle Entwicklungsfaktor" dataDxfId="2397"/>
    <tableColumn id="79" xr3:uid="{6ED5E930-B960-4ABE-9067-89DDB3B0BCEF}" name="Fundstelle Stromverbrauch" dataDxfId="2396"/>
    <tableColumn id="78" xr3:uid="{960313FA-8583-48D8-BF9D-03DF10EDF07B}" name="Fundstelle Vollbenutzungsstunden" dataDxfId="2395"/>
    <tableColumn id="21" xr3:uid="{445A9FD7-7BE0-4B50-AC33-08DE90D5D14E}" name="Fundstelle Potenzial pos." dataDxfId="2394"/>
    <tableColumn id="22" xr3:uid="{58976710-F602-46D3-8955-E1529B4C0C99}" name="Fundstelle Potenzial neg." dataDxfId="2393"/>
    <tableColumn id="23" xr3:uid="{A7590934-54E4-4935-8CDC-66A1DACF2B92}" name="Fundstelle Mindestleistung" dataDxfId="2392"/>
    <tableColumn id="43" xr3:uid="{623C2C61-0156-40E5-A1A0-AC04BD25A9A3}" name="Fundstelle flexibilisierbarer Anteil" dataDxfId="2391"/>
    <tableColumn id="66" xr3:uid="{C3ACCA92-A837-4E0D-8080-972562785AF0}" name="Fundstelle Durchschnittsauslastung" dataDxfId="2390"/>
    <tableColumn id="45" xr3:uid="{9BC3DA70-FF3B-43A5-B3ED-79DD9F72EF4C}" name="Fundstelle durchschnittliche Leistung" dataDxfId="2389"/>
    <tableColumn id="24" xr3:uid="{4016346D-9789-470E-9135-2555A96FF94F}" name="Fundstelle Maximalleistung" dataDxfId="2388"/>
    <tableColumn id="25" xr3:uid="{ACEBFF38-D508-4C01-B4B3-F087FCA2A1ED}" name="Fundstelle installierte Leistung" dataDxfId="2387"/>
    <tableColumn id="39" xr3:uid="{56CBB419-7980-4C28-9683-5A07A83CC505}" name="Fundstelle Aktivierungsdauer" dataDxfId="2386"/>
    <tableColumn id="26" xr3:uid="{61C790F5-A3B0-48FE-9CCB-0DBD26510CD6}" name="Fundstelle Schaltdauer" dataDxfId="2385"/>
    <tableColumn id="27" xr3:uid="{2CC7CB04-D5F4-4B8C-A026-413DC67956B0}" name="Fundstelle Verschiebedauer" dataDxfId="2384"/>
    <tableColumn id="28" xr3:uid="{C4367393-243D-4600-9F41-0404F8BCE112}" name="Fundstelle Regenerationsdauer" dataDxfId="2383"/>
    <tableColumn id="29" xr3:uid="{0B10B9E8-F476-4081-A24D-124976CD0F3D}" name="Fundstelle Zeitverfügbarkeit" dataDxfId="2382"/>
    <tableColumn id="30" xr3:uid="{F6D253A0-3803-4979-85A9-6ABEB241CFFF}" name="Fundstelle max. Abrufhäufigkeit" dataDxfId="2381"/>
    <tableColumn id="31" xr3:uid="{951A3A48-C263-4545-863F-4D40DD5D7439}" name="Fundstelle Invest" dataDxfId="2380"/>
    <tableColumn id="32" xr3:uid="{DF7552C3-102B-4649-AFEC-EDD16CEB3219}" name="Fundstelle var. Kosten" dataDxfId="2379"/>
    <tableColumn id="33" xr3:uid="{EA11337C-8534-4986-8CFC-8009F8EE82E5}" name="Fundstelle fixe Kosten" dataDxfId="2378"/>
    <tableColumn id="49" xr3:uid="{26C5E71A-938B-4E08-9BA9-233AF71724CC}" name="Fundstelle Investition je Anschlusspunkt" dataDxfId="2377"/>
    <tableColumn id="94" xr3:uid="{CD015CA2-5DCE-49FE-AFB5-70CF78624EA0}" name="Fundstelle Aktivierungskosten" dataDxfId="2376"/>
    <tableColumn id="34" xr3:uid="{F43CF312-8B65-4542-B517-B09B8916C535}" name="Fundstelle Bemerkungen" dataDxfId="2375"/>
    <tableColumn id="35" xr3:uid="{3ADCAEC0-4A9F-4C6A-B782-7B9F32AF8B8E}" name="eigene Anmerkung" dataDxfId="2374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BT8" totalsRowShown="0" headerRowDxfId="2373" dataDxfId="2372" tableBorderDxfId="2371">
  <autoFilter ref="A1:BT8" xr:uid="{969830D3-1457-42BF-A753-56689B819B1C}"/>
  <tableColumns count="72">
    <tableColumn id="1" xr3:uid="{CA1E1AB6-62F6-470F-874C-55730E64F8A5}" name="Prozess" dataDxfId="2370"/>
    <tableColumn id="47" xr3:uid="{D548DFD0-6355-4B25-A3B6-02026427F3F7}" name="Sektorenzuordnung" dataDxfId="2369"/>
    <tableColumn id="2" xr3:uid="{5EDAA91A-A957-434E-8582-8F64AEBEA107}" name="Jahr" dataDxfId="2368"/>
    <tableColumn id="52" xr3:uid="{769C3597-9632-484A-8EA2-1E78DB2C8428}" name="Lastverschiebung" dataDxfId="2367"/>
    <tableColumn id="53" xr3:uid="{8776FB67-8AD2-48E3-A1B6-1068BBD3E779}" name="Lastverzicht" dataDxfId="2366"/>
    <tableColumn id="68" xr3:uid="{431FC835-40E1-4B90-9588-1637E1526982}" name="Lasterhöhung" dataDxfId="2365"/>
    <tableColumn id="71" xr3:uid="{37940876-B794-45F6-9504-4681C6441180}" name="Stromverbrauch in TWh" dataDxfId="2364">
      <calculatedColumnFormula>0.46+5.27</calculatedColumnFormula>
    </tableColumn>
    <tableColumn id="3" xr3:uid="{387AB921-56A1-4B87-9143-2F9D2028707A}" name="Potenzial pos. min MW" dataDxfId="2363"/>
    <tableColumn id="38" xr3:uid="{795AF7A2-926B-4CD0-B597-E280DD3E988D}" name="Potenzial pos. MW Durchschnitt" dataDxfId="2362"/>
    <tableColumn id="5" xr3:uid="{F41A3D94-8C4E-43AB-9A62-CE93B41B4355}" name="Potenzial pos. max MW" dataDxfId="2361"/>
    <tableColumn id="69" xr3:uid="{07DEF50B-B9AB-47FA-9DD6-49C7AD5F8FF2}" name="Potenzial pos. max GWh" dataDxfId="2360"/>
    <tableColumn id="37" xr3:uid="{0D5AAA95-CAB7-4BFD-860C-FE48264EDB1C}" name="ausgewiesenes Pot. pos. MW (falls abweichend)" dataDxfId="2359"/>
    <tableColumn id="50" xr3:uid="{5A97A3A7-99A9-4067-9F3C-CCF83A4E0694}" name="Potenzial neg. min MW" dataDxfId="2358"/>
    <tableColumn id="41" xr3:uid="{65137A8C-1912-477A-A2DB-99FAE3720E3F}" name="Potenzial neg. MW Durchschnitt" dataDxfId="2357"/>
    <tableColumn id="6" xr3:uid="{AF055E5C-45AE-40E2-8B4B-7DE02E76B147}" name="Potenzial neg. max MW" dataDxfId="2356"/>
    <tableColumn id="70" xr3:uid="{2C851849-898B-4457-93EB-6EE7AE97A844}" name="Potenzial neg. max GWh" dataDxfId="2355"/>
    <tableColumn id="7" xr3:uid="{537FD820-367F-4D37-BC31-8816673BB2D3}" name="Mindestleistung MW" dataDxfId="2354"/>
    <tableColumn id="8" xr3:uid="{379D6B81-27B6-4940-BC3F-E36DF52F067D}" name="Mindestauslastung" dataDxfId="2353" dataCellStyle="Prozent"/>
    <tableColumn id="36" xr3:uid="{616A6786-9004-4564-AA95-A1C184F5EAE8}" name="flexibilisierbarer Anteil" dataDxfId="2352" dataCellStyle="Prozent"/>
    <tableColumn id="67" xr3:uid="{1893C0CF-D6D8-4F24-A901-A07ED31A7422}" name="flexibilisierbarer Anteil an Durchschnittslast" dataDxfId="2351" dataCellStyle="Prozent"/>
    <tableColumn id="72" xr3:uid="{3727EDE4-0381-4D52-82E1-200098A11358}" name="Vollbenutzungsstunden h/a" dataDxfId="2350" dataCellStyle="Prozent">
      <calculatedColumnFormula>IF(AND(Tabelle58971114292527[[#This Row],[Stromverbrauch in TWh]]&lt;&gt;"",Tabelle58971114292527[[#This Row],[Maximalleistung MW]]&lt;&gt;""),Tabelle58971114292527[[#This Row],[Stromverbrauch in TWh]]*10^6/Tabelle58971114292527[[#This Row],[Maximalleistung MW]],"")</calculatedColumnFormula>
    </tableColumn>
    <tableColumn id="65" xr3:uid="{FB696937-A898-40F5-B890-A2845E23B87F}" name="Durchschnittsauslastung" dataDxfId="2349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2348" dataCellStyle="Prozent">
      <calculatedColumnFormula>Tabelle58971114292527[[#This Row],[Durchschnittsauslastung]]*Tabelle58971114292527[[#This Row],[installierte Leistung MW]]</calculatedColumnFormula>
    </tableColumn>
    <tableColumn id="9" xr3:uid="{15ACA225-E050-4F91-BD72-4B596B1CAE33}" name="Maximalleistung MW" dataDxfId="2347"/>
    <tableColumn id="46" xr3:uid="{167F4269-661D-458F-9C8A-60F51FA5637E}" name="Maximalauslastung" dataDxfId="2346" dataCellStyle="Prozent"/>
    <tableColumn id="10" xr3:uid="{28E2B3D7-0652-4CDB-9BBD-AEE2236BFF12}" name="installierte Leistung MW" dataDxfId="2345"/>
    <tableColumn id="11" xr3:uid="{6120BF55-C551-4D66-BF45-C97BCCB3D8E3}" name="Aktivierungsdauer (h)" dataDxfId="2344"/>
    <tableColumn id="61" xr3:uid="{30F86840-1D49-4A8B-8BE0-6F292D9A935B}" name="Schaltdauer pos. min (h)" dataDxfId="2343"/>
    <tableColumn id="60" xr3:uid="{2BB656B5-E06F-49D7-83FE-D0ADF02BFDB8}" name="Schaltdauer pos. max (h)" dataDxfId="2342"/>
    <tableColumn id="12" xr3:uid="{F9FFB5E2-F343-4677-8158-739A7976468E}" name="Schaltdauer pos. (h)" dataDxfId="2341"/>
    <tableColumn id="63" xr3:uid="{3E527641-D3AA-4242-A201-8EF05BBC5E30}" name="Schaltdauer neg min (h)" dataDxfId="2340"/>
    <tableColumn id="62" xr3:uid="{5BA7A08F-7218-4430-9EDC-EEA2CF614B97}" name="Schaltdauer neg. max (h)" dataDxfId="2339"/>
    <tableColumn id="51" xr3:uid="{EE84592B-2BD7-4ADE-A1D0-A6D910B30CAD}" name="Schaltdauer neg. (h)" dataDxfId="2338"/>
    <tableColumn id="42" xr3:uid="{29A14921-9943-4415-8813-D0A7B93E5BAB}" name="Verschiebedauer min. (h)" dataDxfId="2337"/>
    <tableColumn id="4" xr3:uid="{6C8DD161-A375-4677-A7F0-8660854A35CA}" name="Verschiebedauer max (h)" dataDxfId="2336"/>
    <tableColumn id="13" xr3:uid="{5224B032-513B-4EE8-BA25-CE707584CC6F}" name="Verschiebedauer (h)" dataDxfId="2335"/>
    <tableColumn id="14" xr3:uid="{117F2E20-3D74-42BF-8D9F-AA2810B9D02F}" name="Regenerationsdauer (h)" dataDxfId="2334"/>
    <tableColumn id="15" xr3:uid="{B765EDF5-BD0D-456E-9752-AD16EB55FCE3}" name="Zeitverfügbarkeit?" dataDxfId="2333"/>
    <tableColumn id="16" xr3:uid="{14F3534B-051E-4ABF-997C-9EBBDDD39837}" name="max. Abrufhäufigkeit pro Woche" dataDxfId="2332"/>
    <tableColumn id="40" xr3:uid="{9DE0E175-FF0F-48EA-9709-28AF04E8D3B9}" name="max. Abrufhäufigkeit pro Jahr" dataDxfId="2331"/>
    <tableColumn id="57" xr3:uid="{49FC2D2E-F4F6-4F5B-94C7-55780DA72171}" name="min. Investitionsausgaben €_2018/kW" dataDxfId="2330"/>
    <tableColumn id="56" xr3:uid="{1298A0DF-909A-4329-8128-5784936F365D}" name="max. Investitionsausgaben €_2018/kW" dataDxfId="2329"/>
    <tableColumn id="17" xr3:uid="{3225AFD4-B5CE-48CE-9BE7-F864F7E85FDF}" name="Investitionsausgaben €_2018/kW" dataDxfId="2328"/>
    <tableColumn id="59" xr3:uid="{E6EC5D8D-BE77-44DE-9CA4-073DC1E900CC}" name="var. Kosten min. €_2018/MWh" dataDxfId="2327"/>
    <tableColumn id="58" xr3:uid="{6C05A315-4A0A-440C-8A22-1ED6EA5C7181}" name="var. Kosten max. €_2018/MWh" dataDxfId="2326"/>
    <tableColumn id="18" xr3:uid="{A0B9D36F-7161-4345-B410-98BC16137E37}" name="variable Kosten €_2018/MWh" dataDxfId="2325"/>
    <tableColumn id="64" xr3:uid="{4253A139-117F-43E7-8DCC-41217D26E5BB}" name="fixe Kosten min. €_2018/kW*a" dataDxfId="2324"/>
    <tableColumn id="19" xr3:uid="{B07E1517-99F7-422D-92BC-5BA70BF86507}" name="fixe Kosten €_2018/kW*a" dataDxfId="2323"/>
    <tableColumn id="48" xr3:uid="{FAFACBC0-BE93-4E50-AA1C-2090101703D4}" name="Investitionsausgaben je Anschlusspunkt (€_2018)" dataDxfId="2322"/>
    <tableColumn id="20" xr3:uid="{FEEE429F-7BA9-4810-B4DE-44690B7A232C}" name="Bemerkungen" dataDxfId="2321"/>
    <tableColumn id="55" xr3:uid="{C3245C41-D352-4631-B970-BC757EC99548}" name="Fundstelle Lastverschiebung" dataDxfId="2320"/>
    <tableColumn id="54" xr3:uid="{5648B538-D8D3-4E48-92E9-907492676A43}" name="Fundstelle Lastverzicht" dataDxfId="2319"/>
    <tableColumn id="21" xr3:uid="{2E7D5547-2F4B-4C9B-971B-F6ACE501E82B}" name="Fundstelle Potenzial pos." dataDxfId="2318"/>
    <tableColumn id="22" xr3:uid="{02F51358-E258-452A-9C2C-CBAD37A39767}" name="Fundstelle Potenzial neg." dataDxfId="2317"/>
    <tableColumn id="23" xr3:uid="{5291BC50-2BBE-444F-BB84-3227887B390B}" name="Fundstelle Mindestleistung" dataDxfId="2316"/>
    <tableColumn id="43" xr3:uid="{6ACE49D6-2240-4E34-B366-8E9DE746F68A}" name="Fundstelle flexibilisierbarer Anteil" dataDxfId="2315"/>
    <tableColumn id="66" xr3:uid="{85E58803-A471-4BFB-831D-E3A036EF81BA}" name="Fundstelle Durchschnittsauslastung" dataDxfId="2314"/>
    <tableColumn id="45" xr3:uid="{CCC070F4-D3BE-4C3F-B75C-3F82437A7487}" name="Fundstelle durchschnittliche Leistung" dataDxfId="2313"/>
    <tableColumn id="24" xr3:uid="{5A127DDF-A5EE-4047-BA40-01FCCAE3450C}" name="Fundstelle Maximalleistung" dataDxfId="2312"/>
    <tableColumn id="25" xr3:uid="{71CBEC8F-AF91-4AFC-8875-A10DBC273BA4}" name="Fundstelle installierte Leistung" dataDxfId="2311"/>
    <tableColumn id="39" xr3:uid="{077F9CDC-7460-43C2-9EF8-8E214243FACF}" name="Fundstelle Aktivierungsdauer" dataDxfId="2310"/>
    <tableColumn id="26" xr3:uid="{FF393ABE-D57F-4DE4-B5A7-610C82749581}" name="Fundstelle Schaltdauer" dataDxfId="2309"/>
    <tableColumn id="27" xr3:uid="{D7584290-233E-43AD-AB6A-C6CD3384BC71}" name="Fundstelle Verschiebedauer" dataDxfId="2308"/>
    <tableColumn id="28" xr3:uid="{B97E9681-EB79-4B53-BC97-F8A8AF371895}" name="Fundstelle Regenerationsdauer" dataDxfId="2307"/>
    <tableColumn id="29" xr3:uid="{3EA75213-413F-469E-9474-F121435BC170}" name="Fundstelle Zeitverfügbarkeit" dataDxfId="2306"/>
    <tableColumn id="30" xr3:uid="{6B4D7C32-BB39-431D-A515-546432E15090}" name="Fundstelle max. Abrufhäufigkeit" dataDxfId="2305"/>
    <tableColumn id="31" xr3:uid="{64561B86-C697-4FB0-AA1D-E91D80134D24}" name="Fundstelle Invest" dataDxfId="2304"/>
    <tableColumn id="32" xr3:uid="{C7ABE511-B291-465F-B219-C42E23DF0B4E}" name="Fundstelle var. Kosten" dataDxfId="2303"/>
    <tableColumn id="33" xr3:uid="{8B6DAFAF-0663-4349-895A-006368242A0E}" name="Fundstelle fixe Kosten" dataDxfId="2302"/>
    <tableColumn id="49" xr3:uid="{988CBFE1-C2F1-4566-BCE3-0698682A25A3}" name="Fundstelle Investition je Anschlusspunkt" dataDxfId="2301"/>
    <tableColumn id="34" xr3:uid="{1AC244EC-C649-419D-AE30-293CED10C814}" name="Fundstelle Bemerkungen" dataDxfId="2300"/>
    <tableColumn id="35" xr3:uid="{C66EFECC-739C-48B2-BDCC-0DA7C7C6C2B9}" name="eigene Anmerkung" dataDxfId="2299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2298" dataDxfId="2297" tableBorderDxfId="2296">
  <autoFilter ref="A1:BO11" xr:uid="{00000000-0009-0000-0100-000017000000}"/>
  <tableColumns count="67">
    <tableColumn id="1" xr3:uid="{00000000-0010-0000-1300-000001000000}" name="Prozess" dataDxfId="2295"/>
    <tableColumn id="47" xr3:uid="{00000000-0010-0000-1300-00002F000000}" name="Sektorenzuordnung" dataDxfId="2294"/>
    <tableColumn id="2" xr3:uid="{00000000-0010-0000-1300-000002000000}" name="Jahr" dataDxfId="2293"/>
    <tableColumn id="52" xr3:uid="{00000000-0010-0000-1300-000034000000}" name="Lastverschiebung" dataDxfId="2292"/>
    <tableColumn id="53" xr3:uid="{00000000-0010-0000-1300-000035000000}" name="Lastverzicht" dataDxfId="2291"/>
    <tableColumn id="3" xr3:uid="{00000000-0010-0000-1300-000003000000}" name="Potenzial pos. min MW" dataDxfId="2290"/>
    <tableColumn id="38" xr3:uid="{00000000-0010-0000-1300-000026000000}" name="Potenzial pos. MW Durchschnitt" dataDxfId="2289"/>
    <tableColumn id="5" xr3:uid="{00000000-0010-0000-1300-000005000000}" name="Potenzial pos. max MW" dataDxfId="2288"/>
    <tableColumn id="37" xr3:uid="{00000000-0010-0000-1300-000025000000}" name="ausgewiesenes Pot. pos. MW (falls abweichend)" dataDxfId="2287"/>
    <tableColumn id="50" xr3:uid="{00000000-0010-0000-1300-000032000000}" name="Potenzial neg. min MW" dataDxfId="2286"/>
    <tableColumn id="41" xr3:uid="{00000000-0010-0000-1300-000029000000}" name="Potenzial neg. MW Durchschnitt" dataDxfId="2285"/>
    <tableColumn id="6" xr3:uid="{00000000-0010-0000-1300-000006000000}" name="Potenzial neg. max MW" dataDxfId="2284"/>
    <tableColumn id="7" xr3:uid="{00000000-0010-0000-1300-000007000000}" name="Mindestleistung MW" dataDxfId="2283"/>
    <tableColumn id="8" xr3:uid="{00000000-0010-0000-1300-000008000000}" name="Mindestauslastung" dataDxfId="2282" dataCellStyle="Prozent"/>
    <tableColumn id="36" xr3:uid="{00000000-0010-0000-1300-000024000000}" name="flexibilisierbarer Anteil" dataDxfId="2281" dataCellStyle="Prozent"/>
    <tableColumn id="67" xr3:uid="{00000000-0010-0000-1300-000043000000}" name="flexibilisierbarer Anteil an Durchschnittslast" dataDxfId="2280" dataCellStyle="Prozent"/>
    <tableColumn id="65" xr3:uid="{00000000-0010-0000-1300-000041000000}" name="Durchschnittsauslastung" dataDxfId="2279" dataCellStyle="Prozent"/>
    <tableColumn id="44" xr3:uid="{00000000-0010-0000-1300-00002C000000}" name="Durchschnittliche Leistung MW" dataDxfId="2278" dataCellStyle="Prozent"/>
    <tableColumn id="9" xr3:uid="{00000000-0010-0000-1300-000009000000}" name="Maximalleistung MW" dataDxfId="2277"/>
    <tableColumn id="46" xr3:uid="{00000000-0010-0000-1300-00002E000000}" name="Maximalauslastung" dataDxfId="2276" dataCellStyle="Prozent"/>
    <tableColumn id="10" xr3:uid="{00000000-0010-0000-1300-00000A000000}" name="installierte Leistung MW" dataDxfId="2275"/>
    <tableColumn id="11" xr3:uid="{00000000-0010-0000-1300-00000B000000}" name="Aktivierungsdauer (h)" dataDxfId="2274"/>
    <tableColumn id="61" xr3:uid="{00000000-0010-0000-1300-00003D000000}" name="Schaltdauer pos. Min (h)" dataDxfId="2273">
      <calculatedColumnFormula>5/60</calculatedColumnFormula>
    </tableColumn>
    <tableColumn id="60" xr3:uid="{00000000-0010-0000-1300-00003C000000}" name="Schaltdauer pos. max (h)" dataDxfId="2272">
      <calculatedColumnFormula>10/60</calculatedColumnFormula>
    </tableColumn>
    <tableColumn id="12" xr3:uid="{00000000-0010-0000-1300-00000C000000}" name="Schaltdauer pos. (h)" dataDxfId="2271"/>
    <tableColumn id="63" xr3:uid="{00000000-0010-0000-1300-00003F000000}" name="Schaltdauer neg min (h)" dataDxfId="2270"/>
    <tableColumn id="62" xr3:uid="{00000000-0010-0000-1300-00003E000000}" name="Schaltdauer neg. max (h)" dataDxfId="2269"/>
    <tableColumn id="51" xr3:uid="{00000000-0010-0000-1300-000033000000}" name="Schaltdauer neg. (h)" dataDxfId="2268"/>
    <tableColumn id="42" xr3:uid="{00000000-0010-0000-1300-00002A000000}" name="Verschiebedauer min. (h)" dataDxfId="2267"/>
    <tableColumn id="4" xr3:uid="{00000000-0010-0000-1300-000004000000}" name="Verschiebedauer max (h)" dataDxfId="2266"/>
    <tableColumn id="13" xr3:uid="{00000000-0010-0000-1300-00000D000000}" name="Verschiebedauer (h)" dataDxfId="2265"/>
    <tableColumn id="14" xr3:uid="{00000000-0010-0000-1300-00000E000000}" name="Regenerationsdauer (h)" dataDxfId="2264"/>
    <tableColumn id="15" xr3:uid="{00000000-0010-0000-1300-00000F000000}" name="Zeitverfügbarkeit?" dataDxfId="2263"/>
    <tableColumn id="16" xr3:uid="{00000000-0010-0000-1300-000010000000}" name="max. Abrufhäufigkeit pro Woche" dataDxfId="2262"/>
    <tableColumn id="40" xr3:uid="{00000000-0010-0000-1300-000028000000}" name="max. Abrufhäufigkeit pro Jahr" dataDxfId="2261"/>
    <tableColumn id="57" xr3:uid="{00000000-0010-0000-1300-000039000000}" name="min. Investitionsausgaben €_2018/kW" dataDxfId="2260"/>
    <tableColumn id="56" xr3:uid="{00000000-0010-0000-1300-000038000000}" name="max. Investitionsausgaben €_2018/kW" dataDxfId="2259"/>
    <tableColumn id="17" xr3:uid="{00000000-0010-0000-1300-000011000000}" name="Investitionsausgaben €_2018/kW" dataDxfId="2258"/>
    <tableColumn id="59" xr3:uid="{00000000-0010-0000-1300-00003B000000}" name="var. Kosten min. €_2018/MWh" dataDxfId="2257"/>
    <tableColumn id="58" xr3:uid="{00000000-0010-0000-1300-00003A000000}" name="var. Kosten max. €_2018/MWh" dataDxfId="2256"/>
    <tableColumn id="18" xr3:uid="{00000000-0010-0000-1300-000012000000}" name="variable Kosten €_2018/MWh" dataDxfId="2255"/>
    <tableColumn id="64" xr3:uid="{00000000-0010-0000-1300-000040000000}" name="fixe Kosten min. €_2018/kW*a" dataDxfId="2254"/>
    <tableColumn id="19" xr3:uid="{00000000-0010-0000-1300-000013000000}" name="fixe Kosten €_2018/kW*a" dataDxfId="2253"/>
    <tableColumn id="48" xr3:uid="{00000000-0010-0000-1300-000030000000}" name="Investitionsausgaben je Anschlusspunkt (€_2018)" dataDxfId="2252"/>
    <tableColumn id="20" xr3:uid="{00000000-0010-0000-1300-000014000000}" name="Bemerkungen" dataDxfId="2251"/>
    <tableColumn id="55" xr3:uid="{00000000-0010-0000-1300-000037000000}" name="Fundstelle Lastverschiebung" dataDxfId="2250"/>
    <tableColumn id="54" xr3:uid="{00000000-0010-0000-1300-000036000000}" name="Fundstelle Lastverzicht" dataDxfId="2249"/>
    <tableColumn id="21" xr3:uid="{00000000-0010-0000-1300-000015000000}" name="Fundstelle Potenzial pos." dataDxfId="2248"/>
    <tableColumn id="22" xr3:uid="{00000000-0010-0000-1300-000016000000}" name="Fundstelle Potenzial neg." dataDxfId="2247"/>
    <tableColumn id="23" xr3:uid="{00000000-0010-0000-1300-000017000000}" name="Fundstelle Mindestleistung" dataDxfId="2246"/>
    <tableColumn id="43" xr3:uid="{00000000-0010-0000-1300-00002B000000}" name="Funstelle flexibierbarer Anteil" dataDxfId="2245"/>
    <tableColumn id="66" xr3:uid="{00000000-0010-0000-1300-000042000000}" name="Fundstelle Durchschnittsauslastung" dataDxfId="2244"/>
    <tableColumn id="45" xr3:uid="{00000000-0010-0000-1300-00002D000000}" name="Fundstelle durchschnittliche Leistung" dataDxfId="2243"/>
    <tableColumn id="24" xr3:uid="{00000000-0010-0000-1300-000018000000}" name="Fundstelle Maximalleistung" dataDxfId="2242"/>
    <tableColumn id="25" xr3:uid="{00000000-0010-0000-1300-000019000000}" name="Fundstelle installierte Leistung" dataDxfId="2241"/>
    <tableColumn id="39" xr3:uid="{00000000-0010-0000-1300-000027000000}" name="Fundstelle Aktivierungsdauer" dataDxfId="2240"/>
    <tableColumn id="26" xr3:uid="{00000000-0010-0000-1300-00001A000000}" name="Fundstelle Schaltdauer" dataDxfId="2239"/>
    <tableColumn id="27" xr3:uid="{00000000-0010-0000-1300-00001B000000}" name="Fundstelle Verschiebedauer" dataDxfId="2238"/>
    <tableColumn id="28" xr3:uid="{00000000-0010-0000-1300-00001C000000}" name="Fundstelle Regenerationsdauer" dataDxfId="2237"/>
    <tableColumn id="29" xr3:uid="{00000000-0010-0000-1300-00001D000000}" name="Fundstelle Zeitverfügbarkeit" dataDxfId="2236"/>
    <tableColumn id="30" xr3:uid="{00000000-0010-0000-1300-00001E000000}" name="Fundstelle max. Abrufhäufigkeit" dataDxfId="2235"/>
    <tableColumn id="31" xr3:uid="{00000000-0010-0000-1300-00001F000000}" name="Fundstelle Invest" dataDxfId="2234"/>
    <tableColumn id="32" xr3:uid="{00000000-0010-0000-1300-000020000000}" name="Fundstelle var. Kosten" dataDxfId="2233"/>
    <tableColumn id="33" xr3:uid="{00000000-0010-0000-1300-000021000000}" name="Fundstelle fixe Kosten" dataDxfId="2232"/>
    <tableColumn id="49" xr3:uid="{00000000-0010-0000-1300-000031000000}" name="Fundstelle Investition je Anschlusspunkt" dataDxfId="2231"/>
    <tableColumn id="34" xr3:uid="{00000000-0010-0000-1300-000022000000}" name="Fundstelle Bemerkungen" dataDxfId="2230"/>
    <tableColumn id="35" xr3:uid="{00000000-0010-0000-1300-000023000000}" name="eigene Anmerkung" dataDxfId="2229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BX17" totalsRowShown="0" headerRowDxfId="2228" dataDxfId="2227" tableBorderDxfId="2226">
  <autoFilter ref="A1:BX17" xr:uid="{00000000-0009-0000-0100-000019000000}"/>
  <tableColumns count="76">
    <tableColumn id="1" xr3:uid="{00000000-0010-0000-1500-000001000000}" name="Prozess" dataDxfId="2225"/>
    <tableColumn id="47" xr3:uid="{00000000-0010-0000-1500-00002F000000}" name="Sektorenzuordnung" dataDxfId="2224"/>
    <tableColumn id="2" xr3:uid="{00000000-0010-0000-1500-000002000000}" name="Jahr" dataDxfId="2223"/>
    <tableColumn id="52" xr3:uid="{00000000-0010-0000-1500-000034000000}" name="Lastverschiebung" dataDxfId="2222"/>
    <tableColumn id="53" xr3:uid="{00000000-0010-0000-1500-000035000000}" name="Lastverzicht" dataDxfId="2221"/>
    <tableColumn id="71" xr3:uid="{B0549F9B-39DF-4F07-A532-CDA720445671}" name="Lasterhöhung" dataDxfId="2220"/>
    <tableColumn id="68" xr3:uid="{BE290A01-8736-4086-BB9D-3CC006C49381}" name="Stromverbrauch in TWh" dataDxfId="2219"/>
    <tableColumn id="3" xr3:uid="{00000000-0010-0000-1500-000003000000}" name="Potenzial pos. min MW" dataDxfId="2218"/>
    <tableColumn id="38" xr3:uid="{00000000-0010-0000-1500-000026000000}" name="Potenzial pos. MW Durchschnitt" dataDxfId="2217"/>
    <tableColumn id="5" xr3:uid="{00000000-0010-0000-1500-000005000000}" name="Potenzial pos. max MW Literatur" dataDxfId="2216"/>
    <tableColumn id="72" xr3:uid="{9E398625-227B-4420-90C0-6CFD27B82CD5}" name="Potenzial pos. MW Hochrechnung" dataDxfId="2215"/>
    <tableColumn id="37" xr3:uid="{00000000-0010-0000-1500-000025000000}" name="ausgewiesenes Pot. pos. MW (falls abweichend)" dataDxfId="2214"/>
    <tableColumn id="50" xr3:uid="{00000000-0010-0000-1500-000032000000}" name="Potenzial neg. min MW" dataDxfId="2213"/>
    <tableColumn id="41" xr3:uid="{00000000-0010-0000-1500-000029000000}" name="Potenzial neg. MW Durchschnitt" dataDxfId="2212"/>
    <tableColumn id="6" xr3:uid="{00000000-0010-0000-1500-000006000000}" name="Potenzial neg. max MW Literatur" dataDxfId="2211"/>
    <tableColumn id="73" xr3:uid="{B5739B0B-B767-4C04-84BD-5C54DDF639CC}" name="Potenzial neg. MW Hochrechnung" dataDxfId="2210"/>
    <tableColumn id="7" xr3:uid="{00000000-0010-0000-1500-000007000000}" name="Mindestleistung MW" dataDxfId="2209"/>
    <tableColumn id="8" xr3:uid="{00000000-0010-0000-1500-000008000000}" name="Mindestauslastung" dataDxfId="2208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2207" dataCellStyle="Prozent"/>
    <tableColumn id="70" xr3:uid="{81E1AC3D-5DB5-46DC-94F6-8BEBD606700E}" name="flexibilisierbarer Anteil max" dataDxfId="2206" dataCellStyle="Prozent"/>
    <tableColumn id="67" xr3:uid="{00000000-0010-0000-1500-000043000000}" name="flexibilisierbarer Anteil an Durchschnittslast" dataDxfId="2205" dataCellStyle="Prozent"/>
    <tableColumn id="65" xr3:uid="{00000000-0010-0000-1500-000041000000}" name="Durchschnittsauslastung Literatur" dataDxfId="2204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2203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2202" dataCellStyle="Prozent"/>
    <tableColumn id="75" xr3:uid="{F3EDB403-EA2D-4F04-B6A7-E769B991DBD1}" name="Durchschnittliche Leistung MW Hochrechnung" dataDxfId="2201" dataCellStyle="Prozent"/>
    <tableColumn id="9" xr3:uid="{00000000-0010-0000-1500-000009000000}" name="Maximalleistung MW Literatur" dataDxfId="2200">
      <calculatedColumnFormula>Tabelle5897111426[[#This Row],[Durchschnittliche Leistung MW Literatur]]*2</calculatedColumnFormula>
    </tableColumn>
    <tableColumn id="77" xr3:uid="{F33E1AFA-E8F3-4C83-A735-54E087284A99}" name="Maximalleistung MW Hochrechnung" dataDxfId="2199"/>
    <tableColumn id="46" xr3:uid="{00000000-0010-0000-1500-00002E000000}" name="Maximalauslastung" dataDxfId="2198" dataCellStyle="Prozent">
      <calculatedColumnFormula>IF(Tabelle5897111426[[#This Row],[installierte Leistung MW Literatur]]&lt;&gt;"",Tabelle5897111426[[#This Row],[installierte Leistung MW Literatur]]/Tabelle5897111426[[#This Row],[Maximalleistung MW Literatur]],Tabelle5897111426[[#This Row],[installierte Leistung MW Hochrechnung]]/Tabelle5897111426[[#This Row],[Maximalleistung MW Hochrechnung]])</calculatedColumnFormula>
    </tableColumn>
    <tableColumn id="10" xr3:uid="{00000000-0010-0000-1500-00000A000000}" name="installierte Leistung MW Literatur" dataDxfId="2197">
      <calculatedColumnFormula>Tabelle5897111426[[#This Row],[Maximalleistung MW Literatur]]</calculatedColumnFormula>
    </tableColumn>
    <tableColumn id="78" xr3:uid="{07A9C1DA-5F07-4EE4-B709-237E6392DD0C}" name="installierte Leistung MW Hochrechnung" dataDxfId="2196"/>
    <tableColumn id="11" xr3:uid="{00000000-0010-0000-1500-00000B000000}" name="Aktivierungsdauer (h)" dataDxfId="2195"/>
    <tableColumn id="61" xr3:uid="{00000000-0010-0000-1500-00003D000000}" name="Schaltdauer pos. min (h)" dataDxfId="2194"/>
    <tableColumn id="60" xr3:uid="{00000000-0010-0000-1500-00003C000000}" name="Schaltdauer pos. max (h)" dataDxfId="2193"/>
    <tableColumn id="12" xr3:uid="{00000000-0010-0000-1500-00000C000000}" name="Schaltdauer pos. (h)" dataDxfId="2192"/>
    <tableColumn id="63" xr3:uid="{00000000-0010-0000-1500-00003F000000}" name="Schaltdauer neg min (h)" dataDxfId="2191"/>
    <tableColumn id="62" xr3:uid="{00000000-0010-0000-1500-00003E000000}" name="Schaltdauer neg. max (h)" dataDxfId="2190"/>
    <tableColumn id="51" xr3:uid="{00000000-0010-0000-1500-000033000000}" name="Schaltdauer neg. (h)" dataDxfId="2189"/>
    <tableColumn id="42" xr3:uid="{00000000-0010-0000-1500-00002A000000}" name="Verschiebedauer min. (h)" dataDxfId="2188"/>
    <tableColumn id="4" xr3:uid="{00000000-0010-0000-1500-000004000000}" name="Verschiebedauer max (h)" dataDxfId="2187"/>
    <tableColumn id="13" xr3:uid="{00000000-0010-0000-1500-00000D000000}" name="Verschiebedauer (h)" dataDxfId="2186"/>
    <tableColumn id="14" xr3:uid="{00000000-0010-0000-1500-00000E000000}" name="Regenerationsdauer (h)" dataDxfId="2185"/>
    <tableColumn id="15" xr3:uid="{00000000-0010-0000-1500-00000F000000}" name="Zeitverfügbarkeit?" dataDxfId="2184"/>
    <tableColumn id="16" xr3:uid="{00000000-0010-0000-1500-000010000000}" name="max. Abrufhäufigkeit pro Woche" dataDxfId="2183"/>
    <tableColumn id="40" xr3:uid="{00000000-0010-0000-1500-000028000000}" name="max. Abrufhäufigkeit pro Jahr" dataDxfId="2182"/>
    <tableColumn id="57" xr3:uid="{00000000-0010-0000-1500-000039000000}" name="min. Investitionsausgaben €_2018/kW" dataDxfId="2181"/>
    <tableColumn id="56" xr3:uid="{00000000-0010-0000-1500-000038000000}" name="max. Investitionsausgaben €_2018/kW" dataDxfId="2180"/>
    <tableColumn id="17" xr3:uid="{00000000-0010-0000-1500-000011000000}" name="Investitionsausgaben €_2018/kW" dataDxfId="2179"/>
    <tableColumn id="59" xr3:uid="{00000000-0010-0000-1500-00003B000000}" name="var. Kosten min. €_2018/MWh" dataDxfId="2178"/>
    <tableColumn id="58" xr3:uid="{00000000-0010-0000-1500-00003A000000}" name="var. Kosten max. €_2018/MWh" dataDxfId="2177"/>
    <tableColumn id="18" xr3:uid="{00000000-0010-0000-1500-000012000000}" name="variable Kosten €_2018/MWh" dataDxfId="2176"/>
    <tableColumn id="64" xr3:uid="{00000000-0010-0000-1500-000040000000}" name="fixe Kosten min. €_2018/kW*a" dataDxfId="2175"/>
    <tableColumn id="19" xr3:uid="{00000000-0010-0000-1500-000013000000}" name="fixe Kosten €_2018/kW*a" dataDxfId="2174"/>
    <tableColumn id="48" xr3:uid="{00000000-0010-0000-1500-000030000000}" name="Investitionsausgaben je Anschlusspunkt (€_2018)" dataDxfId="2173"/>
    <tableColumn id="20" xr3:uid="{00000000-0010-0000-1500-000014000000}" name="Bemerkungen" dataDxfId="2172"/>
    <tableColumn id="55" xr3:uid="{00000000-0010-0000-1500-000037000000}" name="Fundstelle Lastverschiebung" dataDxfId="2171"/>
    <tableColumn id="54" xr3:uid="{00000000-0010-0000-1500-000036000000}" name="Fundstelle Lastverzicht" dataDxfId="2170"/>
    <tableColumn id="21" xr3:uid="{00000000-0010-0000-1500-000015000000}" name="Fundstelle Potenzial pos." dataDxfId="2169"/>
    <tableColumn id="22" xr3:uid="{00000000-0010-0000-1500-000016000000}" name="Fundstelle Potenzial neg." dataDxfId="2168"/>
    <tableColumn id="23" xr3:uid="{00000000-0010-0000-1500-000017000000}" name="Fundstelle Mindestleistung" dataDxfId="2167"/>
    <tableColumn id="43" xr3:uid="{00000000-0010-0000-1500-00002B000000}" name="Fundstelle flexibilisierbarer Anteil" dataDxfId="2166"/>
    <tableColumn id="66" xr3:uid="{00000000-0010-0000-1500-000042000000}" name="Fundstelle Durchschnittsauslastung" dataDxfId="2165"/>
    <tableColumn id="45" xr3:uid="{00000000-0010-0000-1500-00002D000000}" name="Fundstelle durchschnittliche Leistung" dataDxfId="2164"/>
    <tableColumn id="24" xr3:uid="{00000000-0010-0000-1500-000018000000}" name="Fundstelle Maximalleistung" dataDxfId="2163"/>
    <tableColumn id="25" xr3:uid="{00000000-0010-0000-1500-000019000000}" name="Fundstelle installierte Leistung" dataDxfId="2162"/>
    <tableColumn id="39" xr3:uid="{00000000-0010-0000-1500-000027000000}" name="Fundstelle Aktivierungsdauer" dataDxfId="2161"/>
    <tableColumn id="26" xr3:uid="{00000000-0010-0000-1500-00001A000000}" name="Fundstelle Schaltdauer" dataDxfId="2160"/>
    <tableColumn id="27" xr3:uid="{00000000-0010-0000-1500-00001B000000}" name="Fundstelle Verschiebedauer" dataDxfId="2159"/>
    <tableColumn id="28" xr3:uid="{00000000-0010-0000-1500-00001C000000}" name="Fundstelle Regenerationsdauer" dataDxfId="2158"/>
    <tableColumn id="29" xr3:uid="{00000000-0010-0000-1500-00001D000000}" name="Fundstelle Zeitverfügbarkeit" dataDxfId="2157"/>
    <tableColumn id="30" xr3:uid="{00000000-0010-0000-1500-00001E000000}" name="Fundstelle max. Abrufhäufigkeit" dataDxfId="2156"/>
    <tableColumn id="31" xr3:uid="{00000000-0010-0000-1500-00001F000000}" name="Fundstelle Invest" dataDxfId="2155"/>
    <tableColumn id="32" xr3:uid="{00000000-0010-0000-1500-000020000000}" name="Fundstelle var. Kosten" dataDxfId="2154"/>
    <tableColumn id="33" xr3:uid="{00000000-0010-0000-1500-000021000000}" name="Fundstelle fixe Kosten" dataDxfId="2153"/>
    <tableColumn id="49" xr3:uid="{00000000-0010-0000-1500-000031000000}" name="Fundstelle Investition je Anschlusspunkt" dataDxfId="2152"/>
    <tableColumn id="34" xr3:uid="{00000000-0010-0000-1500-000022000000}" name="Fundstelle Bemerkungen" dataDxfId="2151"/>
    <tableColumn id="35" xr3:uid="{00000000-0010-0000-1500-000023000000}" name="eigene Anmerkung" dataDxfId="2150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CM121" totalsRowShown="0" headerRowDxfId="2149" dataDxfId="2148" tableBorderDxfId="2147">
  <autoFilter ref="A1:CM121" xr:uid="{00000000-0009-0000-0100-00000E000000}"/>
  <tableColumns count="91">
    <tableColumn id="1" xr3:uid="{00000000-0010-0000-0900-000001000000}" name="Prozess" dataDxfId="2146"/>
    <tableColumn id="47" xr3:uid="{00000000-0010-0000-0900-00002F000000}" name="Sektorenzuordnung" dataDxfId="2145"/>
    <tableColumn id="76" xr3:uid="{00000000-0010-0000-0900-00004C000000}" name="Gruppenzuordnung" dataDxfId="2144">
      <calculatedColumnFormula>VLOOKUP(Tabelle58971115[[#This Row],[Prozess]],Tabelle22333[],3,FALSE)</calculatedColumnFormula>
    </tableColumn>
    <tableColumn id="2" xr3:uid="{00000000-0010-0000-0900-000002000000}" name="Jahr" dataDxfId="2143"/>
    <tableColumn id="52" xr3:uid="{00000000-0010-0000-0900-000034000000}" name="Lastverschiebung" dataDxfId="2142"/>
    <tableColumn id="53" xr3:uid="{00000000-0010-0000-0900-000035000000}" name="Lastverzicht" dataDxfId="2141"/>
    <tableColumn id="83" xr3:uid="{D00C9E1C-CA55-47FC-B1C2-2694ECF1425A}" name="Lasterhöhung" dataDxfId="2140"/>
    <tableColumn id="69" xr3:uid="{00000000-0010-0000-0900-000045000000}" name="vorziehen" dataDxfId="2139"/>
    <tableColumn id="68" xr3:uid="{00000000-0010-0000-0900-000044000000}" name="verzögern" dataDxfId="2138"/>
    <tableColumn id="67" xr3:uid="{00000000-0010-0000-0900-000043000000}" name="Stromverbrauch in TWh" dataDxfId="2137"/>
    <tableColumn id="87" xr3:uid="{73478AAB-DF67-4DD5-8616-D6123C8EA183}" name="jährliche Produktion kt" dataDxfId="2136"/>
    <tableColumn id="86" xr3:uid="{76404C21-E30C-4A04-8D9C-8FBB8F9F0DD5}" name="spez. StV kWh/t" dataDxfId="2135"/>
    <tableColumn id="3" xr3:uid="{00000000-0010-0000-0900-000003000000}" name="Potenzial pos. min MW" dataDxfId="2134"/>
    <tableColumn id="38" xr3:uid="{00000000-0010-0000-0900-000026000000}" name="Potenzial pos. MW Durchschnitt" dataDxfId="2133"/>
    <tableColumn id="89" xr3:uid="{CAA70E46-D84B-4E9B-9B59-614D4CF40AD1}" name="Potenzial pos. MW Durchschnitt Lastverzicht" dataDxfId="2132"/>
    <tableColumn id="5" xr3:uid="{00000000-0010-0000-0900-000005000000}" name="Potenzial pos. max MW" dataDxfId="2131"/>
    <tableColumn id="37" xr3:uid="{00000000-0010-0000-0900-000025000000}" name="ausgewiesenes Pot. pos. MW (falls abweichend)" dataDxfId="2130"/>
    <tableColumn id="50" xr3:uid="{00000000-0010-0000-0900-000032000000}" name="Potenzial neg. min MW" dataDxfId="2129"/>
    <tableColumn id="41" xr3:uid="{00000000-0010-0000-0900-000029000000}" name="Potenzial neg. MW Durchschnitt" dataDxfId="2128"/>
    <tableColumn id="6" xr3:uid="{00000000-0010-0000-0900-000006000000}" name="Potenzial neg. max MW" dataDxfId="2127"/>
    <tableColumn id="7" xr3:uid="{00000000-0010-0000-0900-000007000000}" name="Mindestleistung MW" dataDxfId="2126"/>
    <tableColumn id="8" xr3:uid="{00000000-0010-0000-0900-000008000000}" name="Mindestauslastung" dataDxfId="2125" dataCellStyle="Prozent"/>
    <tableColumn id="36" xr3:uid="{00000000-0010-0000-0900-000024000000}" name="flexibilisierbarer Anteil" dataDxfId="2124" dataCellStyle="Prozent"/>
    <tableColumn id="72" xr3:uid="{00000000-0010-0000-0900-000048000000}" name="flex. Anteil pos." dataDxfId="2123" dataCellStyle="Prozent"/>
    <tableColumn id="71" xr3:uid="{00000000-0010-0000-0900-000047000000}" name="flex. Anteil neg." dataDxfId="2122" dataCellStyle="Prozent"/>
    <tableColumn id="65" xr3:uid="{00000000-0010-0000-0900-000041000000}" name="Durchschnittsauslastung im Betriebszeitraum" dataDxfId="2121" dataCellStyle="Prozent"/>
    <tableColumn id="85" xr3:uid="{F3E08D92-44E7-48C6-B894-FB6D6A5AE1E4}" name="Durchschnittsauslastung" dataDxfId="2120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2119" dataCellStyle="Prozent"/>
    <tableColumn id="44" xr3:uid="{00000000-0010-0000-0900-00002C000000}" name="Durchschnittliche Leistung MW" dataDxfId="2118" dataCellStyle="Prozent"/>
    <tableColumn id="9" xr3:uid="{00000000-0010-0000-0900-000009000000}" name="Maximalleistung MW" dataDxfId="2117"/>
    <tableColumn id="46" xr3:uid="{00000000-0010-0000-0900-00002E000000}" name="Maximalauslastung" dataDxfId="2116" dataCellStyle="Prozent"/>
    <tableColumn id="10" xr3:uid="{00000000-0010-0000-0900-00000A000000}" name="installierte Leistung MW" dataDxfId="2115"/>
    <tableColumn id="80" xr3:uid="{00000000-0010-0000-0900-000050000000}" name="Wirkungsgrad min. (%)" dataDxfId="2114"/>
    <tableColumn id="79" xr3:uid="{00000000-0010-0000-0900-00004F000000}" name="Wirkungsgrad max. (%)" dataDxfId="2113"/>
    <tableColumn id="77" xr3:uid="{00000000-0010-0000-0900-00004D000000}" name="Wirkungsgrad (%)" dataDxfId="2112"/>
    <tableColumn id="11" xr3:uid="{00000000-0010-0000-0900-00000B000000}" name="Aktivierungsdauer (h)" dataDxfId="2111"/>
    <tableColumn id="61" xr3:uid="{00000000-0010-0000-0900-00003D000000}" name="Schaltdauer pos. min (h)" dataDxfId="2110"/>
    <tableColumn id="60" xr3:uid="{00000000-0010-0000-0900-00003C000000}" name="Schaltdauer pos. max (h)" dataDxfId="2109"/>
    <tableColumn id="12" xr3:uid="{00000000-0010-0000-0900-00000C000000}" name="Schaltdauer pos. (h)" dataDxfId="2108"/>
    <tableColumn id="90" xr3:uid="{74DEA5F0-EEB6-4F9A-94D5-8A37F6BC374F}" name="Schaltdauer pos. (h) Lastverzicht" dataDxfId="2107"/>
    <tableColumn id="63" xr3:uid="{00000000-0010-0000-0900-00003F000000}" name="Schaltdauer neg min (h)" dataDxfId="2106"/>
    <tableColumn id="62" xr3:uid="{00000000-0010-0000-0900-00003E000000}" name="Schaltdauer neg. max (h)" dataDxfId="2105"/>
    <tableColumn id="51" xr3:uid="{00000000-0010-0000-0900-000033000000}" name="Schaltdauer neg. (h)" dataDxfId="2104"/>
    <tableColumn id="42" xr3:uid="{00000000-0010-0000-0900-00002A000000}" name="Verschiebedauer min. (h)" dataDxfId="2103"/>
    <tableColumn id="4" xr3:uid="{00000000-0010-0000-0900-000004000000}" name="Verschiebedauer max (h)" dataDxfId="2102"/>
    <tableColumn id="13" xr3:uid="{00000000-0010-0000-0900-00000D000000}" name="Verschiebedauer (h)" dataDxfId="2101"/>
    <tableColumn id="14" xr3:uid="{00000000-0010-0000-0900-00000E000000}" name="Regenerationsdauer (h)" dataDxfId="2100"/>
    <tableColumn id="15" xr3:uid="{00000000-0010-0000-0900-00000F000000}" name="Zeitverfügbarkeit?" dataDxfId="2099"/>
    <tableColumn id="70" xr3:uid="{00000000-0010-0000-0900-000046000000}" name="Temperaturabhängigkeit?" dataDxfId="2098"/>
    <tableColumn id="82" xr3:uid="{00000000-0010-0000-0900-000052000000}" name="max. Abrufhäufigkeit pro Tag" dataDxfId="2097"/>
    <tableColumn id="16" xr3:uid="{00000000-0010-0000-0900-000010000000}" name="max. Abrufhäufigkeit pro Woche" dataDxfId="2096"/>
    <tableColumn id="40" xr3:uid="{00000000-0010-0000-0900-000028000000}" name="max. Abrufhäufigkeit pro Jahr" dataDxfId="2095"/>
    <tableColumn id="91" xr3:uid="{2C86A030-BC6C-45B8-8F3D-7C52D34E3116}" name="max. Abrufhäufigkeit pro Jahr Lastverzicht" dataDxfId="2094"/>
    <tableColumn id="57" xr3:uid="{00000000-0010-0000-0900-000039000000}" name="min. Investitionsausgaben €_2018/kW" dataDxfId="2093"/>
    <tableColumn id="56" xr3:uid="{00000000-0010-0000-0900-000038000000}" name="max. Investitionsausgaben €_2018/kW" dataDxfId="2092"/>
    <tableColumn id="17" xr3:uid="{00000000-0010-0000-0900-000011000000}" name="Investitionsausgaben €_2018/kW" dataDxfId="2091"/>
    <tableColumn id="59" xr3:uid="{00000000-0010-0000-0900-00003B000000}" name="var. Kosten min. €_2018/MWh" dataDxfId="2090"/>
    <tableColumn id="18" xr3:uid="{00000000-0010-0000-0900-000012000000}" name="variable Kosten €_2018/MWh" dataDxfId="2089"/>
    <tableColumn id="88" xr3:uid="{0E1A3CC7-783F-4411-8606-CEAE4B49D0F5}" name="variable Kosten Lastverzicht €_2018/MWh" dataDxfId="2088">
      <calculatedColumnFormula>1*10^3*Umrechnungsfaktoren!$B$15/Umrechnungsfaktoren!$B$11</calculatedColumnFormula>
    </tableColumn>
    <tableColumn id="64" xr3:uid="{00000000-0010-0000-0900-000040000000}" name="fixe Kosten min. €_2018/kW*a" dataDxfId="2087"/>
    <tableColumn id="19" xr3:uid="{00000000-0010-0000-0900-000013000000}" name="fixe Kosten €_2018/kW*a" dataDxfId="2086"/>
    <tableColumn id="48" xr3:uid="{00000000-0010-0000-0900-000030000000}" name="Investitionsausgaben je Anschlusspunkt (€_2018)" dataDxfId="2085"/>
    <tableColumn id="58" xr3:uid="{00000000-0010-0000-0900-00003A000000}" name="durchschnittliche Verfügbarkeit (% p.a.)" dataDxfId="2084"/>
    <tableColumn id="20" xr3:uid="{00000000-0010-0000-0900-000014000000}" name="Bemerkungen" dataDxfId="2083"/>
    <tableColumn id="55" xr3:uid="{00000000-0010-0000-0900-000037000000}" name="Fundstelle Lastverschiebung" dataDxfId="2082"/>
    <tableColumn id="54" xr3:uid="{00000000-0010-0000-0900-000036000000}" name="Fundstelle Lastverzicht" dataDxfId="2081"/>
    <tableColumn id="74" xr3:uid="{00000000-0010-0000-0900-00004A000000}" name="Fundstelle verzögern/vorziehen" dataDxfId="2080"/>
    <tableColumn id="73" xr3:uid="{00000000-0010-0000-0900-000049000000}" name="Fundstelle Stromverbrauch" dataDxfId="2079"/>
    <tableColumn id="21" xr3:uid="{00000000-0010-0000-0900-000015000000}" name="Fundstelle Potenzial pos." dataDxfId="2078"/>
    <tableColumn id="22" xr3:uid="{00000000-0010-0000-0900-000016000000}" name="Fundstelle Potenzial neg." dataDxfId="2077"/>
    <tableColumn id="23" xr3:uid="{00000000-0010-0000-0900-000017000000}" name="Fundstelle Mindestleistung" dataDxfId="2076"/>
    <tableColumn id="75" xr3:uid="{00000000-0010-0000-0900-00004B000000}" name="Fundstelle Mindestauslastung" dataDxfId="2075"/>
    <tableColumn id="43" xr3:uid="{00000000-0010-0000-0900-00002B000000}" name="Fundstelle flexibilisierbarer Anteil" dataDxfId="2074"/>
    <tableColumn id="66" xr3:uid="{00000000-0010-0000-0900-000042000000}" name="Fundstelle Durchschnittsauslastung" dataDxfId="2073"/>
    <tableColumn id="45" xr3:uid="{00000000-0010-0000-0900-00002D000000}" name="Fundstelle durchschnittliche Leistung" dataDxfId="2072"/>
    <tableColumn id="24" xr3:uid="{00000000-0010-0000-0900-000018000000}" name="Fundstelle Maximalleistung" dataDxfId="2071"/>
    <tableColumn id="25" xr3:uid="{00000000-0010-0000-0900-000019000000}" name="Fundstelle installierte Leistung" dataDxfId="2070"/>
    <tableColumn id="78" xr3:uid="{00000000-0010-0000-0900-00004E000000}" name="Fundstelle Wirkungsgrad" dataDxfId="2069"/>
    <tableColumn id="39" xr3:uid="{00000000-0010-0000-0900-000027000000}" name="Fundstelle Aktivierungsdauer" dataDxfId="2068"/>
    <tableColumn id="26" xr3:uid="{00000000-0010-0000-0900-00001A000000}" name="Fundstelle Schaltdauer" dataDxfId="2067"/>
    <tableColumn id="27" xr3:uid="{00000000-0010-0000-0900-00001B000000}" name="Fundstelle Verschiebedauer" dataDxfId="2066"/>
    <tableColumn id="28" xr3:uid="{00000000-0010-0000-0900-00001C000000}" name="Fundstelle Regenerationsdauer" dataDxfId="2065"/>
    <tableColumn id="29" xr3:uid="{00000000-0010-0000-0900-00001D000000}" name="Fundstelle Zeitverfügbarkeit" dataDxfId="2064"/>
    <tableColumn id="30" xr3:uid="{00000000-0010-0000-0900-00001E000000}" name="Fundstelle max. Abrufhäufigkeit" dataDxfId="2063"/>
    <tableColumn id="31" xr3:uid="{00000000-0010-0000-0900-00001F000000}" name="Fundstelle Invest" dataDxfId="2062"/>
    <tableColumn id="32" xr3:uid="{00000000-0010-0000-0900-000020000000}" name="Fundstelle var. Kosten" dataDxfId="2061"/>
    <tableColumn id="33" xr3:uid="{00000000-0010-0000-0900-000021000000}" name="Fundstelle fixe Kosten" dataDxfId="2060"/>
    <tableColumn id="49" xr3:uid="{00000000-0010-0000-0900-000031000000}" name="Fundstelle Investition je Anschlusspunkt" dataDxfId="2059"/>
    <tableColumn id="81" xr3:uid="{00000000-0010-0000-0900-000051000000}" name="Fundstelle durchschn. Verfügbarkeit" dataDxfId="2058"/>
    <tableColumn id="34" xr3:uid="{00000000-0010-0000-0900-000022000000}" name="Fundstelle Bemerkungen" dataDxfId="2057"/>
    <tableColumn id="35" xr3:uid="{00000000-0010-0000-0900-000023000000}" name="eigene Anmerkung" dataDxfId="2056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BT23" totalsRowShown="0" headerRowDxfId="2055" dataDxfId="2054" tableBorderDxfId="2053">
  <autoFilter ref="A1:BT23" xr:uid="{7EAE93F4-011F-46D7-80B5-BF43F400E70A}"/>
  <tableColumns count="72">
    <tableColumn id="1" xr3:uid="{045C2232-272F-4C0E-A404-0DA4AF632BE0}" name="Prozess" dataDxfId="2052"/>
    <tableColumn id="47" xr3:uid="{8495DA7A-9A6F-4013-B722-627056C22C67}" name="Sektorenzuordnung" dataDxfId="2051"/>
    <tableColumn id="2" xr3:uid="{5F3BB2BF-0030-4870-8CE7-A6BCF3B5650A}" name="Jahr" dataDxfId="2050"/>
    <tableColumn id="52" xr3:uid="{AE97C1CB-42DB-4746-A36D-3FD73C4F33DA}" name="Lastverschiebung" dataDxfId="2049"/>
    <tableColumn id="53" xr3:uid="{F7B83E07-5B62-4092-A86A-1EBB0455F116}" name="Lastverzicht" dataDxfId="2048"/>
    <tableColumn id="69" xr3:uid="{C2AD5E8D-EA9D-4019-BED4-233E90018CAB}" name="Lasterhöhung" dataDxfId="2047"/>
    <tableColumn id="3" xr3:uid="{73B8CC09-2EA5-4249-9257-3212D6627890}" name="Potenzial pos. min MW" dataDxfId="2046"/>
    <tableColumn id="38" xr3:uid="{CD11BC61-6ED5-4A29-8542-4BB43FF35E3D}" name="Potenzial pos. MW Durchschnitt" dataDxfId="2045"/>
    <tableColumn id="5" xr3:uid="{B21FD136-F085-438A-9924-CD0D51483B05}" name="Potenzial pos. max MW Referenz" dataDxfId="2044"/>
    <tableColumn id="70" xr3:uid="{AAE5CB0A-F53F-486F-AAE9-9F758DF761ED}" name="Potenzial pos. max MW optimistisch (Szenario 2)" dataDxfId="2043"/>
    <tableColumn id="37" xr3:uid="{166B3C91-BD06-4649-97D6-8F43383712F1}" name="ausgewiesenes Pot. pos. MW (falls abweichend)" dataDxfId="2042"/>
    <tableColumn id="50" xr3:uid="{6B1D4FA1-C323-44E5-BDE1-874A04CC49C7}" name="Potenzial neg. min MW" dataDxfId="2041"/>
    <tableColumn id="41" xr3:uid="{97FDE5ED-1FAD-4483-AE14-7F11096542F1}" name="Potenzial neg. MW Durchschnitt" dataDxfId="2040"/>
    <tableColumn id="6" xr3:uid="{D8F7CFB2-101F-441C-BB94-E7EFB9D8CDE4}" name="Potenzial neg. max MW Referenz" dataDxfId="2039"/>
    <tableColumn id="71" xr3:uid="{F33F00BC-C9E3-48CD-B3B7-38144677E60D}" name="Potenzial neg. max MW optimistisch (Szenario 2)" dataDxfId="2038"/>
    <tableColumn id="7" xr3:uid="{1F645A32-EBDB-4C35-9C41-855D1D91E506}" name="Mindestleistung MW" dataDxfId="2037"/>
    <tableColumn id="8" xr3:uid="{84D733FD-6A6F-44D1-883F-DBAB3439E7B4}" name="Mindestauslastung" dataDxfId="2036" dataCellStyle="Prozent"/>
    <tableColumn id="36" xr3:uid="{2B34BD4D-73F4-48A6-B584-962F72941DF5}" name="flexibilisierbarer Anteil Referenz" dataDxfId="2035" dataCellStyle="Prozent"/>
    <tableColumn id="72" xr3:uid="{7A6C2CC3-F7C2-4F9C-999E-51F05B5C59D1}" name="flexibilisierbarer Anteil optimistisch (Szenario 2)" dataDxfId="2034" dataCellStyle="Prozent"/>
    <tableColumn id="67" xr3:uid="{A6CE399B-5245-438D-B0D0-C59E801F3220}" name="flexibilisierbarer Anteil an Durchschnittslast" dataDxfId="2033" dataCellStyle="Prozent"/>
    <tableColumn id="65" xr3:uid="{EC8BB835-AF3F-48C2-977C-E89612C80504}" name="Durchschnittsauslastung" dataDxfId="2032" dataCellStyle="Prozent"/>
    <tableColumn id="44" xr3:uid="{5B4B4BF2-5A19-445F-AD7D-C12335587820}" name="Durchschnittliche Leistung MW" dataDxfId="2031" dataCellStyle="Prozent"/>
    <tableColumn id="9" xr3:uid="{552A5609-B18E-41A4-8FFC-904789674D74}" name="Maximalleistung MW Referenz" dataDxfId="2030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2029">
      <calculatedColumnFormula>Tabelle589711142925[[#This Row],[Potenzial pos. max MW optimistisch (Szenario 2)]]/Tabelle589711142925[[#This Row],[flexibilisierbarer Anteil optimistisch (Szenario 2)]]</calculatedColumnFormula>
    </tableColumn>
    <tableColumn id="46" xr3:uid="{33AD6F99-59FE-459D-9758-5CB19053949E}" name="Maximalauslastung" dataDxfId="2028" dataCellStyle="Prozent"/>
    <tableColumn id="10" xr3:uid="{1BECD251-EC06-4FDD-8DB5-E63239B46588}" name="installierte Leistung MW" dataDxfId="2027"/>
    <tableColumn id="11" xr3:uid="{E6958FD0-46DA-49FB-B9F2-4324FD68D54F}" name="Aktivierungsdauer (h)" dataDxfId="2026"/>
    <tableColumn id="61" xr3:uid="{3F425F1B-D1E3-47D7-9BBB-607A6551AB37}" name="Schaltdauer pos. min (h)" dataDxfId="2025"/>
    <tableColumn id="60" xr3:uid="{2F9C3DC6-EFA4-408E-AFA9-484119FF72B5}" name="Schaltdauer pos. max (h)" dataDxfId="2024"/>
    <tableColumn id="12" xr3:uid="{84CDBDEE-91ED-407B-B88F-FA3260EAC338}" name="Schaltdauer pos. (h)" dataDxfId="2023"/>
    <tableColumn id="63" xr3:uid="{9536D959-DD2A-4EF3-9AD2-58D80B4659EC}" name="Schaltdauer neg min (h)" dataDxfId="2022"/>
    <tableColumn id="62" xr3:uid="{820E0C62-35DD-4C97-A127-9111E86F4E05}" name="Schaltdauer neg. max (h)" dataDxfId="2021"/>
    <tableColumn id="51" xr3:uid="{E728A012-DD51-4300-81E6-9256AB27A0A0}" name="Schaltdauer neg. (h)" dataDxfId="2020"/>
    <tableColumn id="42" xr3:uid="{817FA22F-D712-4706-9B28-FBE68D33796E}" name="Verschiebedauer min. (h)" dataDxfId="2019"/>
    <tableColumn id="4" xr3:uid="{D0BAC23A-A00A-4D26-8B9E-AE934026C61F}" name="Verschiebedauer max (h)" dataDxfId="2018"/>
    <tableColumn id="13" xr3:uid="{90AE4397-79B7-4FA1-AC6A-4B5B5DCD495C}" name="Verschiebedauer (h) Referenz" dataDxfId="2017"/>
    <tableColumn id="14" xr3:uid="{96F84580-8C22-4ACD-A1E1-DD512D98B5EA}" name="Verschiebedauer (h) optimistisch (Szenario 2)" dataDxfId="2016"/>
    <tableColumn id="15" xr3:uid="{6B2A6DD0-746B-42D1-AE70-03EA3DFD4EB1}" name="Zeitverfügbarkeit?" dataDxfId="2015"/>
    <tableColumn id="16" xr3:uid="{417BC600-44B2-4952-B1B8-64E70A395559}" name="max. Abrufhäufigkeit pro Woche" dataDxfId="2014"/>
    <tableColumn id="40" xr3:uid="{E4CB732A-9C34-4EBA-B99B-478684C0AF39}" name="max. Abrufhäufigkeit pro Jahr" dataDxfId="2013"/>
    <tableColumn id="57" xr3:uid="{E49C68B2-EEF7-4FA1-A337-20F72E6B59EF}" name="min. Investitionsausgaben €_2018/kW" dataDxfId="2012"/>
    <tableColumn id="56" xr3:uid="{2E86C1A6-7989-4496-AAF2-2292A0533899}" name="max. Investitionsausgaben €_2018/kW" dataDxfId="2011"/>
    <tableColumn id="17" xr3:uid="{B76F8ED5-D504-453A-BEB6-61D49B9E02C9}" name="Investitionsausgaben €_2018/kW" dataDxfId="2010"/>
    <tableColumn id="59" xr3:uid="{CB15CDB7-B408-459B-A9BA-F7007EAC8FBF}" name="var. Kosten min. €_2018/MWh" dataDxfId="2009"/>
    <tableColumn id="58" xr3:uid="{9372D930-947E-44BF-A90A-DEE137CFA409}" name="var. Kosten max. €_2018/MWh" dataDxfId="2008"/>
    <tableColumn id="18" xr3:uid="{3BDD2174-6D0F-4F74-8C59-9890942FD34B}" name="variable Kosten €_2018/MWh" dataDxfId="2007"/>
    <tableColumn id="64" xr3:uid="{A58DA8CB-D316-4ACD-9218-E27E4D37B6AE}" name="fixe Kosten min. €_2018/kW*a" dataDxfId="2006"/>
    <tableColumn id="19" xr3:uid="{0160956C-3631-4FC8-920D-9F7C03881E5E}" name="fixe Kosten €_2018/kW*a" dataDxfId="2005"/>
    <tableColumn id="48" xr3:uid="{1F2446C9-9970-4CF2-9242-6DCD9CD42A54}" name="Investitionsausgaben je Anschlusspunkt (€_2018)" dataDxfId="2004"/>
    <tableColumn id="20" xr3:uid="{26D8F49A-24DF-4A95-99E3-F23BCA77CEB0}" name="Bemerkungen" dataDxfId="2003"/>
    <tableColumn id="55" xr3:uid="{BB4CF91F-7FC2-4EDA-AA87-F78DB28FCAB5}" name="Fundstelle Lastverschiebung" dataDxfId="2002"/>
    <tableColumn id="54" xr3:uid="{4CC1BC5F-41CB-4C93-A647-5360CB4E91B2}" name="Fundstelle Lastverzicht" dataDxfId="2001"/>
    <tableColumn id="21" xr3:uid="{A6AC0C1F-6B9A-4521-9413-31DE9AFA8D4C}" name="Fundstelle Potenzial pos." dataDxfId="2000"/>
    <tableColumn id="22" xr3:uid="{EF3F114A-DB07-4E45-AD14-B5EB9C568644}" name="Fundstelle Potenzial neg." dataDxfId="1999"/>
    <tableColumn id="23" xr3:uid="{1A26511B-8C00-452E-A0E5-4CAAA6A442E5}" name="Fundstelle Mindestleistung" dataDxfId="1998"/>
    <tableColumn id="43" xr3:uid="{354E5854-DE4C-4A4E-9DBD-0860038E3407}" name="Fundstelle flexibilisierbarer Anteil" dataDxfId="1997"/>
    <tableColumn id="66" xr3:uid="{0ECA77BE-0D89-4580-A7C1-6B482BC34B84}" name="Fundstelle Durchschnittsauslastung" dataDxfId="1996"/>
    <tableColumn id="45" xr3:uid="{FD72B3DA-B33D-40C3-B879-5932E94FB1C9}" name="Fundstelle durchschnittliche Leistung" dataDxfId="1995"/>
    <tableColumn id="24" xr3:uid="{F8FD73D7-2FFE-49F6-94A1-F63AB9F28A86}" name="Fundstelle Maximalleistung" dataDxfId="1994"/>
    <tableColumn id="25" xr3:uid="{A10DF547-A22D-4B2D-91DE-833F848977DE}" name="Fundstelle installierte Leistung" dataDxfId="1993"/>
    <tableColumn id="39" xr3:uid="{E5A59A61-7647-4421-BF03-A234B5DBA670}" name="Fundstelle Aktivierungsdauer" dataDxfId="1992"/>
    <tableColumn id="26" xr3:uid="{1E1A396E-4253-4C59-B4C3-96BCFE70AEBF}" name="Fundstelle Schaltdauer" dataDxfId="1991"/>
    <tableColumn id="27" xr3:uid="{11A34591-0037-4C25-B158-6FBF5F6A874A}" name="Fundstelle Verschiebedauer" dataDxfId="1990"/>
    <tableColumn id="28" xr3:uid="{67B1CD86-A75D-4DFE-B838-D012EA8C10AA}" name="Fundstelle Regenerationsdauer" dataDxfId="1989"/>
    <tableColumn id="29" xr3:uid="{95CF2A93-DDE6-423F-A8C1-AACDEDE0B907}" name="Fundstelle Zeitverfügbarkeit" dataDxfId="1988"/>
    <tableColumn id="30" xr3:uid="{458878F8-9C20-4AD5-8165-C2485A8365C8}" name="Fundstelle max. Abrufhäufigkeit" dataDxfId="1987"/>
    <tableColumn id="31" xr3:uid="{98534495-4157-4713-AAFF-70B163E7DA6F}" name="Fundstelle Invest" dataDxfId="1986"/>
    <tableColumn id="32" xr3:uid="{198DD020-FF74-4DB5-9635-FC5D4D5CB9E6}" name="Fundstelle var. Kosten" dataDxfId="1985"/>
    <tableColumn id="33" xr3:uid="{99986DB4-3717-47AA-9722-E910DEA45EB1}" name="Fundstelle fixe Kosten" dataDxfId="1984"/>
    <tableColumn id="49" xr3:uid="{A18E3985-633E-4C7A-B8F9-166994B244BD}" name="Fundstelle Investition je Anschlusspunkt" dataDxfId="1983"/>
    <tableColumn id="34" xr3:uid="{BB7B6431-ECC6-424E-A545-036E71E8C54E}" name="Fundstelle Bemerkungen" dataDxfId="1982"/>
    <tableColumn id="35" xr3:uid="{9D2723F8-E541-4062-AE19-5071423D7010}" name="eigene Anmerkung" dataDxfId="1981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BW15" totalsRowShown="0" headerRowDxfId="1980" dataDxfId="1979" tableBorderDxfId="1978">
  <autoFilter ref="A1:BW15" xr:uid="{F701B2EC-E2AD-4208-957E-2645E6882D66}"/>
  <tableColumns count="75">
    <tableColumn id="1" xr3:uid="{60D4FDA9-9997-4B0E-8D45-9838C956EF80}" name="Prozess" dataDxfId="1977"/>
    <tableColumn id="47" xr3:uid="{3231BF80-5E4F-4907-B3C3-2F56FD15997B}" name="Sektorenzuordnung" dataDxfId="1976"/>
    <tableColumn id="2" xr3:uid="{ECDD713F-C18D-429B-892D-DB72464D78C1}" name="Jahr" dataDxfId="1975"/>
    <tableColumn id="52" xr3:uid="{904721C5-89FE-4DA0-9791-F6CD7835911F}" name="Lastverschiebung" dataDxfId="1974"/>
    <tableColumn id="53" xr3:uid="{EEE37A9B-F349-4734-A8D3-9F403FCBEF68}" name="Lastverzicht" dataDxfId="1973"/>
    <tableColumn id="68" xr3:uid="{668C5A4A-EE00-401A-AAD5-5EB8A19598D4}" name="Lasterhöhung" dataDxfId="1972"/>
    <tableColumn id="76" xr3:uid="{09A21753-3DBF-46D6-AC3B-5AF929EBCF7F}" name="Stromverbrauch von TWh" dataDxfId="1971"/>
    <tableColumn id="69" xr3:uid="{0E442F87-A96A-4544-B647-B26976D9EF8D}" name="Stromverbrauch bis TWh" dataDxfId="1970"/>
    <tableColumn id="3" xr3:uid="{FCA55FD3-0AEF-47EE-9A4B-BE0E81663A9D}" name="Potenzial pos. min MW" dataDxfId="1969"/>
    <tableColumn id="75" xr3:uid="{30D504FD-89B3-4972-BDDD-1D0FDB03908D}" name="Potenzial pos. MW Durchschnitt" dataDxfId="1968"/>
    <tableColumn id="5" xr3:uid="{CB4CAB24-3F6C-4A9A-A489-E4ED7605C338}" name="Potenzial pos. max MW" dataDxfId="1967"/>
    <tableColumn id="37" xr3:uid="{7ECF2D14-4284-4145-93B7-112E236DBE33}" name="ausgewiesenes Pot. pos. MW (falls abweichend)" dataDxfId="1966"/>
    <tableColumn id="50" xr3:uid="{87E58321-8A7E-4988-8E4F-4DC898AE64E3}" name="Potenzial neg. min MW" dataDxfId="1965"/>
    <tableColumn id="41" xr3:uid="{D059C1AC-18C1-4F8A-A018-145D4F0332AB}" name="Potenzial neg. MW Durchschnitt" dataDxfId="1964"/>
    <tableColumn id="6" xr3:uid="{32806F34-519A-4B45-99C5-C609149D3B5B}" name="Potenzial neg. max MW" dataDxfId="1963"/>
    <tableColumn id="7" xr3:uid="{CB692D92-EC2B-428C-A218-E1B289A8BCA1}" name="Mindestleistung MW" dataDxfId="1962"/>
    <tableColumn id="8" xr3:uid="{ECC8E31E-6FFF-4AFB-BFD9-8DA144B90D35}" name="Mindestauslastung" dataDxfId="1961" dataCellStyle="Prozent"/>
    <tableColumn id="36" xr3:uid="{D4D791BE-0078-4759-A4FE-9546D6AFBDE7}" name="flexibilisierbarer Anteil pos." dataDxfId="1960" dataCellStyle="Prozent"/>
    <tableColumn id="73" xr3:uid="{AE24365D-D19B-4EDE-A368-F4F49A20C332}" name="flexibilisierbarer Anteil neg." dataDxfId="1959" dataCellStyle="Prozent"/>
    <tableColumn id="65" xr3:uid="{5D05913C-06C6-4CDC-AA8B-E4D681CE9406}" name="Durchschnittsauslastung" dataDxfId="1958" dataCellStyle="Prozent"/>
    <tableColumn id="71" xr3:uid="{E84BC7A3-F949-4BE1-AEA0-2BCB441D055C}" name="Vollbenutzungsstunden h/a" dataDxfId="1957" dataCellStyle="Prozent"/>
    <tableColumn id="44" xr3:uid="{00571645-EB26-4B58-BC37-217560C3E85F}" name="Durchschnittliche Leistung MW" dataDxfId="1956" dataCellStyle="Prozent"/>
    <tableColumn id="9" xr3:uid="{02B8B5E4-8180-4205-82F9-3162FF12754B}" name="Maximalleistung MW" dataDxfId="1955"/>
    <tableColumn id="46" xr3:uid="{D306171C-BB20-4B62-BF39-8DA525D456BA}" name="Maximalauslastung" dataDxfId="1954" dataCellStyle="Prozent"/>
    <tableColumn id="10" xr3:uid="{10EEBF81-3ACE-4268-AD92-4995270BB74D}" name="installierte Leistung MW" dataDxfId="1953"/>
    <tableColumn id="11" xr3:uid="{D1B7628C-405B-4046-B8A2-05D733C1A26C}" name="Aktivierungsdauer (h)" dataDxfId="1952"/>
    <tableColumn id="61" xr3:uid="{BD29B452-DDF5-453C-B44B-A2AA31EBD494}" name="Schaltdauer pos. min (h)" dataDxfId="1951"/>
    <tableColumn id="60" xr3:uid="{FCC56CB6-3574-4C63-83F7-3266FC0FE471}" name="Schaltdauer pos. max (h)" dataDxfId="1950"/>
    <tableColumn id="12" xr3:uid="{A1B3B0FD-5B77-4301-BA1B-77FD15A1CA64}" name="Schaltdauer pos. (h)" dataDxfId="1949"/>
    <tableColumn id="63" xr3:uid="{5BF44D7F-CEF1-495D-BA97-1FE896B716DA}" name="Schaltdauer neg min (h)" dataDxfId="1948"/>
    <tableColumn id="62" xr3:uid="{7E8D768C-B9FC-4194-95E4-D88BCD53D754}" name="Schaltdauer neg. max (h)" dataDxfId="1947"/>
    <tableColumn id="51" xr3:uid="{6EF4DB76-DAE6-4E90-8A4B-CEC7BC36FF57}" name="Schaltdauer neg. (h)" dataDxfId="1946"/>
    <tableColumn id="42" xr3:uid="{0AA3ECBF-741C-4C84-A0FE-50B93347052F}" name="Verschiebedauer min. (h)" dataDxfId="1945"/>
    <tableColumn id="4" xr3:uid="{4CF0E444-4E1B-4528-BF5D-062182D6C455}" name="Verschiebedauer max (h)" dataDxfId="1944"/>
    <tableColumn id="13" xr3:uid="{2D701B35-5F44-4AF9-8800-0CF72DEE713D}" name="Verschiebedauer (h)" dataDxfId="1943"/>
    <tableColumn id="14" xr3:uid="{4DBBC50B-4226-4EE5-ACD9-DFE1DB8A69D5}" name="Regenerationsdauer (h)" dataDxfId="1942"/>
    <tableColumn id="15" xr3:uid="{A2B020A5-7980-4259-A265-1A687D072C8F}" name="Zeitverfügbarkeit?" dataDxfId="1941"/>
    <tableColumn id="16" xr3:uid="{3067C4F5-A517-4216-9C8B-8B04DFC7F560}" name="max. Abrufhäufigkeit pro Woche" dataDxfId="1940"/>
    <tableColumn id="40" xr3:uid="{1E8D0A45-5622-49CE-B70C-C807663AF835}" name="max. Abrufhäufigkeit pro Jahr" dataDxfId="1939"/>
    <tableColumn id="57" xr3:uid="{8500FE35-D41F-4AD6-B6A7-3C9CD1FA4197}" name="min. Investitionsausgaben €_2018/kW" dataDxfId="1938"/>
    <tableColumn id="56" xr3:uid="{D13DDC28-CD3A-48C5-A5F2-1B1B94CD78EA}" name="max. Investitionsausgaben €_2018/kW" dataDxfId="1937"/>
    <tableColumn id="17" xr3:uid="{0760F5D0-EA4F-478C-8B39-AAFA10CFD354}" name="Investitionsausgaben €_2018/kW" dataDxfId="1936"/>
    <tableColumn id="70" xr3:uid="{41221DBC-6094-48CD-89D3-00CE2E84B967}" name="Betriebskosten €_2018/kW*a" dataDxfId="1935"/>
    <tableColumn id="59" xr3:uid="{B1216194-4944-4383-9212-D8D7BF5577B1}" name="var. Kosten min. €_2018/MWh" dataDxfId="1934"/>
    <tableColumn id="58" xr3:uid="{6424FFBB-D09E-4D88-A133-A5107AA40643}" name="var. Kosten max. €_2018/MWh" dataDxfId="1933"/>
    <tableColumn id="18" xr3:uid="{42991765-E30B-4058-AD4B-2A38B8827A14}" name="variable Kosten €_2018/MWh" dataDxfId="1932"/>
    <tableColumn id="64" xr3:uid="{EE77537C-B3C5-4460-BE05-D72A5514C0E8}" name="fixe Kosten min. €_2018/kW*a" dataDxfId="1931"/>
    <tableColumn id="67" xr3:uid="{AB3036AB-5683-463D-B403-578873EE9681}" name="fixe Kosten max. €_2018/kW*a" dataDxfId="1930"/>
    <tableColumn id="19" xr3:uid="{131A3FCB-4F12-461B-BEDA-C747C313C050}" name="fixe Kosten €_2018/kW*a" dataDxfId="1929"/>
    <tableColumn id="48" xr3:uid="{E71596FC-1A46-4D7E-86B6-90CF3ED07B21}" name="Investitionsausgaben je Anschlusspunkt (€_2018)" dataDxfId="1928"/>
    <tableColumn id="20" xr3:uid="{D2CDA096-24C0-4AC8-81FC-053DEFC75665}" name="Bemerkungen" dataDxfId="1927"/>
    <tableColumn id="55" xr3:uid="{31D6DB02-4012-4AA2-91AB-D48F8329F0A2}" name="Fundstelle Lastverschiebung" dataDxfId="1926"/>
    <tableColumn id="54" xr3:uid="{B7C38E36-9CA7-4324-9229-28127122B928}" name="Fundstelle Lastverzicht" dataDxfId="1925"/>
    <tableColumn id="77" xr3:uid="{FA2B6ED1-6184-43E5-B407-7E87A3B615A5}" name="Fundstelle Stromverbrauch" dataDxfId="1924"/>
    <tableColumn id="21" xr3:uid="{106BB4FE-66C5-4C8E-BFE9-E1C42C35EA3E}" name="Fundstelle Potenzial pos." dataDxfId="1923"/>
    <tableColumn id="22" xr3:uid="{50973332-0E8D-4999-8298-3549B8C2A2EC}" name="Fundstelle Potenzial neg." dataDxfId="1922"/>
    <tableColumn id="23" xr3:uid="{8B55F8AD-70F9-47B5-A9CF-503F707F99BA}" name="Fundstelle Mindestleistung" dataDxfId="1921"/>
    <tableColumn id="43" xr3:uid="{70DE36C5-314D-413C-98DA-857C31A1D7C5}" name="Fundstelle flexibilisierbarer Anteil" dataDxfId="1920"/>
    <tableColumn id="66" xr3:uid="{0D8CBCD7-26BD-49C9-B3D7-F61792859F55}" name="Fundstelle Durchschnittsauslastung" dataDxfId="1919"/>
    <tableColumn id="45" xr3:uid="{4B27CD84-07E6-4607-A73C-B07E1D966440}" name="Fundstelle durchschnittliche Leistung" dataDxfId="1918"/>
    <tableColumn id="24" xr3:uid="{E88FE3FD-8B52-42B5-8CA3-47EDAB51CE83}" name="Fundstelle Maximalleistung" dataDxfId="1917"/>
    <tableColumn id="25" xr3:uid="{5AB8E9FB-0F74-44BD-978C-82DA7F5D8F25}" name="Fundstelle installierte Leistung" dataDxfId="1916"/>
    <tableColumn id="39" xr3:uid="{EA2024A4-BEBA-4616-B16F-7C11F00FDF54}" name="Fundstelle Aktivierungsdauer" dataDxfId="1915"/>
    <tableColumn id="26" xr3:uid="{8D708614-4FFC-42E6-80F3-A8B112113271}" name="Fundstelle Schaltdauer" dataDxfId="1914"/>
    <tableColumn id="27" xr3:uid="{28956575-1520-4CC4-B4C5-9F516A0B6E5D}" name="Fundstelle Verschiebedauer" dataDxfId="1913"/>
    <tableColumn id="28" xr3:uid="{A689A1CB-2511-4B80-AB1D-9DB5E9FD4107}" name="Fundstelle Regenerationsdauer" dataDxfId="1912"/>
    <tableColumn id="29" xr3:uid="{913A538D-9D46-4173-AAD9-137CCA1BD75F}" name="Fundstelle Zeitverfügbarkeit" dataDxfId="1911"/>
    <tableColumn id="30" xr3:uid="{97FD768C-DB19-4F68-9B19-850FCA13C099}" name="Fundstelle max. Abrufhäufigkeit" dataDxfId="1910"/>
    <tableColumn id="31" xr3:uid="{E40EB1E9-F496-42F6-BA8B-730211C93707}" name="Fundstelle Invest" dataDxfId="1909"/>
    <tableColumn id="72" xr3:uid="{B879527B-BD00-4F2A-A3F0-558C178D294C}" name="Fundstelle Betriebskosten" dataDxfId="1908"/>
    <tableColumn id="32" xr3:uid="{28C66025-11D6-46C5-B522-DD9371992897}" name="Fundstelle var. Kosten" dataDxfId="1907"/>
    <tableColumn id="33" xr3:uid="{203FBECA-B121-496A-833A-979A4EE749D6}" name="Fundstelle fixe Kosten" dataDxfId="1906"/>
    <tableColumn id="49" xr3:uid="{6318EEA8-1AFC-4423-84C5-928D43AC9A3F}" name="Fundstelle Investition je Anschlusspunkt" dataDxfId="1905"/>
    <tableColumn id="34" xr3:uid="{2FFDD081-F18B-447E-B25E-72C55B16F50D}" name="Fundstelle Bemerkungen" dataDxfId="1904"/>
    <tableColumn id="35" xr3:uid="{F0E97C70-C722-48C7-AC8A-222545466FE3}" name="eigene Anmerkung" dataDxfId="190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CD34" totalsRowShown="0" headerRowDxfId="1902" dataDxfId="1901" tableBorderDxfId="1900">
  <autoFilter ref="A1:CD34" xr:uid="{00000000-0009-0000-0100-000013000000}"/>
  <tableColumns count="82">
    <tableColumn id="1" xr3:uid="{00000000-0010-0000-1100-000001000000}" name="Prozess" dataDxfId="1899"/>
    <tableColumn id="47" xr3:uid="{00000000-0010-0000-1100-00002F000000}" name="Sektorenzuordnung" dataDxfId="1898"/>
    <tableColumn id="2" xr3:uid="{00000000-0010-0000-1100-000002000000}" name="Jahr" dataDxfId="1897"/>
    <tableColumn id="52" xr3:uid="{00000000-0010-0000-1100-000034000000}" name="Lastverschiebung" dataDxfId="1896"/>
    <tableColumn id="53" xr3:uid="{00000000-0010-0000-1100-000035000000}" name="Lastverzicht" dataDxfId="1895"/>
    <tableColumn id="78" xr3:uid="{BB48C46C-C55A-4A5F-BB39-EAC2DD6DCCA5}" name="Lasterhöhung" dataDxfId="1894"/>
    <tableColumn id="67" xr3:uid="{00000000-0010-0000-1100-000043000000}" name="Stromverbrauch in TWh" dataDxfId="1893"/>
    <tableColumn id="3" xr3:uid="{00000000-0010-0000-1100-000003000000}" name="Potenzial pos. min MW" dataDxfId="1892"/>
    <tableColumn id="38" xr3:uid="{00000000-0010-0000-1100-000026000000}" name="Potenzial pos. MW Durchschnitt" dataDxfId="1891"/>
    <tableColumn id="5" xr3:uid="{00000000-0010-0000-1100-000005000000}" name="Potenzial pos. max MW" dataDxfId="1890"/>
    <tableColumn id="71" xr3:uid="{00000000-0010-0000-1100-000047000000}" name="Potenzial pos. max MW Lastverzicht" dataDxfId="1889"/>
    <tableColumn id="37" xr3:uid="{00000000-0010-0000-1100-000025000000}" name="ausgewiesenes Pot. pos. MW (falls abweichend)" dataDxfId="1888"/>
    <tableColumn id="50" xr3:uid="{00000000-0010-0000-1100-000032000000}" name="Potenzial neg. min MW" dataDxfId="1887"/>
    <tableColumn id="41" xr3:uid="{00000000-0010-0000-1100-000029000000}" name="Potenzial neg. MW Durchschnitt" dataDxfId="1886"/>
    <tableColumn id="6" xr3:uid="{00000000-0010-0000-1100-000006000000}" name="Potenzial neg. max MW" dataDxfId="1885"/>
    <tableColumn id="7" xr3:uid="{00000000-0010-0000-1100-000007000000}" name="Mindestleistung MW" dataDxfId="1884"/>
    <tableColumn id="8" xr3:uid="{00000000-0010-0000-1100-000008000000}" name="Mindestauslastung" dataDxfId="1883" dataCellStyle="Prozent"/>
    <tableColumn id="36" xr3:uid="{00000000-0010-0000-1100-000024000000}" name="flexibilisierbarer Anteil pos. an Durchschnittsauslastung" dataDxfId="1882" dataCellStyle="Prozent"/>
    <tableColumn id="69" xr3:uid="{00000000-0010-0000-1100-000045000000}" name="flexibilisierbarer Anteil neg. an Durchschnittsauslastung" dataDxfId="1881" dataCellStyle="Prozent"/>
    <tableColumn id="65" xr3:uid="{00000000-0010-0000-1100-000041000000}" name="Durchschnittsauslastung" dataDxfId="1880" dataCellStyle="Prozent"/>
    <tableColumn id="70" xr3:uid="{00000000-0010-0000-1100-000046000000}" name="Betriebsstunden p.a." dataDxfId="1879" dataCellStyle="Prozent"/>
    <tableColumn id="44" xr3:uid="{00000000-0010-0000-1100-00002C000000}" name="Durchschnittliche Leistung MW" dataDxfId="1878" dataCellStyle="Prozent"/>
    <tableColumn id="9" xr3:uid="{00000000-0010-0000-1100-000009000000}" name="Maximalleistung MW" dataDxfId="1877"/>
    <tableColumn id="46" xr3:uid="{00000000-0010-0000-1100-00002E000000}" name="Maximalauslastung" dataDxfId="1876" dataCellStyle="Prozent"/>
    <tableColumn id="10" xr3:uid="{00000000-0010-0000-1100-00000A000000}" name="installierte Leistung MW" dataDxfId="1875"/>
    <tableColumn id="11" xr3:uid="{00000000-0010-0000-1100-00000B000000}" name="Aktivierungsdauer (h)" dataDxfId="1874"/>
    <tableColumn id="61" xr3:uid="{00000000-0010-0000-1100-00003D000000}" name="Schaltdauer pos. min (h)" dataDxfId="1873">
      <calculatedColumnFormula>2/60</calculatedColumnFormula>
    </tableColumn>
    <tableColumn id="60" xr3:uid="{00000000-0010-0000-1100-00003C000000}" name="Schaltdauer pos. max (h)" dataDxfId="1872"/>
    <tableColumn id="81" xr3:uid="{24D4329C-6A8F-4D4B-B1E1-A0045511F0D3}" name="Schaltdauer pos. min (h) Lastverzicht" dataDxfId="1871"/>
    <tableColumn id="80" xr3:uid="{9849B2FC-C05C-403A-B551-F92D45AFDC85}" name="Schaltdauer pos. max (h) Lastverzicht" dataDxfId="1870"/>
    <tableColumn id="12" xr3:uid="{00000000-0010-0000-1100-00000C000000}" name="Schaltdauer pos. (h)" dataDxfId="1869"/>
    <tableColumn id="79" xr3:uid="{5AD04540-F962-44EE-9B0E-E72A2A85ED5B}" name="Schaltdauer pos. (h) Lastverzicht" dataDxfId="1868"/>
    <tableColumn id="63" xr3:uid="{00000000-0010-0000-1100-00003F000000}" name="Schaltdauer neg min (h)" dataDxfId="1867"/>
    <tableColumn id="62" xr3:uid="{00000000-0010-0000-1100-00003E000000}" name="Schaltdauer neg. max (h)" dataDxfId="1866"/>
    <tableColumn id="51" xr3:uid="{00000000-0010-0000-1100-000033000000}" name="Schaltdauer neg. (h)" dataDxfId="1865"/>
    <tableColumn id="42" xr3:uid="{00000000-0010-0000-1100-00002A000000}" name="Verschiebedauer min. (h)" dataDxfId="1864"/>
    <tableColumn id="4" xr3:uid="{00000000-0010-0000-1100-000004000000}" name="Verschiebedauer max (h)" dataDxfId="1863"/>
    <tableColumn id="13" xr3:uid="{00000000-0010-0000-1100-00000D000000}" name="Verschiebedauer (h)" dataDxfId="1862"/>
    <tableColumn id="14" xr3:uid="{00000000-0010-0000-1100-00000E000000}" name="Regenerationsdauer pos. (h)" dataDxfId="1861"/>
    <tableColumn id="76" xr3:uid="{00000000-0010-0000-1100-00004C000000}" name="Regenerationsdauer neg. (h)" dataDxfId="1860"/>
    <tableColumn id="15" xr3:uid="{00000000-0010-0000-1100-00000F000000}" name="Zeitverfügbarkeit?" dataDxfId="1859"/>
    <tableColumn id="16" xr3:uid="{00000000-0010-0000-1100-000010000000}" name="max. Abrufhäufigkeit pro Woche" dataDxfId="1858"/>
    <tableColumn id="40" xr3:uid="{00000000-0010-0000-1100-000028000000}" name="max. Abrufhäufigkeit pro Jahr" dataDxfId="1857"/>
    <tableColumn id="82" xr3:uid="{1361399C-7671-42F6-AE28-BA969E9A2C62}" name="max. Abrufhäufigkeit pro Jahr Lastverschiebung" dataDxfId="1856"/>
    <tableColumn id="57" xr3:uid="{00000000-0010-0000-1100-000039000000}" name="min. Investitionsausgaben €_2018/kW" dataDxfId="1855">
      <calculatedColumnFormula>0.2*Umrechnungsfaktoren!$B$15/Umrechnungsfaktoren!$B$14</calculatedColumnFormula>
    </tableColumn>
    <tableColumn id="56" xr3:uid="{00000000-0010-0000-1100-000038000000}" name="max. Investitionsausgaben €_2018/kW" dataDxfId="1854">
      <calculatedColumnFormula>0.9*Umrechnungsfaktoren!$B$15/Umrechnungsfaktoren!$B$14</calculatedColumnFormula>
    </tableColumn>
    <tableColumn id="17" xr3:uid="{00000000-0010-0000-1100-000011000000}" name="Investitionsausgaben €_2018/kW" dataDxfId="1853">
      <calculatedColumnFormula>0.5*Umrechnungsfaktoren!$B$15/Umrechnungsfaktoren!$B$14</calculatedColumnFormula>
    </tableColumn>
    <tableColumn id="59" xr3:uid="{00000000-0010-0000-1100-00003B000000}" name="var. Kosten min. €_2018/MWh" dataDxfId="1852"/>
    <tableColumn id="58" xr3:uid="{00000000-0010-0000-1100-00003A000000}" name="var. Kosten max. €_2018/MWh" dataDxfId="1851"/>
    <tableColumn id="18" xr3:uid="{00000000-0010-0000-1100-000012000000}" name="variable Kosten pos. €_2018/MWh" dataDxfId="1850">
      <calculatedColumnFormula>7.2*Umrechnungsfaktoren!$B$15/Umrechnungsfaktoren!$B$14</calculatedColumnFormula>
    </tableColumn>
    <tableColumn id="77" xr3:uid="{00000000-0010-0000-1100-00004D000000}" name="variable Kosten neg. €_2018/MWh" dataDxfId="1849">
      <calculatedColumnFormula>27.7*Umrechnungsfaktoren!$B$15/Umrechnungsfaktoren!$B$14</calculatedColumnFormula>
    </tableColumn>
    <tableColumn id="72" xr3:uid="{00000000-0010-0000-1100-000048000000}" name="variable Kosten Lastverzicht €_2018/MWh" dataDxfId="1848">
      <calculatedColumnFormula>96*Umrechnungsfaktoren!$B$15/Umrechnungsfaktoren!$B$14</calculatedColumnFormula>
    </tableColumn>
    <tableColumn id="64" xr3:uid="{00000000-0010-0000-1100-000040000000}" name="fixe Kosten min. €_2018/kW*a" dataDxfId="1847"/>
    <tableColumn id="19" xr3:uid="{00000000-0010-0000-1100-000013000000}" name="fixe Kosten €_2018/kW*a" dataDxfId="1846">
      <calculatedColumnFormula>0.05*Umrechnungsfaktoren!$B$15/Umrechnungsfaktoren!$B$14</calculatedColumnFormula>
    </tableColumn>
    <tableColumn id="48" xr3:uid="{00000000-0010-0000-1100-000030000000}" name="Investitionsausgaben je Anschlusspunkt (€_2018)" dataDxfId="1845">
      <calculatedColumnFormula>3000*Umrechnungsfaktoren!$B$15/Umrechnungsfaktoren!$B$14</calculatedColumnFormula>
    </tableColumn>
    <tableColumn id="73" xr3:uid="{00000000-0010-0000-1100-000049000000}" name="Wirkungsgrad pos." dataDxfId="1844"/>
    <tableColumn id="75" xr3:uid="{00000000-0010-0000-1100-00004B000000}" name="Wirkungsgrad neg." dataDxfId="1843"/>
    <tableColumn id="20" xr3:uid="{00000000-0010-0000-1100-000014000000}" name="Bemerkungen" dataDxfId="1842"/>
    <tableColumn id="55" xr3:uid="{00000000-0010-0000-1100-000037000000}" name="Fundstelle Lastverschiebung" dataDxfId="1841"/>
    <tableColumn id="54" xr3:uid="{00000000-0010-0000-1100-000036000000}" name="Fundstelle Lastverzicht" dataDxfId="1840"/>
    <tableColumn id="68" xr3:uid="{00000000-0010-0000-1100-000044000000}" name="Fundstelle Stromverbrauch" dataDxfId="1839"/>
    <tableColumn id="21" xr3:uid="{00000000-0010-0000-1100-000015000000}" name="Fundstelle Potenzial pos." dataDxfId="1838"/>
    <tableColumn id="22" xr3:uid="{00000000-0010-0000-1100-000016000000}" name="Fundstelle Potenzial neg." dataDxfId="1837"/>
    <tableColumn id="23" xr3:uid="{00000000-0010-0000-1100-000017000000}" name="Fundstelle Mindestleistung" dataDxfId="1836"/>
    <tableColumn id="43" xr3:uid="{00000000-0010-0000-1100-00002B000000}" name="Fundstelle flexibilisierbarer Anteil" dataDxfId="1835"/>
    <tableColumn id="66" xr3:uid="{00000000-0010-0000-1100-000042000000}" name="Fundstelle Durchschnittsauslastung" dataDxfId="1834"/>
    <tableColumn id="45" xr3:uid="{00000000-0010-0000-1100-00002D000000}" name="Fundstelle durchschnittliche Leistung" dataDxfId="1833"/>
    <tableColumn id="24" xr3:uid="{00000000-0010-0000-1100-000018000000}" name="Fundstelle Maximalleistung" dataDxfId="1832"/>
    <tableColumn id="25" xr3:uid="{00000000-0010-0000-1100-000019000000}" name="Fundstelle installierte Leistung" dataDxfId="1831"/>
    <tableColumn id="39" xr3:uid="{00000000-0010-0000-1100-000027000000}" name="Fundstelle Aktivierungsdauer" dataDxfId="1830"/>
    <tableColumn id="26" xr3:uid="{00000000-0010-0000-1100-00001A000000}" name="Fundstelle Schaltdauer" dataDxfId="1829"/>
    <tableColumn id="27" xr3:uid="{00000000-0010-0000-1100-00001B000000}" name="Fundstelle Verschiebedauer" dataDxfId="1828"/>
    <tableColumn id="28" xr3:uid="{00000000-0010-0000-1100-00001C000000}" name="Fundstelle Regenerationsdauer" dataDxfId="1827"/>
    <tableColumn id="29" xr3:uid="{00000000-0010-0000-1100-00001D000000}" name="Fundstelle Zeitverfügbarkeit" dataDxfId="1826"/>
    <tableColumn id="30" xr3:uid="{00000000-0010-0000-1100-00001E000000}" name="Fundstelle max. Abrufhäufigkeit" dataDxfId="1825"/>
    <tableColumn id="31" xr3:uid="{00000000-0010-0000-1100-00001F000000}" name="Fundstelle Invest" dataDxfId="1824"/>
    <tableColumn id="32" xr3:uid="{00000000-0010-0000-1100-000020000000}" name="Fundstelle var. Kosten" dataDxfId="1823"/>
    <tableColumn id="33" xr3:uid="{00000000-0010-0000-1100-000021000000}" name="Fundstelle fixe Kosten" dataDxfId="1822"/>
    <tableColumn id="49" xr3:uid="{00000000-0010-0000-1100-000031000000}" name="Fundstelle Investition je Anschlusspunkt" dataDxfId="1821"/>
    <tableColumn id="74" xr3:uid="{00000000-0010-0000-1100-00004A000000}" name="Fundstelle Wirkungsgrad" dataDxfId="1820"/>
    <tableColumn id="34" xr3:uid="{00000000-0010-0000-1100-000022000000}" name="Fundstelle Bemerkungen" dataDxfId="1819"/>
    <tableColumn id="35" xr3:uid="{00000000-0010-0000-1100-000023000000}" name="eigene Anmerkung" dataDxfId="181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BY12" totalsRowShown="0" headerRowDxfId="1817" dataDxfId="1816" tableBorderDxfId="1815">
  <autoFilter ref="A1:BY12" xr:uid="{F701B2EC-E2AD-4208-957E-2645E6882D66}"/>
  <tableColumns count="77">
    <tableColumn id="1" xr3:uid="{DC6BC179-EF4B-4362-85B7-F94DCFF1400E}" name="Prozess" dataDxfId="1814"/>
    <tableColumn id="47" xr3:uid="{1E562F7D-0294-4D8A-8E3A-1A8AC50C13C5}" name="Sektorenzuordnung" dataDxfId="1813"/>
    <tableColumn id="2" xr3:uid="{557A65FD-3A5C-463A-97EE-0E6CF65B4C27}" name="Jahr" dataDxfId="1812"/>
    <tableColumn id="52" xr3:uid="{59337E75-E973-46A2-85CD-5E4C30936482}" name="Lastverschiebung" dataDxfId="1811"/>
    <tableColumn id="53" xr3:uid="{47DDB4D2-154C-4604-86E0-D2ECD974853B}" name="Lastverzicht" dataDxfId="1810"/>
    <tableColumn id="68" xr3:uid="{B5CE66E4-D69D-4D9B-BE03-A44C94AEECD6}" name="Lasterhöhung" dataDxfId="1809"/>
    <tableColumn id="76" xr3:uid="{CD72026E-AAC6-4DC5-BEBD-38776B6EC245}" name="Stromverbrauch von TWh" dataDxfId="1808"/>
    <tableColumn id="69" xr3:uid="{397FF19B-0798-4828-AE6C-0781813F0841}" name="Stromverbrauch bis TWh" dataDxfId="1807"/>
    <tableColumn id="3" xr3:uid="{D3CF2327-31C5-4C96-82FF-6A482860E650}" name="Potenzial pos. min MW" dataDxfId="1806"/>
    <tableColumn id="75" xr3:uid="{86F5F6FB-3FE5-4447-8E6F-28626C87AB9E}" name="Potenzial pos. MW Durchschnitt Winter" dataDxfId="1805"/>
    <tableColumn id="38" xr3:uid="{34B8C0F8-29BC-4993-AD7C-89E8CFEFD0DA}" name="Potenzial pos. MW Durchschnitt Sommer" dataDxfId="1804"/>
    <tableColumn id="5" xr3:uid="{C9FBA385-3319-410C-9E95-D75ADAF90F00}" name="Potenzial pos. max MW" dataDxfId="1803"/>
    <tableColumn id="37" xr3:uid="{4033412C-F990-4AD2-8E9C-A03B5ABB0545}" name="ausgewiesenes Pot. pos. MW (falls abweichend)" dataDxfId="1802"/>
    <tableColumn id="50" xr3:uid="{00A10106-9BFC-4BCD-9BF6-E5EC10846CBB}" name="Potenzial neg. min MW" dataDxfId="1801"/>
    <tableColumn id="41" xr3:uid="{F6BCC037-E74A-46E2-A7BB-951C2F3F046C}" name="Potenzial neg. MW Durchschnitt Winter" dataDxfId="1800"/>
    <tableColumn id="74" xr3:uid="{7501D560-A540-4CF0-9493-781F98A90DBE}" name="Potenzial neg. MW Durchschnitt Sommer" dataDxfId="1799"/>
    <tableColumn id="6" xr3:uid="{BA722911-42F2-4D14-915F-A100E95C2268}" name="Potenzial neg. max MW" dataDxfId="1798"/>
    <tableColumn id="7" xr3:uid="{FFD97DFC-A711-499A-BED7-5015D876FEBF}" name="Mindestleistung MW" dataDxfId="1797"/>
    <tableColumn id="8" xr3:uid="{84E64957-1E9D-48C7-A06E-E7B5457A1180}" name="Mindestauslastung" dataDxfId="1796" dataCellStyle="Prozent"/>
    <tableColumn id="36" xr3:uid="{7021F6C5-608E-4A20-9686-037C7C0EE956}" name="flexibilisierbarer Anteil pos." dataDxfId="1795" dataCellStyle="Prozent"/>
    <tableColumn id="73" xr3:uid="{116DBAF6-360B-41D4-AFF4-2B005B4105BE}" name="flexibilisierbarer Anteil neg." dataDxfId="1794" dataCellStyle="Prozent"/>
    <tableColumn id="65" xr3:uid="{9ED8E38F-9980-40B3-AEE6-D993D61DB630}" name="Durchschnittsauslastung" dataDxfId="1793" dataCellStyle="Prozent"/>
    <tableColumn id="71" xr3:uid="{6B326485-26D9-4A47-B154-914784C9A5CD}" name="Vollbenutzungsstunden h/a" dataDxfId="1792" dataCellStyle="Prozent"/>
    <tableColumn id="44" xr3:uid="{97D186C2-522E-44DF-BBEA-DDC2D8F65070}" name="Durchschnittliche Leistung MW" dataDxfId="1791" dataCellStyle="Prozent"/>
    <tableColumn id="9" xr3:uid="{F1FC41B8-1308-4099-9233-0D4F701AC58B}" name="Maximalleistung MW" dataDxfId="1790"/>
    <tableColumn id="46" xr3:uid="{20FE6C32-3BC8-4BC2-A20A-65D78A9F6081}" name="Maximalauslastung" dataDxfId="1789" dataCellStyle="Prozent"/>
    <tableColumn id="10" xr3:uid="{C7F68E8B-0C4A-48EF-90EC-2F76ED8AB457}" name="installierte Leistung MW" dataDxfId="1788"/>
    <tableColumn id="11" xr3:uid="{F67F7135-78D8-4FC1-AED5-C20212DCBE63}" name="Aktivierungsdauer (h)" dataDxfId="1787"/>
    <tableColumn id="61" xr3:uid="{5A60CEF2-953F-4BA1-820D-70D5D9D8C650}" name="Schaltdauer pos. min (h)" dataDxfId="1786"/>
    <tableColumn id="60" xr3:uid="{FA27EBC3-4CA1-408D-BE04-3E7F7EF3C069}" name="Schaltdauer pos. max (h)" dataDxfId="1785"/>
    <tableColumn id="12" xr3:uid="{931633FF-2F96-499C-AC78-95715C929F3F}" name="Schaltdauer pos. (h)" dataDxfId="1784"/>
    <tableColumn id="63" xr3:uid="{ACCC1A9A-ECD9-41FF-8110-65BE67EB2280}" name="Schaltdauer neg min (h)" dataDxfId="1783"/>
    <tableColumn id="62" xr3:uid="{2D44AE9E-C3E4-4D36-926A-DF7EED1522C3}" name="Schaltdauer neg. max (h)" dataDxfId="1782"/>
    <tableColumn id="51" xr3:uid="{A7A9328D-887B-4641-B0D6-8C5A1D24CE69}" name="Schaltdauer neg. (h)" dataDxfId="1781"/>
    <tableColumn id="42" xr3:uid="{D6E9EBCD-2921-483F-BF94-3E9FD6BF44D2}" name="Verschiebedauer min. (h)" dataDxfId="1780"/>
    <tableColumn id="4" xr3:uid="{C619249B-F12B-48AB-AF0C-D4843EF7AC0E}" name="Verschiebedauer max (h)" dataDxfId="1779"/>
    <tableColumn id="13" xr3:uid="{1BDC2835-DB25-4AAA-91D2-CFDD8C6DA7F1}" name="Verschiebedauer (h)" dataDxfId="1778"/>
    <tableColumn id="14" xr3:uid="{CF01983C-B175-4BF0-A373-3E8C677BA915}" name="Regenerationsdauer (h)" dataDxfId="1777"/>
    <tableColumn id="15" xr3:uid="{CBDEB952-3864-47D3-9D08-128D3A9AB783}" name="Zeitverfügbarkeit?" dataDxfId="1776"/>
    <tableColumn id="16" xr3:uid="{98A1B448-5BC4-4DFF-8C51-FED58CC1EB4D}" name="max. Abrufhäufigkeit pro Woche" dataDxfId="1775"/>
    <tableColumn id="40" xr3:uid="{97069CBF-9A74-4BF1-9F07-094CE005EDDD}" name="max. Abrufhäufigkeit pro Jahr" dataDxfId="1774"/>
    <tableColumn id="57" xr3:uid="{1A7341A9-0C94-4EE4-8EC3-E5DF375124B8}" name="min. Investitionsausgaben €_2018/kW" dataDxfId="1773"/>
    <tableColumn id="56" xr3:uid="{B43B3448-A734-420C-9FE9-A81167DE2850}" name="max. Investitionsausgaben €_2018/kW" dataDxfId="1772"/>
    <tableColumn id="17" xr3:uid="{E8182D62-D260-481A-9BBC-3AA9EB6D4E6C}" name="Investitionsausgaben €_2018/kW" dataDxfId="1771"/>
    <tableColumn id="70" xr3:uid="{2FE6B4A1-7D5C-423E-B5D0-6DD8C39E40FA}" name="Betriebskosten €_2018/kW*a" dataDxfId="1770">
      <calculatedColumnFormula>2.43*Umrechnungsfaktoren!$B$15/Umrechnungsfaktoren!$B$7</calculatedColumnFormula>
    </tableColumn>
    <tableColumn id="59" xr3:uid="{8A9B3736-E5CC-41D5-8F81-EDDFEDB58D7D}" name="var. Kosten min. €_2018/MWh" dataDxfId="1769"/>
    <tableColumn id="58" xr3:uid="{3BA71C54-2C2F-4DF4-9AEC-7F95B14D4D38}" name="var. Kosten max. €_2018/MWh" dataDxfId="1768"/>
    <tableColumn id="18" xr3:uid="{78092BBB-1015-49F5-84A1-143D4AD46B70}" name="variable Kosten €_2018/MWh" dataDxfId="1767"/>
    <tableColumn id="64" xr3:uid="{79089E9D-B9A3-40BA-87CB-E7AD0E35DB7D}" name="fixe Kosten min. €_2018/kW*a" dataDxfId="1766"/>
    <tableColumn id="67" xr3:uid="{87279FD6-D649-4251-9DC7-6047E647DBD9}" name="fixe Kosten max. €_2018/kW*a" dataDxfId="1765"/>
    <tableColumn id="19" xr3:uid="{C31FB313-F989-4144-B955-C1A24B700E1F}" name="fixe Kosten €_2018/kW*a" dataDxfId="1764"/>
    <tableColumn id="48" xr3:uid="{CC34402F-9188-4D59-85F9-256FD5EC6217}" name="Investitionsausgaben je Anschlusspunkt (€_2018)" dataDxfId="1763"/>
    <tableColumn id="20" xr3:uid="{A15C4103-9178-4ADD-A090-ECAC24C99A7C}" name="Bemerkungen" dataDxfId="1762"/>
    <tableColumn id="55" xr3:uid="{05676995-98E1-43CE-9A69-A14498A3B83D}" name="Fundstelle Lastverschiebung" dataDxfId="1761"/>
    <tableColumn id="54" xr3:uid="{9EBA6FFC-121B-4843-B9A7-ADC3E3BC4AE0}" name="Fundstelle Lastverzicht" dataDxfId="1760"/>
    <tableColumn id="77" xr3:uid="{B8DB8FCD-1760-4661-9C41-1B90392388F2}" name="Fundstelle Stromverbrauch" dataDxfId="1759"/>
    <tableColumn id="21" xr3:uid="{D199A964-2A23-4A9C-9953-6C8672990CBB}" name="Fundstelle Potenzial pos." dataDxfId="1758"/>
    <tableColumn id="22" xr3:uid="{DD4DA05A-F4A6-4604-9694-92DA6E401C4B}" name="Fundstelle Potenzial neg." dataDxfId="1757"/>
    <tableColumn id="23" xr3:uid="{2A48AF6A-4D58-4095-8482-BC40F69C89FD}" name="Fundstelle Mindestleistung" dataDxfId="1756"/>
    <tableColumn id="43" xr3:uid="{1E167E9E-CEFD-4CFA-B585-1E08BFEA0D2B}" name="Fundstelle flexibilisierbarer Anteil" dataDxfId="1755"/>
    <tableColumn id="66" xr3:uid="{79292C97-7591-4197-A9CE-C3156798D34D}" name="Fundstelle Durchschnittsauslastung" dataDxfId="1754"/>
    <tableColumn id="45" xr3:uid="{3708DFAF-62EC-4AD8-B086-B6483B6D3591}" name="Fundstelle durchschnittliche Leistung" dataDxfId="1753"/>
    <tableColumn id="24" xr3:uid="{4C5D21DA-3386-479F-BA98-D4AE50E16868}" name="Fundstelle Maximalleistung" dataDxfId="1752"/>
    <tableColumn id="25" xr3:uid="{6E2AE81D-F133-4AB5-895B-E22279C52740}" name="Fundstelle installierte Leistung" dataDxfId="1751"/>
    <tableColumn id="39" xr3:uid="{A27B5C99-08A7-459F-9E39-0BC5E4BA9950}" name="Fundstelle Aktivierungsdauer" dataDxfId="1750"/>
    <tableColumn id="26" xr3:uid="{B3BFBE45-058D-4393-941F-2E3D43FC56C8}" name="Fundstelle Schaltdauer" dataDxfId="1749"/>
    <tableColumn id="27" xr3:uid="{2459CC72-4FFF-4870-95F3-70B40F3A98E9}" name="Fundstelle Verschiebedauer" dataDxfId="1748"/>
    <tableColumn id="28" xr3:uid="{B97B5826-19DF-41FC-A4E4-2FCD46BEBA88}" name="Fundstelle Regenerationsdauer" dataDxfId="1747"/>
    <tableColumn id="29" xr3:uid="{71B88CE5-05EC-4F10-B8E3-ACFEAEE8C11F}" name="Fundstelle Zeitverfügbarkeit" dataDxfId="1746"/>
    <tableColumn id="30" xr3:uid="{8D8D59F6-FD90-44D6-B9DF-BC9D00A6015E}" name="Fundstelle max. Abrufhäufigkeit" dataDxfId="1745"/>
    <tableColumn id="31" xr3:uid="{9499DFE7-EED8-4FA8-8198-D43B3BB3E679}" name="Fundstelle Invest" dataDxfId="1744"/>
    <tableColumn id="72" xr3:uid="{931407FA-5243-49A1-9BD0-1031DBA7B183}" name="Fundstelle Betriebskosten" dataDxfId="1743"/>
    <tableColumn id="32" xr3:uid="{48FB4110-3DCE-466D-AFDD-614A315265FA}" name="Fundstelle var. Kosten" dataDxfId="1742"/>
    <tableColumn id="33" xr3:uid="{47120383-5A92-4E4B-BFC8-1430505D4464}" name="Fundstelle fixe Kosten" dataDxfId="1741"/>
    <tableColumn id="49" xr3:uid="{5D2BA273-43CE-461D-8BBC-CD0668A5E402}" name="Fundstelle Investition je Anschlusspunkt" dataDxfId="1740"/>
    <tableColumn id="34" xr3:uid="{5A6692FA-3568-4D46-AE38-D017E754D4B8}" name="Fundstelle Bemerkungen" dataDxfId="1739"/>
    <tableColumn id="35" xr3:uid="{C7354FD5-1239-4593-824B-1503C92C5B0C}" name="eigene Anmerkung" dataDxfId="1738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BT7" totalsRowShown="0" headerRowDxfId="1737" dataDxfId="1736" tableBorderDxfId="1735">
  <autoFilter ref="A1:BT7" xr:uid="{AE11E327-A0B3-4E98-A3F3-1BDD32A06945}"/>
  <tableColumns count="72">
    <tableColumn id="1" xr3:uid="{1B6C1A63-9A69-45F9-8F63-0C1CCD81B33F}" name="Prozess" dataDxfId="1734"/>
    <tableColumn id="47" xr3:uid="{DD252FB6-A304-4598-9F7B-E9C47270DF1F}" name="Sektorenzuordnung" dataDxfId="1733"/>
    <tableColumn id="2" xr3:uid="{166090E1-D564-44D6-9E47-5CC8D4CAB587}" name="Jahr" dataDxfId="1732"/>
    <tableColumn id="52" xr3:uid="{78681D84-5EBB-413A-A252-15B395CF771F}" name="Lastverschiebung" dataDxfId="1731"/>
    <tableColumn id="53" xr3:uid="{F96A7A76-11EE-443F-8727-346CF40F0D46}" name="Lastverzicht" dataDxfId="1730"/>
    <tableColumn id="68" xr3:uid="{3F4677B5-D8D2-4AA4-8039-6C8F6E4D935E}" name="Lasterhöhung" dataDxfId="1729"/>
    <tableColumn id="3" xr3:uid="{877C3B6F-77AA-4EA5-85B2-85062B1CF323}" name="Potenzial pos. min MW" dataDxfId="1728"/>
    <tableColumn id="38" xr3:uid="{E9AAD5B7-DBBC-4FD7-B6F3-FD1504432ECC}" name="Potenzial pos. MW Durchschnitt" dataDxfId="1727"/>
    <tableColumn id="5" xr3:uid="{1D9C9BAF-69D5-414A-BABA-D73F3772627A}" name="Potenzial pos. max MW" dataDxfId="1726"/>
    <tableColumn id="37" xr3:uid="{7CB725C0-1C1D-4E1B-BDF0-9D7104F220AC}" name="ausgewiesenes Pot. pos. MW (falls abweichend)" dataDxfId="1725"/>
    <tableColumn id="50" xr3:uid="{F5D99896-76F4-4A11-A3B9-9DC88C55A538}" name="Potenzial neg. min MW" dataDxfId="1724"/>
    <tableColumn id="41" xr3:uid="{2445EA3E-8B4E-4F02-ADBF-A32063679126}" name="Potenzial neg. MW Durchschnitt" dataDxfId="1723"/>
    <tableColumn id="6" xr3:uid="{542E41EB-2424-468B-A6AB-A29A7ED9EF8C}" name="Potenzial neg. max MW" dataDxfId="1722"/>
    <tableColumn id="7" xr3:uid="{4EA11DD7-ADBC-4308-A572-13B6A9EEC351}" name="Mindestleistung MW" dataDxfId="1721"/>
    <tableColumn id="8" xr3:uid="{03C2C975-C5A7-445E-A280-BAE3ADDCC9C3}" name="Mindestauslastung" dataDxfId="1720" dataCellStyle="Prozent"/>
    <tableColumn id="36" xr3:uid="{8D47BB57-9BA7-40F5-AE9C-ABA5B965B156}" name="flexibilisierbarer Anteil" dataDxfId="1719" dataCellStyle="Prozent"/>
    <tableColumn id="65" xr3:uid="{0EEFB969-ECD7-40FB-B2E0-1AFDEB243AC9}" name="Durchschnittsauslastung" dataDxfId="1718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717" dataCellStyle="Prozent"/>
    <tableColumn id="44" xr3:uid="{9D342217-0BA8-4BA0-968F-27651EB3D823}" name="Durchschnittliche Leistung MW" dataDxfId="1716" dataCellStyle="Prozent"/>
    <tableColumn id="9" xr3:uid="{83877863-389D-4EB9-809C-D57ED1124005}" name="Maximalleistung MW" dataDxfId="1715"/>
    <tableColumn id="46" xr3:uid="{0CEA1533-8914-4F58-BD65-1F13D90E67E3}" name="Maximalauslastung" dataDxfId="1714" dataCellStyle="Prozent"/>
    <tableColumn id="10" xr3:uid="{B254290B-E211-4BCD-BA8C-548AD1FAC95B}" name="installierte Leistung MW" dataDxfId="1713"/>
    <tableColumn id="11" xr3:uid="{AFE627B7-F2B2-4D99-958E-9558063501E2}" name="Aktivierungsdauer (h)" dataDxfId="1712">
      <calculatedColumnFormula>60/3600</calculatedColumnFormula>
    </tableColumn>
    <tableColumn id="61" xr3:uid="{B351A89A-B002-477B-8963-A25D4C806E67}" name="Schaltdauer pos. min (h)" dataDxfId="1711"/>
    <tableColumn id="60" xr3:uid="{08C3D0A6-3507-49DE-98D8-4D07A958074B}" name="Schaltdauer pos. max (h)" dataDxfId="1710"/>
    <tableColumn id="12" xr3:uid="{02B08055-600D-4880-811F-9841B11A82C1}" name="Schaltdauer pos. (h)" dataDxfId="1709"/>
    <tableColumn id="63" xr3:uid="{C71C8A8F-5CAC-491C-9707-39A714C9819D}" name="Schaltdauer neg min (h)" dataDxfId="1708"/>
    <tableColumn id="62" xr3:uid="{ABB7380E-1700-4531-9601-041CB137C37B}" name="Schaltdauer neg. max (h)" dataDxfId="1707"/>
    <tableColumn id="51" xr3:uid="{E1AE0EEC-4CB6-476C-B7D9-DA36AAAA6469}" name="Schaltdauer neg. (h)" dataDxfId="1706"/>
    <tableColumn id="42" xr3:uid="{846A6C6C-5E35-44DB-AC63-333F9C6ABA0F}" name="Verschiebedauer min. (h)" dataDxfId="1705"/>
    <tableColumn id="4" xr3:uid="{47B78741-D0DE-4578-84E2-17B8DE103362}" name="Verschiebedauer max (h)" dataDxfId="1704"/>
    <tableColumn id="13" xr3:uid="{6D352065-FCB4-4073-A8C1-A29BDB3DB40E}" name="Verschiebedauer (h)" dataDxfId="1703"/>
    <tableColumn id="14" xr3:uid="{175FBA07-8CA6-4668-9880-F1E39BBFB070}" name="Regenerationsdauer (h)" dataDxfId="1702"/>
    <tableColumn id="15" xr3:uid="{EDF509CA-111B-4B6A-A93A-FC9C03E66020}" name="Zeitverfügbarkeit?" dataDxfId="1701"/>
    <tableColumn id="16" xr3:uid="{E041B129-E315-4420-8E19-A0F40B389798}" name="max. Abrufhäufigkeit pro Woche" dataDxfId="1700">
      <calculatedColumnFormula>7</calculatedColumnFormula>
    </tableColumn>
    <tableColumn id="40" xr3:uid="{1319B0DF-14C3-4D9F-AB87-33F2653B99E2}" name="max. Abrufhäufigkeit pro Jahr" dataDxfId="1699"/>
    <tableColumn id="57" xr3:uid="{63811DD0-9579-4F52-B31C-DAC28FEB5628}" name="min. Investitionsausgaben €_2018/kW" dataDxfId="1698">
      <calculatedColumnFormula>0</calculatedColumnFormula>
    </tableColumn>
    <tableColumn id="56" xr3:uid="{EB322A90-3156-4958-A962-44A0D3ABE274}" name="max. Investitionsausgaben €_2018/kW" dataDxfId="1697">
      <calculatedColumnFormula>100*Umrechnungsfaktoren!$B$15/Umrechnungsfaktoren!$B$12</calculatedColumnFormula>
    </tableColumn>
    <tableColumn id="17" xr3:uid="{3D86A3FB-ABAA-4385-9010-65D5DF428636}" name="Investitionsausgaben €_2018/kW" dataDxfId="1696"/>
    <tableColumn id="70" xr3:uid="{2A27CBA6-227A-4C0E-A88C-BC7CFE0576F6}" name="zus. Betriebskosten p.a. min. (€)" dataDxfId="1695">
      <calculatedColumnFormula>10*Umrechnungsfaktoren!$B$15/Umrechnungsfaktoren!$B$12</calculatedColumnFormula>
    </tableColumn>
    <tableColumn id="69" xr3:uid="{BEE68730-C882-4535-9344-E0220DD4467C}" name="zus. Betriebskosten p.a. max. (€)" dataDxfId="1694">
      <calculatedColumnFormula>10</calculatedColumnFormula>
    </tableColumn>
    <tableColumn id="59" xr3:uid="{69166F25-A908-486C-8C84-A1D9C0EA23E4}" name="var. Kosten min. €_2018/MWh" dataDxfId="1693"/>
    <tableColumn id="58" xr3:uid="{430CA2D8-99D0-4CF8-9068-8B80935D7D4C}" name="var. Kosten max. €_2018/MWh" dataDxfId="1692"/>
    <tableColumn id="18" xr3:uid="{4B50DE49-9158-4DCB-B491-C6D2313EFF00}" name="variable Kosten €_2018/MWh" dataDxfId="1691"/>
    <tableColumn id="64" xr3:uid="{85900CE1-F0BA-4E0F-945C-9B311E1C41A8}" name="fixe Kosten min. €_2018/kW*a" dataDxfId="1690"/>
    <tableColumn id="67" xr3:uid="{8E103EC3-158E-4F5D-856D-CEB6F6C48A1D}" name="fixe Kosten max. €_2018/kW*a" dataDxfId="1689"/>
    <tableColumn id="19" xr3:uid="{8F50806E-FFB1-43D1-812E-5D7AAA75EF88}" name="fixe Kosten €_2018/kW*a" dataDxfId="1688">
      <calculatedColumnFormula>10*Umrechnungsfaktoren!$B$15/Umrechnungsfaktoren!$B$12</calculatedColumnFormula>
    </tableColumn>
    <tableColumn id="48" xr3:uid="{2F1AD5E6-80CB-498A-8D7A-636D215492C5}" name="Investitionsausgaben je Anschlusspunkt (€_2018)" dataDxfId="1687"/>
    <tableColumn id="20" xr3:uid="{A9A23859-9C4C-4963-AC72-C42422020780}" name="Bemerkungen" dataDxfId="1686"/>
    <tableColumn id="55" xr3:uid="{67896037-C30A-448B-B01F-5651610E7263}" name="Fundstelle Lastverschiebung" dataDxfId="1685"/>
    <tableColumn id="54" xr3:uid="{9112FE7D-6BB6-402E-BE80-849D23B2415C}" name="Fundstelle Lastverzicht" dataDxfId="1684"/>
    <tableColumn id="21" xr3:uid="{B2A11AAA-EF31-44EC-962D-A3EF057CC02E}" name="Fundstelle Potenzial pos." dataDxfId="1683"/>
    <tableColumn id="22" xr3:uid="{46D3FC14-1E62-4B6A-93E0-EA54A57D30C3}" name="Fundstelle Potenzial neg." dataDxfId="1682"/>
    <tableColumn id="23" xr3:uid="{7C61F400-71FD-4C79-86B9-4A00A3F55D72}" name="Fundstelle Mindestleistung" dataDxfId="1681"/>
    <tableColumn id="43" xr3:uid="{E1090F9D-05D7-4CAC-9A42-C274ABAE8535}" name="Fundstelle flexibilisierbarer Anteil" dataDxfId="1680"/>
    <tableColumn id="66" xr3:uid="{C0399ECB-FD3A-4F0E-913E-412EDA197D96}" name="Fundstelle Durchschnittsauslastung" dataDxfId="1679"/>
    <tableColumn id="45" xr3:uid="{CCAD7132-2CCC-47BE-853B-8E8CEA6B2B46}" name="Fundstelle durchschnittliche Leistung" dataDxfId="1678"/>
    <tableColumn id="24" xr3:uid="{BBD85B9D-122D-405D-B2EF-EA28AADE45DA}" name="Fundstelle Maximalleistung" dataDxfId="1677"/>
    <tableColumn id="25" xr3:uid="{AEC17427-9BEC-41B2-9657-DDB1D8791ADC}" name="Fundstelle installierte Leistung" dataDxfId="1676"/>
    <tableColumn id="39" xr3:uid="{1F0D4C5A-13F6-40B4-81C8-BC51805E38E5}" name="Fundstelle Aktivierungsdauer" dataDxfId="1675"/>
    <tableColumn id="26" xr3:uid="{FC708F43-4589-44E5-883A-A9392BA5D92F}" name="Fundstelle Schaltdauer" dataDxfId="1674"/>
    <tableColumn id="27" xr3:uid="{058434D0-4C28-446F-AE30-225302A314DD}" name="Fundstelle Verschiebedauer" dataDxfId="1673"/>
    <tableColumn id="28" xr3:uid="{115BCA12-4F84-4035-9A8D-092C95ADB82B}" name="Fundstelle Regenerationsdauer" dataDxfId="1672"/>
    <tableColumn id="29" xr3:uid="{D780BF57-2A92-475C-8DB7-638E899D80B7}" name="Fundstelle Zeitverfügbarkeit" dataDxfId="1671"/>
    <tableColumn id="30" xr3:uid="{4B166F0A-394A-4BFD-9BC2-2662AFEEEF76}" name="Fundstelle max. Abrufhäufigkeit" dataDxfId="1670"/>
    <tableColumn id="31" xr3:uid="{76303978-F198-4D18-BAB9-16C145518465}" name="Fundstelle Invest" dataDxfId="1669"/>
    <tableColumn id="72" xr3:uid="{A495F14A-EF03-4EBF-A509-5E28149924C6}" name="Fundstelle Betriebskosten" dataDxfId="1668"/>
    <tableColumn id="32" xr3:uid="{D3431C63-58A1-4DD0-9FE3-D0BC751AB544}" name="Fundstelle var. Kosten" dataDxfId="1667"/>
    <tableColumn id="33" xr3:uid="{EC86EA94-5314-4CA8-8171-76927E856A81}" name="Fundstelle fixe Kosten" dataDxfId="1666"/>
    <tableColumn id="49" xr3:uid="{DDA052CE-F7B5-4D4F-BEDC-9E031EBEC375}" name="Fundstelle Investition je Anschlusspunkt" dataDxfId="1665"/>
    <tableColumn id="34" xr3:uid="{66AFF87D-95AE-4E3D-A461-1CF02459D368}" name="Fundstelle Bemerkungen" dataDxfId="1664"/>
    <tableColumn id="35" xr3:uid="{F4451473-BE0B-40B9-AB9D-570146CB7ABD}" name="eigene Anmerkung" dataDxfId="1663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BG65" totalsRowShown="0" headerRowDxfId="1662" dataDxfId="1661" tableBorderDxfId="1660">
  <autoFilter ref="A1:BG65" xr:uid="{00000000-0009-0000-0100-000005000000}"/>
  <tableColumns count="59">
    <tableColumn id="1" xr3:uid="{00000000-0010-0000-0000-000001000000}" name="Prozess" dataDxfId="1659"/>
    <tableColumn id="47" xr3:uid="{00000000-0010-0000-0000-00002F000000}" name="Sektorenzuordnung" dataDxfId="1658"/>
    <tableColumn id="2" xr3:uid="{00000000-0010-0000-0000-000002000000}" name="Jahr" dataDxfId="1657"/>
    <tableColumn id="51" xr3:uid="{00000000-0010-0000-0000-000033000000}" name="Lastverschiebung" dataDxfId="1656"/>
    <tableColumn id="52" xr3:uid="{00000000-0010-0000-0000-000034000000}" name="Lastverzicht" dataDxfId="1655"/>
    <tableColumn id="4" xr3:uid="{D0856174-3D23-4F02-ADDE-B692295B8697}" name="Lasterhöhung" dataDxfId="1654"/>
    <tableColumn id="42" xr3:uid="{00000000-0010-0000-0000-00002A000000}" name="Stromverbrauch in TWh" dataDxfId="1653"/>
    <tableColumn id="3" xr3:uid="{00000000-0010-0000-0000-000003000000}" name="Potenzial pos. min MW" dataDxfId="1652"/>
    <tableColumn id="5" xr3:uid="{00000000-0010-0000-0000-000005000000}" name="Potenzial pos. MW Durchschnitt" dataDxfId="1651"/>
    <tableColumn id="56" xr3:uid="{5D8BF37C-B6DA-4DAE-85EF-97EDCAB29827}" name="Potenzial pos. max MW" dataDxfId="1650"/>
    <tableColumn id="57" xr3:uid="{3F62AF89-957C-4C53-9BD5-87186AEE5FE0}" name="Potenzial pos. MW Lastverzicht" dataDxfId="51"/>
    <tableColumn id="37" xr3:uid="{00000000-0010-0000-0000-000025000000}" name="ausgewiesenes Pot. pos. MW (falls abweichend)" dataDxfId="1649"/>
    <tableColumn id="50" xr3:uid="{00000000-0010-0000-0000-000032000000}" name="Potenzial neg. min MW" dataDxfId="1648"/>
    <tableColumn id="41" xr3:uid="{00000000-0010-0000-0000-000029000000}" name="Potenzial neg. MW Durchschnitt" dataDxfId="1647">
      <calculatedColumnFormula>Tabelle5[[#This Row],[Potenzial pos. MW Durchschnitt]]</calculatedColumnFormula>
    </tableColumn>
    <tableColumn id="6" xr3:uid="{00000000-0010-0000-0000-000006000000}" name="Potenzial neg. max MW" dataDxfId="1646">
      <calculatedColumnFormula>Tabelle5[[#This Row],[Potenzial pos. max MW]]</calculatedColumnFormula>
    </tableColumn>
    <tableColumn id="7" xr3:uid="{00000000-0010-0000-0000-000007000000}" name="Mindestleistung MW" dataDxfId="1645"/>
    <tableColumn id="8" xr3:uid="{00000000-0010-0000-0000-000008000000}" name="Mindestauslastung" dataDxfId="1644" dataCellStyle="Prozent"/>
    <tableColumn id="36" xr3:uid="{00000000-0010-0000-0000-000024000000}" name="flexibilisierbarer Anteil an installierter Leistung" dataDxfId="1643" dataCellStyle="Prozent">
      <calculatedColumnFormula>(1-Tabelle5[[#This Row],[Mindestauslastung]])</calculatedColumnFormula>
    </tableColumn>
    <tableColumn id="44" xr3:uid="{00000000-0010-0000-0000-00002C000000}" name="Durchschnittliche Leistung MW" dataDxfId="1642" dataCellStyle="Prozent"/>
    <tableColumn id="9" xr3:uid="{00000000-0010-0000-0000-000009000000}" name="Maximalleistung MW" dataDxfId="1641">
      <calculatedColumnFormula>Tabelle5[[#This Row],[Potenzial pos. MW Durchschnitt]]*0.95</calculatedColumnFormula>
    </tableColumn>
    <tableColumn id="46" xr3:uid="{00000000-0010-0000-0000-00002E000000}" name="Maximalauslastung" dataDxfId="1640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639"/>
    <tableColumn id="11" xr3:uid="{00000000-0010-0000-0000-00000B000000}" name="Aktivierungsdauer (h)" dataDxfId="1638"/>
    <tableColumn id="12" xr3:uid="{00000000-0010-0000-0000-00000C000000}" name="Schaltdauer pos. (h)" dataDxfId="1637"/>
    <tableColumn id="58" xr3:uid="{C34DB603-C3DF-483E-9871-B4D242E37733}" name="Schaltdauer pos. (h) Lastverzicht" dataDxfId="50"/>
    <tableColumn id="13" xr3:uid="{00000000-0010-0000-0000-00000D000000}" name="Verschiebedauer (h)" dataDxfId="1636"/>
    <tableColumn id="14" xr3:uid="{00000000-0010-0000-0000-00000E000000}" name="Regenerationsdauer (h)" dataDxfId="1635"/>
    <tableColumn id="15" xr3:uid="{00000000-0010-0000-0000-00000F000000}" name="Zeitverfügbarkeit?" dataDxfId="1634"/>
    <tableColumn id="16" xr3:uid="{00000000-0010-0000-0000-000010000000}" name="max. Abrufhäufigkeit pro Woche" dataDxfId="1633"/>
    <tableColumn id="40" xr3:uid="{00000000-0010-0000-0000-000028000000}" name="max. Abrufhäufigkeit pro Jahr" dataDxfId="1632"/>
    <tableColumn id="59" xr3:uid="{AD737D38-5C2B-4AC5-A4FE-E51446E5D338}" name="max. Abrufhäufigkeit pro Jahr Lastverzicht" dataDxfId="49"/>
    <tableColumn id="17" xr3:uid="{00000000-0010-0000-0000-000011000000}" name="Investitionsausgaben €_2018/kW" dataDxfId="1631"/>
    <tableColumn id="18" xr3:uid="{00000000-0010-0000-0000-000012000000}" name="variable Kosten €_2018/MWh" dataDxfId="1630"/>
    <tableColumn id="19" xr3:uid="{00000000-0010-0000-0000-000013000000}" name="fixe Kosten €_2018/a" dataDxfId="1629"/>
    <tableColumn id="48" xr3:uid="{00000000-0010-0000-0000-000030000000}" name="Investitionsausgaben je Anschlusspunkt (€_2018)" dataDxfId="1628"/>
    <tableColumn id="20" xr3:uid="{00000000-0010-0000-0000-000014000000}" name="Bemerkungen" dataDxfId="1627"/>
    <tableColumn id="38" xr3:uid="{9EAA064E-6572-4AF4-B302-841704B9BCF9}" name="Bemerkungen 2" dataDxfId="1626"/>
    <tableColumn id="54" xr3:uid="{00000000-0010-0000-0000-000036000000}" name="Fundstelle Lastverschiebung" dataDxfId="1625"/>
    <tableColumn id="53" xr3:uid="{00000000-0010-0000-0000-000035000000}" name="Fundstelle Lastverzicht" dataDxfId="1624"/>
    <tableColumn id="55" xr3:uid="{00000000-0010-0000-0000-000037000000}" name="Fundstelle Stromverbrauch" dataDxfId="1623"/>
    <tableColumn id="21" xr3:uid="{00000000-0010-0000-0000-000015000000}" name="Fundstelle Potenzial pos." dataDxfId="1622"/>
    <tableColumn id="22" xr3:uid="{00000000-0010-0000-0000-000016000000}" name="Fundstelle Potenzial neg." dataDxfId="1621"/>
    <tableColumn id="23" xr3:uid="{00000000-0010-0000-0000-000017000000}" name="Fundstelle Mindestleistung" dataDxfId="1620"/>
    <tableColumn id="43" xr3:uid="{00000000-0010-0000-0000-00002B000000}" name="Fundstelle flexibilisierbarer Anteil" dataDxfId="1619"/>
    <tableColumn id="45" xr3:uid="{00000000-0010-0000-0000-00002D000000}" name="Fundstelle durchschnittliche Leistung" dataDxfId="1618"/>
    <tableColumn id="24" xr3:uid="{00000000-0010-0000-0000-000018000000}" name="Fundstelle Maximalleistung" dataDxfId="1617"/>
    <tableColumn id="25" xr3:uid="{00000000-0010-0000-0000-000019000000}" name="Fundstelle installierte Leistung" dataDxfId="1616"/>
    <tableColumn id="39" xr3:uid="{00000000-0010-0000-0000-000027000000}" name="Fundstelle Aktivierungsdauer" dataDxfId="1615"/>
    <tableColumn id="26" xr3:uid="{00000000-0010-0000-0000-00001A000000}" name="Fundstelle Schaltdauer" dataDxfId="1614"/>
    <tableColumn id="27" xr3:uid="{00000000-0010-0000-0000-00001B000000}" name="Fundstelle Verschiebedauer" dataDxfId="1613"/>
    <tableColumn id="28" xr3:uid="{00000000-0010-0000-0000-00001C000000}" name="Fundstelle Regenerationsdauer" dataDxfId="1612"/>
    <tableColumn id="29" xr3:uid="{00000000-0010-0000-0000-00001D000000}" name="Fundstelle Zeitverfügbarkeit" dataDxfId="1611"/>
    <tableColumn id="30" xr3:uid="{00000000-0010-0000-0000-00001E000000}" name="Fundstelle max. Abrufhäufigkeit" dataDxfId="1610"/>
    <tableColumn id="31" xr3:uid="{00000000-0010-0000-0000-00001F000000}" name="Fundstelle Invest" dataDxfId="1609"/>
    <tableColumn id="32" xr3:uid="{00000000-0010-0000-0000-000020000000}" name="Fundstelle var. Kosten" dataDxfId="1608"/>
    <tableColumn id="33" xr3:uid="{00000000-0010-0000-0000-000021000000}" name="Fundstelle fixe Kosten" dataDxfId="1607"/>
    <tableColumn id="49" xr3:uid="{00000000-0010-0000-0000-000031000000}" name="Fundstelle Investition je Anschlusspunkt" dataDxfId="1606"/>
    <tableColumn id="34" xr3:uid="{00000000-0010-0000-0000-000022000000}" name="Fundstelle Bemerkungen" dataDxfId="1605"/>
    <tableColumn id="35" xr3:uid="{00000000-0010-0000-0000-000023000000}" name="eigene Anmerkung" dataDxfId="1604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603" dataDxfId="1602">
  <autoFilter ref="A1:Q13" xr:uid="{00000000-0009-0000-0100-000004000000}"/>
  <tableColumns count="17">
    <tableColumn id="1" xr3:uid="{00000000-0010-0000-0100-000001000000}" name="Prozess" dataDxfId="1601"/>
    <tableColumn id="8" xr3:uid="{00000000-0010-0000-0100-000008000000}" name="Verfahrenstyp" dataDxfId="1600"/>
    <tableColumn id="2" xr3:uid="{00000000-0010-0000-0100-000002000000}" name="Jahr" dataDxfId="1599"/>
    <tableColumn id="3" xr3:uid="{00000000-0010-0000-0100-000003000000}" name="Stromverbrauch (TWh)" dataDxfId="1598"/>
    <tableColumn id="4" xr3:uid="{00000000-0010-0000-0100-000004000000}" name="Vollbenutzungsstunden" dataDxfId="1597">
      <calculatedColumnFormula>Tabelle25[[#This Row],[durchschnittliche Auslastung]]*8760</calculatedColumnFormula>
    </tableColumn>
    <tableColumn id="9" xr3:uid="{00000000-0010-0000-0100-000009000000}" name="Nennleistung (MW)" dataDxfId="1596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595"/>
    <tableColumn id="14" xr3:uid="{00000000-0010-0000-0100-00000E000000}" name="Nennleistung max (MW)" dataDxfId="1594"/>
    <tableColumn id="10" xr3:uid="{00000000-0010-0000-0100-00000A000000}" name="durchschnittliche Auslastung" dataDxfId="1593"/>
    <tableColumn id="11" xr3:uid="{00000000-0010-0000-0100-00000B000000}" name="durchschnittliche Leistung (MW)" dataDxfId="1592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591"/>
    <tableColumn id="17" xr3:uid="{00000000-0010-0000-0100-000011000000}" name="Mindestleistung" dataDxfId="1590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589"/>
    <tableColumn id="13" xr3:uid="{00000000-0010-0000-0100-00000D000000}" name="flexible Leistung min (MW)" dataDxfId="1588"/>
    <tableColumn id="12" xr3:uid="{00000000-0010-0000-0100-00000C000000}" name="flexible Leistung max (MW)" dataDxfId="1587"/>
    <tableColumn id="7" xr3:uid="{00000000-0010-0000-0100-000007000000}" name="Quelle" dataDxfId="1586"/>
    <tableColumn id="18" xr3:uid="{00000000-0010-0000-0100-000012000000}" name="Kommentar" dataDxfId="1585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BT13" totalsRowShown="0" headerRowDxfId="1584" dataDxfId="1583" tableBorderDxfId="1582">
  <autoFilter ref="A1:BT13" xr:uid="{00000000-0009-0000-0100-00000C000000}"/>
  <tableColumns count="72">
    <tableColumn id="1" xr3:uid="{00000000-0010-0000-0700-000001000000}" name="Prozess" dataDxfId="1581"/>
    <tableColumn id="47" xr3:uid="{00000000-0010-0000-0700-00002F000000}" name="Sektorenzuordnung" dataDxfId="1580"/>
    <tableColumn id="2" xr3:uid="{00000000-0010-0000-0700-000002000000}" name="Jahr" dataDxfId="1579"/>
    <tableColumn id="52" xr3:uid="{00000000-0010-0000-0700-000034000000}" name="Lastverschiebung" dataDxfId="1578"/>
    <tableColumn id="53" xr3:uid="{00000000-0010-0000-0700-000035000000}" name="Lastverzicht" dataDxfId="1577"/>
    <tableColumn id="67" xr3:uid="{7E3C871E-20C5-4135-84BD-2810B287A8FE}" name="Lasterhöhung" dataDxfId="1576"/>
    <tableColumn id="3" xr3:uid="{00000000-0010-0000-0700-000003000000}" name="Potenzial pos. min MW" dataDxfId="1575"/>
    <tableColumn id="38" xr3:uid="{00000000-0010-0000-0700-000026000000}" name="Potenzial pos. MW Durchschnitt" dataDxfId="1574"/>
    <tableColumn id="5" xr3:uid="{00000000-0010-0000-0700-000005000000}" name="Potenzial pos. max MW" dataDxfId="1573"/>
    <tableColumn id="71" xr3:uid="{67DA03BE-7279-49D8-8270-B2CE5E348AB5}" name="Potenzial pos. max MW Lastverschiebung" dataDxfId="48"/>
    <tableColumn id="37" xr3:uid="{00000000-0010-0000-0700-000025000000}" name="ausgewiesenes Pot. pos. MW (falls abweichend)" dataDxfId="1572"/>
    <tableColumn id="50" xr3:uid="{00000000-0010-0000-0700-000032000000}" name="Potenzial neg. min MW" dataDxfId="1571"/>
    <tableColumn id="41" xr3:uid="{00000000-0010-0000-0700-000029000000}" name="Potenzial neg. MW Durchschnitt" dataDxfId="1570"/>
    <tableColumn id="6" xr3:uid="{00000000-0010-0000-0700-000006000000}" name="Potenzial neg. max MW" dataDxfId="1569">
      <calculatedColumnFormula>IF(Tabelle58971113[[#This Row],[Potenzial pos. max MW]]&lt;&gt;"",Tabelle58971113[[#This Row],[Potenzial pos. max MW]],"")</calculatedColumnFormula>
    </tableColumn>
    <tableColumn id="7" xr3:uid="{00000000-0010-0000-0700-000007000000}" name="Mindestleistung MW" dataDxfId="1568"/>
    <tableColumn id="8" xr3:uid="{00000000-0010-0000-0700-000008000000}" name="Mindestauslastung" dataDxfId="1567" dataCellStyle="Prozent"/>
    <tableColumn id="36" xr3:uid="{00000000-0010-0000-0700-000024000000}" name="flexibilisierbarer Anteil an installierter Leistung" dataDxfId="1566" dataCellStyle="Prozent"/>
    <tableColumn id="70" xr3:uid="{A0775093-56D8-4011-AB3D-D2AA82C07830}" name="Vollbenutzungsstunden min" dataDxfId="1565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564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563" dataCellStyle="Prozent"/>
    <tableColumn id="65" xr3:uid="{00000000-0010-0000-0700-000041000000}" name="Durchschnittsauslastung max" dataDxfId="1562" dataCellStyle="Prozent">
      <calculatedColumnFormula>AVERAGE(5000,6000)/8760</calculatedColumnFormula>
    </tableColumn>
    <tableColumn id="44" xr3:uid="{00000000-0010-0000-0700-00002C000000}" name="Durchschnittliche Leistung MW" dataDxfId="1561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9" xr3:uid="{00000000-0010-0000-0700-000009000000}" name="Maximalleistung MW" dataDxfId="1560"/>
    <tableColumn id="46" xr3:uid="{00000000-0010-0000-0700-00002E000000}" name="Maximalauslastung" dataDxfId="1559" dataCellStyle="Prozent"/>
    <tableColumn id="10" xr3:uid="{00000000-0010-0000-0700-00000A000000}" name="installierte Leistung MW" dataDxfId="1558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557"/>
    <tableColumn id="61" xr3:uid="{00000000-0010-0000-0700-00003D000000}" name="Schaltdauer pos. min (h)" dataDxfId="1556"/>
    <tableColumn id="60" xr3:uid="{00000000-0010-0000-0700-00003C000000}" name="Schaltdauer pos. max (h)" dataDxfId="1555"/>
    <tableColumn id="12" xr3:uid="{00000000-0010-0000-0700-00000C000000}" name="Schaltdauer pos. (h)" dataDxfId="1554"/>
    <tableColumn id="72" xr3:uid="{5782252A-21B2-4AF1-9AAC-0100BD811400}" name="Schaltdauer pos. (h) Lastverzicht" dataDxfId="47"/>
    <tableColumn id="63" xr3:uid="{00000000-0010-0000-0700-00003F000000}" name="Schaltdauer neg min (h)" dataDxfId="1553"/>
    <tableColumn id="62" xr3:uid="{00000000-0010-0000-0700-00003E000000}" name="Schaltdauer neg. max (h)" dataDxfId="1552"/>
    <tableColumn id="51" xr3:uid="{00000000-0010-0000-0700-000033000000}" name="Schaltdauer neg. (h)" dataDxfId="1551"/>
    <tableColumn id="42" xr3:uid="{00000000-0010-0000-0700-00002A000000}" name="Verschiebedauer min. (h)" dataDxfId="1550"/>
    <tableColumn id="4" xr3:uid="{00000000-0010-0000-0700-000004000000}" name="Verschiebedauer max (h)" dataDxfId="1549"/>
    <tableColumn id="13" xr3:uid="{00000000-0010-0000-0700-00000D000000}" name="Verschiebedauer (h)" dataDxfId="1548"/>
    <tableColumn id="14" xr3:uid="{00000000-0010-0000-0700-00000E000000}" name="Regenerationsdauer (h)" dataDxfId="1547"/>
    <tableColumn id="15" xr3:uid="{00000000-0010-0000-0700-00000F000000}" name="Zeitverfügbarkeit?" dataDxfId="1546"/>
    <tableColumn id="16" xr3:uid="{00000000-0010-0000-0700-000010000000}" name="max. Abrufhäufigkeit pro Woche" dataDxfId="1545"/>
    <tableColumn id="40" xr3:uid="{00000000-0010-0000-0700-000028000000}" name="max. Abrufhäufigkeit pro Jahr" dataDxfId="1544"/>
    <tableColumn id="57" xr3:uid="{00000000-0010-0000-0700-000039000000}" name="min. Investitionsausgaben €_2018/kW" dataDxfId="1543"/>
    <tableColumn id="56" xr3:uid="{00000000-0010-0000-0700-000038000000}" name="max. Investitionsausgaben €_2018/kW" dataDxfId="1542"/>
    <tableColumn id="17" xr3:uid="{00000000-0010-0000-0700-000011000000}" name="Investitionsausgaben €_2018/kW" dataDxfId="1541"/>
    <tableColumn id="59" xr3:uid="{00000000-0010-0000-0700-00003B000000}" name="var. Kosten min. €_2018/MWh" dataDxfId="1540">
      <calculatedColumnFormula>40/Umrechnungsfaktoren!$B$10</calculatedColumnFormula>
    </tableColumn>
    <tableColumn id="58" xr3:uid="{00000000-0010-0000-0700-00003A000000}" name="var. Kosten max. €_2018/MWh" dataDxfId="1539">
      <calculatedColumnFormula>800/Umrechnungsfaktoren!$B$10</calculatedColumnFormula>
    </tableColumn>
    <tableColumn id="18" xr3:uid="{00000000-0010-0000-0700-000012000000}" name="variable Kosten €_2018/MWh" dataDxfId="1538"/>
    <tableColumn id="64" xr3:uid="{00000000-0010-0000-0700-000040000000}" name="fixe Kosten min. €_2018/kW*a" dataDxfId="1537"/>
    <tableColumn id="19" xr3:uid="{00000000-0010-0000-0700-000013000000}" name="fixe Kosten €_2018/kW*a" dataDxfId="1536"/>
    <tableColumn id="48" xr3:uid="{00000000-0010-0000-0700-000030000000}" name="Investitionsausgaben je Anschlusspunkt (€_2018)" dataDxfId="1535"/>
    <tableColumn id="20" xr3:uid="{00000000-0010-0000-0700-000014000000}" name="Bemerkungen" dataDxfId="1534"/>
    <tableColumn id="55" xr3:uid="{00000000-0010-0000-0700-000037000000}" name="Fundstelle Lastverschiebung" dataDxfId="1533"/>
    <tableColumn id="54" xr3:uid="{00000000-0010-0000-0700-000036000000}" name="Fundstelle Lastverzicht" dataDxfId="1532"/>
    <tableColumn id="21" xr3:uid="{00000000-0010-0000-0700-000015000000}" name="Fundstelle Potenzial pos." dataDxfId="1531"/>
    <tableColumn id="22" xr3:uid="{00000000-0010-0000-0700-000016000000}" name="Fundstelle Potenzial neg." dataDxfId="1530"/>
    <tableColumn id="23" xr3:uid="{00000000-0010-0000-0700-000017000000}" name="Fundstelle Mindestleistung" dataDxfId="1529"/>
    <tableColumn id="43" xr3:uid="{00000000-0010-0000-0700-00002B000000}" name="Fundstelle flexibilisierbarer Anteil" dataDxfId="1528"/>
    <tableColumn id="66" xr3:uid="{00000000-0010-0000-0700-000042000000}" name="Fundstelle Durchschnittsauslastung" dataDxfId="1527"/>
    <tableColumn id="45" xr3:uid="{00000000-0010-0000-0700-00002D000000}" name="Fundstelle durchschnittliche Leistung" dataDxfId="1526"/>
    <tableColumn id="24" xr3:uid="{00000000-0010-0000-0700-000018000000}" name="Fundstelle Maximalleistung" dataDxfId="1525"/>
    <tableColumn id="25" xr3:uid="{00000000-0010-0000-0700-000019000000}" name="Fundstelle installierte Leistung" dataDxfId="1524"/>
    <tableColumn id="39" xr3:uid="{00000000-0010-0000-0700-000027000000}" name="Fundstelle Aktivierungsdauer" dataDxfId="1523"/>
    <tableColumn id="26" xr3:uid="{00000000-0010-0000-0700-00001A000000}" name="Fundstelle Schaltdauer" dataDxfId="1522"/>
    <tableColumn id="27" xr3:uid="{00000000-0010-0000-0700-00001B000000}" name="Fundstelle Verschiebedauer" dataDxfId="1521"/>
    <tableColumn id="28" xr3:uid="{00000000-0010-0000-0700-00001C000000}" name="Fundstelle Regenerationsdauer" dataDxfId="1520"/>
    <tableColumn id="29" xr3:uid="{00000000-0010-0000-0700-00001D000000}" name="Fundstelle Zeitverfügbarkeit" dataDxfId="1519"/>
    <tableColumn id="30" xr3:uid="{00000000-0010-0000-0700-00001E000000}" name="Fundstelle max. Abrufhäufigkeit" dataDxfId="1518"/>
    <tableColumn id="31" xr3:uid="{00000000-0010-0000-0700-00001F000000}" name="Fundstelle Invest" dataDxfId="1517"/>
    <tableColumn id="32" xr3:uid="{00000000-0010-0000-0700-000020000000}" name="Fundstelle var. Kosten" dataDxfId="1516"/>
    <tableColumn id="33" xr3:uid="{00000000-0010-0000-0700-000021000000}" name="Fundstelle fixe Kosten" dataDxfId="1515"/>
    <tableColumn id="49" xr3:uid="{00000000-0010-0000-0700-000031000000}" name="Fundstelle Investition je Anschlusspunkt" dataDxfId="1514"/>
    <tableColumn id="34" xr3:uid="{00000000-0010-0000-0700-000022000000}" name="Fundstelle Bemerkungen" dataDxfId="1513"/>
    <tableColumn id="35" xr3:uid="{00000000-0010-0000-0700-000023000000}" name="eigene Anmerkung" dataDxfId="1512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BP8" totalsRowShown="0" headerRowDxfId="1511" dataDxfId="1510" tableBorderDxfId="1509">
  <autoFilter ref="A1:BP8" xr:uid="{00000000-0009-0000-0100-00001C000000}"/>
  <tableColumns count="68">
    <tableColumn id="1" xr3:uid="{00000000-0010-0000-1800-000001000000}" name="Prozess" dataDxfId="1508"/>
    <tableColumn id="47" xr3:uid="{00000000-0010-0000-1800-00002F000000}" name="Sektorenzuordnung" dataDxfId="1507"/>
    <tableColumn id="2" xr3:uid="{00000000-0010-0000-1800-000002000000}" name="Jahr" dataDxfId="1506"/>
    <tableColumn id="52" xr3:uid="{00000000-0010-0000-1800-000034000000}" name="Lastverschiebung" dataDxfId="1505"/>
    <tableColumn id="53" xr3:uid="{00000000-0010-0000-1800-000035000000}" name="Lastverzicht" dataDxfId="1504"/>
    <tableColumn id="68" xr3:uid="{BFD80C3E-C998-4C98-87FB-0CEC1922FF68}" name="Lasterhöhung" dataDxfId="1503"/>
    <tableColumn id="3" xr3:uid="{00000000-0010-0000-1800-000003000000}" name="Potenzial pos. min MW" dataDxfId="1502"/>
    <tableColumn id="38" xr3:uid="{00000000-0010-0000-1800-000026000000}" name="Potenzial pos. MW Durchschnitt" dataDxfId="1501"/>
    <tableColumn id="5" xr3:uid="{00000000-0010-0000-1800-000005000000}" name="Potenzial pos. max MW" dataDxfId="1500"/>
    <tableColumn id="37" xr3:uid="{00000000-0010-0000-1800-000025000000}" name="ausgewiesenes Pot. pos. MW (falls abweichend)" dataDxfId="1499"/>
    <tableColumn id="50" xr3:uid="{00000000-0010-0000-1800-000032000000}" name="Potenzial neg. min MW" dataDxfId="1498"/>
    <tableColumn id="41" xr3:uid="{00000000-0010-0000-1800-000029000000}" name="Potenzial neg. MW Durchschnitt" dataDxfId="1497"/>
    <tableColumn id="6" xr3:uid="{00000000-0010-0000-1800-000006000000}" name="Potenzial neg. max MW" dataDxfId="1496"/>
    <tableColumn id="7" xr3:uid="{00000000-0010-0000-1800-000007000000}" name="Mindestleistung MW" dataDxfId="1495"/>
    <tableColumn id="8" xr3:uid="{00000000-0010-0000-1800-000008000000}" name="Mindestauslastung" dataDxfId="1494" dataCellStyle="Prozent"/>
    <tableColumn id="36" xr3:uid="{00000000-0010-0000-1800-000024000000}" name="flexibilisierbarer Anteil" dataDxfId="1493" dataCellStyle="Prozent"/>
    <tableColumn id="67" xr3:uid="{00000000-0010-0000-1800-000043000000}" name="flexibilisierbarer Anteil an Durchschnittslast" dataDxfId="1492" dataCellStyle="Prozent"/>
    <tableColumn id="65" xr3:uid="{00000000-0010-0000-1800-000041000000}" name="Durchschnittsauslastung" dataDxfId="1491" dataCellStyle="Prozent"/>
    <tableColumn id="44" xr3:uid="{00000000-0010-0000-1800-00002C000000}" name="Durchschnittliche Leistung MW" dataDxfId="1490" dataCellStyle="Prozent"/>
    <tableColumn id="9" xr3:uid="{00000000-0010-0000-1800-000009000000}" name="Maximalleistung MW" dataDxfId="1489"/>
    <tableColumn id="46" xr3:uid="{00000000-0010-0000-1800-00002E000000}" name="Maximalauslastung" dataDxfId="1488" dataCellStyle="Prozent"/>
    <tableColumn id="10" xr3:uid="{00000000-0010-0000-1800-00000A000000}" name="installierte Leistung MW" dataDxfId="1487"/>
    <tableColumn id="11" xr3:uid="{00000000-0010-0000-1800-00000B000000}" name="Aktivierungsdauer (h)" dataDxfId="1486"/>
    <tableColumn id="61" xr3:uid="{00000000-0010-0000-1800-00003D000000}" name="Schaltdauer pos. min (h)" dataDxfId="1485"/>
    <tableColumn id="60" xr3:uid="{00000000-0010-0000-1800-00003C000000}" name="Schaltdauer pos. max (h)" dataDxfId="1484"/>
    <tableColumn id="12" xr3:uid="{00000000-0010-0000-1800-00000C000000}" name="Schaltdauer pos. (h)" dataDxfId="1483"/>
    <tableColumn id="63" xr3:uid="{00000000-0010-0000-1800-00003F000000}" name="Schaltdauer neg min (h)" dataDxfId="1482"/>
    <tableColumn id="62" xr3:uid="{00000000-0010-0000-1800-00003E000000}" name="Schaltdauer neg. max (h)" dataDxfId="1481"/>
    <tableColumn id="51" xr3:uid="{00000000-0010-0000-1800-000033000000}" name="Schaltdauer neg. (h)" dataDxfId="1480"/>
    <tableColumn id="42" xr3:uid="{00000000-0010-0000-1800-00002A000000}" name="Verschiebedauer min. (h)" dataDxfId="1479"/>
    <tableColumn id="4" xr3:uid="{00000000-0010-0000-1800-000004000000}" name="Verschiebedauer max (h)" dataDxfId="1478"/>
    <tableColumn id="13" xr3:uid="{00000000-0010-0000-1800-00000D000000}" name="Verschiebedauer (h)" dataDxfId="1477"/>
    <tableColumn id="14" xr3:uid="{00000000-0010-0000-1800-00000E000000}" name="Regenerationsdauer (h)" dataDxfId="1476"/>
    <tableColumn id="15" xr3:uid="{00000000-0010-0000-1800-00000F000000}" name="Zeitverfügbarkeit?" dataDxfId="1475"/>
    <tableColumn id="16" xr3:uid="{00000000-0010-0000-1800-000010000000}" name="max. Abrufhäufigkeit pro Woche" dataDxfId="1474">
      <calculatedColumnFormula>3*7</calculatedColumnFormula>
    </tableColumn>
    <tableColumn id="40" xr3:uid="{00000000-0010-0000-1800-000028000000}" name="max. Abrufhäufigkeit pro Jahr" dataDxfId="1473"/>
    <tableColumn id="57" xr3:uid="{00000000-0010-0000-1800-000039000000}" name="min. Investitionsausgaben €_2018/kW" dataDxfId="1472"/>
    <tableColumn id="56" xr3:uid="{00000000-0010-0000-1800-000038000000}" name="max. Investitionsausgaben €_2018/kW" dataDxfId="1471"/>
    <tableColumn id="17" xr3:uid="{00000000-0010-0000-1800-000011000000}" name="Investitionsausgaben €_2018/kW" dataDxfId="1470"/>
    <tableColumn id="59" xr3:uid="{00000000-0010-0000-1800-00003B000000}" name="var. Kosten min. €_2018/MWh" dataDxfId="1469"/>
    <tableColumn id="58" xr3:uid="{00000000-0010-0000-1800-00003A000000}" name="var. Kosten max. €_2018/MWh" dataDxfId="1468"/>
    <tableColumn id="18" xr3:uid="{00000000-0010-0000-1800-000012000000}" name="variable Kosten €_2018/MWh" dataDxfId="1467"/>
    <tableColumn id="64" xr3:uid="{00000000-0010-0000-1800-000040000000}" name="fixe Kosten min. €_2018/kW*a" dataDxfId="1466"/>
    <tableColumn id="19" xr3:uid="{00000000-0010-0000-1800-000013000000}" name="fixe Kosten €_2018/kW*a" dataDxfId="1465"/>
    <tableColumn id="48" xr3:uid="{00000000-0010-0000-1800-000030000000}" name="Investitionsausgaben je Anschlusspunkt (€_2018)" dataDxfId="1464"/>
    <tableColumn id="20" xr3:uid="{00000000-0010-0000-1800-000014000000}" name="Bemerkungen" dataDxfId="1463"/>
    <tableColumn id="55" xr3:uid="{00000000-0010-0000-1800-000037000000}" name="Fundstelle Lastverschiebung" dataDxfId="1462"/>
    <tableColumn id="54" xr3:uid="{00000000-0010-0000-1800-000036000000}" name="Fundstelle Lastverzicht" dataDxfId="1461"/>
    <tableColumn id="21" xr3:uid="{00000000-0010-0000-1800-000015000000}" name="Fundstelle Potenzial pos." dataDxfId="1460"/>
    <tableColumn id="22" xr3:uid="{00000000-0010-0000-1800-000016000000}" name="Fundstelle Potenzial neg." dataDxfId="1459"/>
    <tableColumn id="23" xr3:uid="{00000000-0010-0000-1800-000017000000}" name="Fundstelle Mindestleistung" dataDxfId="1458"/>
    <tableColumn id="43" xr3:uid="{00000000-0010-0000-1800-00002B000000}" name="Fundstelle flexibilisierbarer Anteil" dataDxfId="1457"/>
    <tableColumn id="66" xr3:uid="{00000000-0010-0000-1800-000042000000}" name="Fundstelle Durchschnittsauslastung" dataDxfId="1456"/>
    <tableColumn id="45" xr3:uid="{00000000-0010-0000-1800-00002D000000}" name="Fundstelle durchschnittliche Leistung" dataDxfId="1455"/>
    <tableColumn id="24" xr3:uid="{00000000-0010-0000-1800-000018000000}" name="Fundstelle Maximalleistung" dataDxfId="1454"/>
    <tableColumn id="25" xr3:uid="{00000000-0010-0000-1800-000019000000}" name="Fundstelle installierte Leistung" dataDxfId="1453"/>
    <tableColumn id="39" xr3:uid="{00000000-0010-0000-1800-000027000000}" name="Fundstelle Aktivierungsdauer" dataDxfId="1452"/>
    <tableColumn id="26" xr3:uid="{00000000-0010-0000-1800-00001A000000}" name="Fundstelle Schaltdauer" dataDxfId="1451"/>
    <tableColumn id="27" xr3:uid="{00000000-0010-0000-1800-00001B000000}" name="Fundstelle Verschiebedauer" dataDxfId="1450"/>
    <tableColumn id="28" xr3:uid="{00000000-0010-0000-1800-00001C000000}" name="Fundstelle Regenerationsdauer" dataDxfId="1449"/>
    <tableColumn id="29" xr3:uid="{00000000-0010-0000-1800-00001D000000}" name="Fundstelle Zeitverfügbarkeit" dataDxfId="1448"/>
    <tableColumn id="30" xr3:uid="{00000000-0010-0000-1800-00001E000000}" name="Fundstelle max. Abrufhäufigkeit" dataDxfId="1447"/>
    <tableColumn id="31" xr3:uid="{00000000-0010-0000-1800-00001F000000}" name="Fundstelle Invest" dataDxfId="1446"/>
    <tableColumn id="32" xr3:uid="{00000000-0010-0000-1800-000020000000}" name="Fundstelle var. Kosten" dataDxfId="1445"/>
    <tableColumn id="33" xr3:uid="{00000000-0010-0000-1800-000021000000}" name="Fundstelle fixe Kosten" dataDxfId="1444"/>
    <tableColumn id="49" xr3:uid="{00000000-0010-0000-1800-000031000000}" name="Fundstelle Investition je Anschlusspunkt" dataDxfId="1443"/>
    <tableColumn id="34" xr3:uid="{00000000-0010-0000-1800-000022000000}" name="Fundstelle Bemerkungen" dataDxfId="1442"/>
    <tableColumn id="35" xr3:uid="{00000000-0010-0000-1800-000023000000}" name="eigene Anmerkung" dataDxfId="1441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CW40" totalsRowShown="0" headerRowDxfId="1440" dataDxfId="1439" tableBorderDxfId="1438">
  <autoFilter ref="A1:CW40" xr:uid="{11FA0E04-AD3F-4F3C-A80A-B460C250FC3A}"/>
  <tableColumns count="101">
    <tableColumn id="1" xr3:uid="{330BD996-3DF4-4A90-922D-88C6272D7578}" name="Prozess" dataDxfId="1437"/>
    <tableColumn id="47" xr3:uid="{7360FF1C-B3C8-480F-8FD4-DFB7A94415A1}" name="Sektorenzuordnung" dataDxfId="1436"/>
    <tableColumn id="2" xr3:uid="{9C47BB46-2B80-4A5B-8257-A95D74B26F32}" name="Jahr" dataDxfId="1435"/>
    <tableColumn id="52" xr3:uid="{C2E33395-9EE1-4F9A-8D21-534EEA8C98F2}" name="Lastverschiebung" dataDxfId="1434"/>
    <tableColumn id="53" xr3:uid="{1620E2EE-1E95-49BE-A2DC-1FD5744882DD}" name="Lastverzicht" dataDxfId="1433"/>
    <tableColumn id="71" xr3:uid="{A1AC92C0-5609-421B-BF17-6BE89143EF85}" name="Lasterhöhung" dataDxfId="1432"/>
    <tableColumn id="81" xr3:uid="{1CA549A9-64B3-4D35-81DC-BB393DDE4A4F}" name="jährliche Produktion kt MIN" dataDxfId="1431"/>
    <tableColumn id="75" xr3:uid="{01E9973C-341E-4E28-AC50-AC916F939C0C}" name="jährliche Produktion kt REF" dataDxfId="1430"/>
    <tableColumn id="82" xr3:uid="{2D1CE77F-06AB-4ECA-BD87-3CE2BDE290E1}" name="jährliche Produktion kt MAX" dataDxfId="1429"/>
    <tableColumn id="74" xr3:uid="{55CEDEF4-BB34-4E76-93DD-93CC0C389D3E}" name="spez. StV kWh/t" dataDxfId="1428"/>
    <tableColumn id="87" xr3:uid="{D7C5D6DF-3E9E-4479-AE88-9588C57C6231}" name="Anzahl Anlangen MIN (Tsd.)" dataDxfId="1427"/>
    <tableColumn id="86" xr3:uid="{FC0A952F-5E70-46DE-B339-31233B0DDD14}" name="Anzahl Anlangen REF (Tsd.)" dataDxfId="1426"/>
    <tableColumn id="85" xr3:uid="{DC8F1F72-5249-4FDF-82ED-9E1B7E71C55B}" name="Anzahl Anlangen MAX (Tsd.)" dataDxfId="1425"/>
    <tableColumn id="90" xr3:uid="{A146E8DE-84B9-41DC-AEF9-9B0B48737AE8}" name="Entwicklungsfaktor MIN (1)" dataDxfId="1424"/>
    <tableColumn id="89" xr3:uid="{44BAAD1C-A667-4129-8405-3B4848FB7D09}" name="Entwicklungsfaktor REF (1)" dataDxfId="1423"/>
    <tableColumn id="88" xr3:uid="{5098B4A4-1052-4817-BA27-162C98BC0B77}" name="Entwicklungsfaktor MAX (1)" dataDxfId="1422"/>
    <tableColumn id="83" xr3:uid="{00C18B6E-39C9-456E-AAB4-D592F9DC8E0F}" name="Stromverbrauch in TWh MIN" dataDxfId="1421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420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419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418"/>
    <tableColumn id="38" xr3:uid="{30F94A31-97C9-4179-8B51-5DC510EC1E83}" name="Potenzial pos. MW Durchschnitt" dataDxfId="1417"/>
    <tableColumn id="5" xr3:uid="{A3112E28-FC7D-4D58-B71E-6E6AD8E17C59}" name="Potenzial pos. max MW" dataDxfId="1416"/>
    <tableColumn id="99" xr3:uid="{78D427C0-111D-4733-9C4A-BF51EFCD7BB9}" name="Potenzial pos. min MW Lastverzicht" dataDxfId="44"/>
    <tableColumn id="98" xr3:uid="{8B3F0AD7-56FD-4FFE-B068-F2BC0CBB3E4A}" name="Potenzial pos. MW Durchschnitt Lastverzicht" dataDxfId="45"/>
    <tableColumn id="97" xr3:uid="{EC5A94EE-C17F-4ABC-B91A-C35E90983B52}" name="Potenzial pos. max MW Lastverzicht" dataDxfId="46"/>
    <tableColumn id="68" xr3:uid="{168F1843-DF2D-45B6-A266-672ED486FD4F}" name="Potenzial pos. Winter MW" dataDxfId="1415"/>
    <tableColumn id="70" xr3:uid="{383DCB5C-E7B2-4986-864D-E88493433A25}" name="Potenzial neg. Sommer MW" dataDxfId="1414"/>
    <tableColumn id="69" xr3:uid="{1F079745-6536-4054-A84B-2429EC1A4C06}" name="Potenzial neg. Winter MW" dataDxfId="1413"/>
    <tableColumn id="37" xr3:uid="{4E9AE63F-2B90-4AE0-941C-9DCAA11AEE5A}" name="Pot. pos. MW errechnet" dataDxfId="1412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411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410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409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408"/>
    <tableColumn id="8" xr3:uid="{84C577C6-DD02-409F-815F-B95A11A8D523}" name="Mindestauslastung" dataDxfId="1407" dataCellStyle="Prozent"/>
    <tableColumn id="36" xr3:uid="{9C946CF5-66F9-4633-BF74-225B42FB82D1}" name="flexibilisierbarer Anteil" dataDxfId="1406" dataCellStyle="Prozent"/>
    <tableColumn id="67" xr3:uid="{92266AA0-8F3E-45BF-B50E-FC2C1C212D48}" name="flexibilisierbarer Anteil an Durchschnittslast" dataDxfId="1405" dataCellStyle="Prozent"/>
    <tableColumn id="76" xr3:uid="{4E37DE7E-9E87-40A0-80CF-1C549DD9856F}" name="Vollbenutzungsstunden h/a" dataDxfId="1404" dataCellStyle="Prozent"/>
    <tableColumn id="65" xr3:uid="{5C620EF5-72FC-4224-9697-807212E3DD22}" name="Durchschnittsauslastung" dataDxfId="1403" dataCellStyle="Prozent"/>
    <tableColumn id="44" xr3:uid="{0F626CD0-07E4-4B2D-A692-F5951CF6EAC0}" name="Durchschnittliche Leistung MW" dataDxfId="1402" dataCellStyle="Prozent">
      <calculatedColumnFormula>Tabelle589711143136[[#This Row],[Durchschnittsauslastung]]*Tabelle589711143136[[#This Row],[installierte Leistung MW]]</calculatedColumnFormula>
    </tableColumn>
    <tableColumn id="9" xr3:uid="{2E28AEBD-CAC0-4980-B289-52F79813EE04}" name="Maximalleistung MW" dataDxfId="1401"/>
    <tableColumn id="46" xr3:uid="{D09B128A-1C88-4939-A0EB-39E83FBA1D6B}" name="Maximalauslastung" dataDxfId="1400" dataCellStyle="Prozent"/>
    <tableColumn id="10" xr3:uid="{90EED58D-F2D9-481F-A4FE-C2DEEA3DEAD4}" name="installierte Leistung MW" dataDxfId="1399"/>
    <tableColumn id="11" xr3:uid="{0ED408D6-9095-43F4-9193-E37A79484CF8}" name="Aktivierungsdauer (h)" dataDxfId="1398"/>
    <tableColumn id="61" xr3:uid="{7CA43059-8B98-4F64-8F27-25DB86B6BB15}" name="Schaltdauer pos. min (h)" dataDxfId="1397"/>
    <tableColumn id="60" xr3:uid="{340FE5B7-B05A-44B8-AA99-7BB09A19CE75}" name="Schaltdauer pos. max (h)" dataDxfId="1396"/>
    <tableColumn id="12" xr3:uid="{023FE4D3-AEC6-42FE-BD6B-F64C1D0AEB7B}" name="Schaltdauer pos. (h)" dataDxfId="1395"/>
    <tableColumn id="100" xr3:uid="{1EE5B372-909C-4ACB-A1EB-77E627DC15BA}" name="Schaltdauer pos. (h) Lastverzicht" dataDxfId="43"/>
    <tableColumn id="63" xr3:uid="{BEF46D48-AFBA-42CF-8960-F0DCA8840585}" name="Schaltdauer neg min (h)" dataDxfId="1394"/>
    <tableColumn id="62" xr3:uid="{8BBCD41A-7E0A-41A6-AF88-5D05A787ED17}" name="Schaltdauer neg. max (h)" dataDxfId="1393"/>
    <tableColumn id="51" xr3:uid="{AB3BF90C-AD4E-4291-A1B5-004B897A3651}" name="Schaltdauer neg. (h)" dataDxfId="1392"/>
    <tableColumn id="42" xr3:uid="{4A2927C3-5ACF-482C-A8C2-BA6F581524F4}" name="Verschiebedauer min. (h)" dataDxfId="1391"/>
    <tableColumn id="4" xr3:uid="{62D13CF1-2FE9-4EB0-AFD7-98162A357F8B}" name="Verschiebedauer max (h)" dataDxfId="1390"/>
    <tableColumn id="13" xr3:uid="{A5BF1C84-409B-4FC0-AA7B-2C2599DD973B}" name="Verschiebedauer (h)" dataDxfId="1389"/>
    <tableColumn id="14" xr3:uid="{FF12146A-F2AC-405A-B080-E609424F5ABF}" name="Regenerationsdauer (h)" dataDxfId="1388"/>
    <tableColumn id="15" xr3:uid="{D073107E-FE3B-4D1D-8ED2-7683F3868CBD}" name="Zeitverfügbarkeit?" dataDxfId="1387"/>
    <tableColumn id="16" xr3:uid="{4C30F895-B88F-40AA-86B8-9A3671A3E510}" name="max. Abrufhäufigkeit pro Woche" dataDxfId="1386">
      <calculatedColumnFormula>8*7</calculatedColumnFormula>
    </tableColumn>
    <tableColumn id="40" xr3:uid="{AE8EDB87-710C-462E-B560-0B1FC869E928}" name="max. Abrufhäufigkeit pro Jahr" dataDxfId="1385"/>
    <tableColumn id="101" xr3:uid="{85480CAD-B3E6-4B39-B73E-4C3E1BCFAADC}" name="max. Abrufhäufigkeit pro Jahr Lastverzicht" dataDxfId="42"/>
    <tableColumn id="57" xr3:uid="{7255E844-506A-4911-A4CF-29AF358AA7E8}" name="min. Investitionsausgaben €_2018/kW" dataDxfId="1384"/>
    <tableColumn id="56" xr3:uid="{EBCAB75B-49A2-4012-8BBE-124F8713F461}" name="max. Investitionsausgaben €_2018/kW" dataDxfId="1383"/>
    <tableColumn id="17" xr3:uid="{1C22044F-2F99-40DF-B420-9D8FAD3ED793}" name="Investitionsausgaben €_2018/kW" dataDxfId="1382"/>
    <tableColumn id="59" xr3:uid="{9E5364FB-AF84-4E36-889E-99B58E409873}" name="var. Kosten min. €_2018/MWh" dataDxfId="1381"/>
    <tableColumn id="58" xr3:uid="{B584FA5A-49D9-4B48-8247-83E6017A85B8}" name="var. Kosten max. €_2018/MWh" dataDxfId="1380"/>
    <tableColumn id="96" xr3:uid="{D73E3E41-7EF2-42BC-A4AF-E8E091999BED}" name="var. Kosten min. Lastverzicht €_2018/MWh" dataDxfId="1379"/>
    <tableColumn id="73" xr3:uid="{DEB250B8-F08F-497E-B603-2F6536A1DA25}" name="var. Kosten max. Lastverzicht €_2018/MWh" dataDxfId="1378"/>
    <tableColumn id="18" xr3:uid="{0D473CFF-FA0E-4F05-8472-22E7FDB1863E}" name="variable Kosten €_2018/MWh" dataDxfId="1377"/>
    <tableColumn id="64" xr3:uid="{F28FF53E-B758-4473-8A9B-D5EBA19E2393}" name="fixe Kosten min. €_2018/kW*a" dataDxfId="1376"/>
    <tableColumn id="72" xr3:uid="{4F6D732C-A17D-43D6-8AE3-BD5784A7F882}" name="fixe Kosten max. €_2018/kW*a" dataDxfId="1375"/>
    <tableColumn id="19" xr3:uid="{3198D0E6-5EFF-4D63-A06E-614C4447DFE9}" name="fixe Kosten €_2018/kW*a" dataDxfId="1374"/>
    <tableColumn id="48" xr3:uid="{BF7F605F-2E9A-414E-A2D8-2B99FFB023FA}" name="Investitionsausgaben je Anschlusspunkt (€_2018)" dataDxfId="1373"/>
    <tableColumn id="93" xr3:uid="{DCA6D5C7-4FE9-4DC2-8F7C-11F9B66B4A4D}" name="Aktivierungskosten [€_2018/MW(h)]" dataDxfId="1372"/>
    <tableColumn id="20" xr3:uid="{898AD356-3433-4464-B6E7-CD6DF0315DCA}" name="Bemerkungen" dataDxfId="1371"/>
    <tableColumn id="95" xr3:uid="{7A9946D4-103B-45EE-B129-30040DCE29C6}" name="Bemerkungen 2" dataDxfId="1370"/>
    <tableColumn id="55" xr3:uid="{5FF7CAB9-793F-443F-9144-5EAFA4780A33}" name="Fundstelle Lastverschiebung" dataDxfId="1369"/>
    <tableColumn id="54" xr3:uid="{40F2E025-66CF-4961-B144-1B44200CEE27}" name="Fundstelle Lastverzicht" dataDxfId="1368"/>
    <tableColumn id="80" xr3:uid="{3DB32C26-F864-4EBB-997D-EF0E68C0FE8C}" name="Fundstelle Produktion" dataDxfId="1367"/>
    <tableColumn id="91" xr3:uid="{AD943CC5-E12F-4792-BD74-638B106FBA0A}" name="Fundstelle Anzahl Anlagen" dataDxfId="1366"/>
    <tableColumn id="92" xr3:uid="{2B7422F7-15B5-4254-986E-64861FDBB9C7}" name="Fundstelle Entwicklungsfaktor" dataDxfId="1365"/>
    <tableColumn id="79" xr3:uid="{A93366D9-A263-4DB9-9EAB-81C8F373AB16}" name="Fundstelle Stromverbrauch" dataDxfId="1364"/>
    <tableColumn id="78" xr3:uid="{A85675BA-DD41-4588-8EEF-2D0E2D911A73}" name="Fundstelle Vollbenutzungsstunden" dataDxfId="1363"/>
    <tableColumn id="21" xr3:uid="{60D31C67-6CE1-4C1C-88C2-896BD904BF58}" name="Fundstelle Potenzial pos." dataDxfId="1362"/>
    <tableColumn id="22" xr3:uid="{9B99FC63-9BB2-4228-8AC9-D03F0FB37EF9}" name="Fundstelle Potenzial neg." dataDxfId="1361"/>
    <tableColumn id="23" xr3:uid="{4679FC11-5617-4729-A517-0487987FE2B9}" name="Fundstelle Mindestleistung" dataDxfId="1360"/>
    <tableColumn id="43" xr3:uid="{27EF346A-70E2-44AE-94EF-21F7B5D68E5C}" name="Fundstelle flexibilisierbarer Anteil" dataDxfId="1359"/>
    <tableColumn id="66" xr3:uid="{DFD4A929-8238-4107-9C2C-116B549F6A03}" name="Fundstelle Durchschnittsauslastung" dataDxfId="1358"/>
    <tableColumn id="45" xr3:uid="{862810CF-1C14-472E-BF28-E029A2273015}" name="Fundstelle durchschnittliche Leistung" dataDxfId="1357"/>
    <tableColumn id="24" xr3:uid="{5E4FCD47-9B64-4C0B-8DC3-6C9A938F51D2}" name="Fundstelle Maximalleistung" dataDxfId="1356"/>
    <tableColumn id="25" xr3:uid="{646BAD38-AEBF-42EB-A927-3871230D5C7B}" name="Fundstelle installierte Leistung" dataDxfId="1355"/>
    <tableColumn id="39" xr3:uid="{58C4690C-AE72-4A88-9FDB-C33F4733BD86}" name="Fundstelle Aktivierungsdauer" dataDxfId="1354"/>
    <tableColumn id="26" xr3:uid="{7EC7FF35-8998-4DE4-BF25-BFB8853E7EC9}" name="Fundstelle Schaltdauer" dataDxfId="1353"/>
    <tableColumn id="27" xr3:uid="{90448203-67FE-4708-A39E-E327B75983DA}" name="Fundstelle Verschiebedauer" dataDxfId="1352"/>
    <tableColumn id="28" xr3:uid="{66B4D80B-72C5-42A3-8CC0-83D0D63F1E55}" name="Fundstelle Regenerationsdauer" dataDxfId="1351"/>
    <tableColumn id="29" xr3:uid="{157EA1CE-B55A-4445-9713-74F2210BAA65}" name="Fundstelle Zeitverfügbarkeit" dataDxfId="1350"/>
    <tableColumn id="30" xr3:uid="{A7C248FD-A3D3-48D8-B20B-9542C876489E}" name="Fundstelle max. Abrufhäufigkeit" dataDxfId="1349"/>
    <tableColumn id="31" xr3:uid="{AEBF4069-855E-48D8-9498-FB5BB0B32F77}" name="Fundstelle Invest" dataDxfId="1348"/>
    <tableColumn id="32" xr3:uid="{FBD5F82E-ED1F-4889-BB90-248DEEFA1DF2}" name="Fundstelle var. Kosten" dataDxfId="1347"/>
    <tableColumn id="33" xr3:uid="{A76B44E7-4AC7-41C3-BADF-9BA66793E795}" name="Fundstelle fixe Kosten" dataDxfId="1346"/>
    <tableColumn id="49" xr3:uid="{0E39A479-2FF9-4ECF-AF59-8C51F6F22DEF}" name="Fundstelle Investition je Anschlusspunkt" dataDxfId="1345"/>
    <tableColumn id="94" xr3:uid="{8877AA02-6EAE-483F-A3F0-BC3B7D057B66}" name="Fundstelle Aktivierungskosten" dataDxfId="1344"/>
    <tableColumn id="34" xr3:uid="{4BAEB2EE-B816-46B4-96C9-77A60E3A7D64}" name="Fundstelle Bemerkungen" dataDxfId="1343"/>
    <tableColumn id="35" xr3:uid="{8D4642B4-A675-4F7C-9CC7-0148D1FCB4C1}" name="eigene Anmerkung" dataDxfId="1342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CD6" totalsRowShown="0" headerRowDxfId="1341" dataDxfId="1340" tableBorderDxfId="1339">
  <autoFilter ref="A1:CD6" xr:uid="{00000000-0009-0000-0100-00000F000000}"/>
  <tableColumns count="82">
    <tableColumn id="1" xr3:uid="{00000000-0010-0000-0D00-000001000000}" name="Prozess" dataDxfId="1338"/>
    <tableColumn id="47" xr3:uid="{00000000-0010-0000-0D00-00002F000000}" name="Sektorenzuordnung" dataDxfId="1337"/>
    <tableColumn id="2" xr3:uid="{00000000-0010-0000-0D00-000002000000}" name="Jahr" dataDxfId="1336"/>
    <tableColumn id="52" xr3:uid="{00000000-0010-0000-0D00-000034000000}" name="Lastverschiebung" dataDxfId="1335"/>
    <tableColumn id="53" xr3:uid="{00000000-0010-0000-0D00-000035000000}" name="Lastverzicht" dataDxfId="1334"/>
    <tableColumn id="77" xr3:uid="{8AE41C03-1F02-4151-B136-B78FAAFF4B94}" name="Lasterhöhung" dataDxfId="1333"/>
    <tableColumn id="71" xr3:uid="{00000000-0010-0000-0D00-000047000000}" name="soziotech. Pot. pos. min (MW)" dataDxfId="1332"/>
    <tableColumn id="70" xr3:uid="{00000000-0010-0000-0D00-000046000000}" name="soziotech. Pot. pos. max (MW)" dataDxfId="1331"/>
    <tableColumn id="3" xr3:uid="{00000000-0010-0000-0D00-000003000000}" name="Potenzial pos. min MW" dataDxfId="1330"/>
    <tableColumn id="38" xr3:uid="{00000000-0010-0000-0D00-000026000000}" name="Potenzial pos. MW Durchschnitt" dataDxfId="1329"/>
    <tableColumn id="5" xr3:uid="{00000000-0010-0000-0D00-000005000000}" name="Potenzial pos. max MW Lastverzicht" dataDxfId="1328"/>
    <tableColumn id="37" xr3:uid="{00000000-0010-0000-0D00-000025000000}" name="ausgewiesenes Pot. pos. MW (falls abweichend)" dataDxfId="1327"/>
    <tableColumn id="50" xr3:uid="{00000000-0010-0000-0D00-000032000000}" name="Potenzial neg. min MW" dataDxfId="1326"/>
    <tableColumn id="74" xr3:uid="{00000000-0010-0000-0D00-00004A000000}" name="soziotech. Pot. neg. min (MW)" dataDxfId="1325"/>
    <tableColumn id="73" xr3:uid="{00000000-0010-0000-0D00-000049000000}" name="soziotech. Pot. neg. max (MW)" dataDxfId="1324"/>
    <tableColumn id="72" xr3:uid="{00000000-0010-0000-0D00-000048000000}" name="soziotech. Pot. neg. (MW)" dataDxfId="1323"/>
    <tableColumn id="41" xr3:uid="{00000000-0010-0000-0D00-000029000000}" name="Potenzial neg. MW Durchschnitt" dataDxfId="1322"/>
    <tableColumn id="6" xr3:uid="{00000000-0010-0000-0D00-000006000000}" name="Potenzial neg. max MW" dataDxfId="1321"/>
    <tableColumn id="7" xr3:uid="{00000000-0010-0000-0D00-000007000000}" name="Mindestleistung MW" dataDxfId="1320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319" dataCellStyle="Prozent"/>
    <tableColumn id="36" xr3:uid="{00000000-0010-0000-0D00-000024000000}" name="flexibilisierbarer Anteil" dataDxfId="1318" dataCellStyle="Prozent"/>
    <tableColumn id="78" xr3:uid="{9FD20C5E-D9A9-45D0-84F6-9044D7CB8E47}" name="Vollbenutzungsstunden h/a" dataDxfId="1317" dataCellStyle="Prozent"/>
    <tableColumn id="79" xr3:uid="{925F433D-FBD9-4C70-880C-A02398A38F90}" name="Betriebsstunden p.a." dataDxfId="1316" dataCellStyle="Prozent"/>
    <tableColumn id="80" xr3:uid="{87D06D7F-2CE1-45A6-8DA5-7A2F6E035F47}" name="Durchschnittsauslastung im Betriebszeitraum" dataDxfId="1315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314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313" dataCellStyle="Prozent">
      <calculatedColumnFormula>Tabelle58971116[[#This Row],[Durchschnittsauslastung]]*Tabelle58971116[[#This Row],[installierte Leistung MW]]</calculatedColumnFormula>
    </tableColumn>
    <tableColumn id="9" xr3:uid="{00000000-0010-0000-0D00-000009000000}" name="Maximalleistung MW" dataDxfId="1312"/>
    <tableColumn id="46" xr3:uid="{00000000-0010-0000-0D00-00002E000000}" name="Maximalauslastung" dataDxfId="1311" dataCellStyle="Prozent"/>
    <tableColumn id="10" xr3:uid="{00000000-0010-0000-0D00-00000A000000}" name="installierte Leistung MW" dataDxfId="1310"/>
    <tableColumn id="68" xr3:uid="{00000000-0010-0000-0D00-000044000000}" name="Aktivierungsdauer min (h)" dataDxfId="1309"/>
    <tableColumn id="67" xr3:uid="{00000000-0010-0000-0D00-000043000000}" name="Aktivierungsdauer max (h)" dataDxfId="1308"/>
    <tableColumn id="11" xr3:uid="{00000000-0010-0000-0D00-00000B000000}" name="Aktivierungsdauer (h)" dataDxfId="1307"/>
    <tableColumn id="61" xr3:uid="{00000000-0010-0000-0D00-00003D000000}" name="Schaltdauer pos. min (h)" dataDxfId="1306"/>
    <tableColumn id="60" xr3:uid="{00000000-0010-0000-0D00-00003C000000}" name="Schaltdauer pos. max (h)" dataDxfId="1305"/>
    <tableColumn id="12" xr3:uid="{00000000-0010-0000-0D00-00000C000000}" name="Schaltdauer pos. (h)" dataDxfId="1304"/>
    <tableColumn id="82" xr3:uid="{D4D42EB5-9E6D-47EE-83DB-A24E7380222D}" name="Schaltdauer pos. (h) Lastverzicht" dataDxfId="41"/>
    <tableColumn id="63" xr3:uid="{00000000-0010-0000-0D00-00003F000000}" name="Schaltdauer neg min (h)" dataDxfId="1303"/>
    <tableColumn id="62" xr3:uid="{00000000-0010-0000-0D00-00003E000000}" name="Schaltdauer neg. max (h)" dataDxfId="1302"/>
    <tableColumn id="51" xr3:uid="{00000000-0010-0000-0D00-000033000000}" name="Schaltdauer neg. (h)" dataDxfId="1301"/>
    <tableColumn id="42" xr3:uid="{00000000-0010-0000-0D00-00002A000000}" name="Verschiebedauer min. (h)" dataDxfId="1300"/>
    <tableColumn id="4" xr3:uid="{00000000-0010-0000-0D00-000004000000}" name="Verschiebedauer max (h)" dataDxfId="1299"/>
    <tableColumn id="13" xr3:uid="{00000000-0010-0000-0D00-00000D000000}" name="Verschiebedauer (h)" dataDxfId="1298"/>
    <tableColumn id="14" xr3:uid="{00000000-0010-0000-0D00-00000E000000}" name="Regenerationsdauer (h)" dataDxfId="1297"/>
    <tableColumn id="15" xr3:uid="{00000000-0010-0000-0D00-00000F000000}" name="Zeitverfügbarkeit?" dataDxfId="1296"/>
    <tableColumn id="16" xr3:uid="{00000000-0010-0000-0D00-000010000000}" name="max. Abrufhäufigkeit pro Woche" dataDxfId="1295"/>
    <tableColumn id="40" xr3:uid="{00000000-0010-0000-0D00-000028000000}" name="max. Abrufhäufigkeit pro Jahr" dataDxfId="1294"/>
    <tableColumn id="57" xr3:uid="{00000000-0010-0000-0D00-000039000000}" name="min. Investitionsausgaben €_2018/kW" dataDxfId="1293"/>
    <tableColumn id="56" xr3:uid="{00000000-0010-0000-0D00-000038000000}" name="max. Investitionsausgaben €_2018/kW" dataDxfId="1292">
      <calculatedColumnFormula>10101/10^3*Umrechnungsfaktoren!$B$15/Umrechnungsfaktoren!$B$12</calculatedColumnFormula>
    </tableColumn>
    <tableColumn id="17" xr3:uid="{00000000-0010-0000-0D00-000011000000}" name="Investitionsausgaben €_2018/kW" dataDxfId="1291">
      <calculatedColumnFormula>4387/10^3*Umrechnungsfaktoren!$B$15/Umrechnungsfaktoren!$B$12</calculatedColumnFormula>
    </tableColumn>
    <tableColumn id="59" xr3:uid="{00000000-0010-0000-0D00-00003B000000}" name="var. Kosten min. €_2018/MWh" dataDxfId="1290"/>
    <tableColumn id="58" xr3:uid="{00000000-0010-0000-0D00-00003A000000}" name="var. Kosten max. €_2018/MWh" dataDxfId="1289">
      <calculatedColumnFormula>2000*Umrechnungsfaktoren!$B$15/Umrechnungsfaktoren!$B$12</calculatedColumnFormula>
    </tableColumn>
    <tableColumn id="81" xr3:uid="{A1042AC9-A968-4730-9269-47811CE354A8}" name="var. Kosten Lastverzicht €_2018/MWh" dataDxfId="1288">
      <calculatedColumnFormula>316*Umrechnungsfaktoren!$B$15/Umrechnungsfaktoren!$B$12</calculatedColumnFormula>
    </tableColumn>
    <tableColumn id="18" xr3:uid="{00000000-0010-0000-0D00-000012000000}" name="variable Kosten €_2018/MWh" dataDxfId="1287">
      <calculatedColumnFormula>48*Umrechnungsfaktoren!$B$15/Umrechnungsfaktoren!$B$12</calculatedColumnFormula>
    </tableColumn>
    <tableColumn id="64" xr3:uid="{00000000-0010-0000-0D00-000040000000}" name="fixe Kosten min. €_2018/kW*a" dataDxfId="1286">
      <calculatedColumnFormula>0/10^3*Umrechnungsfaktoren!$B$15/Umrechnungsfaktoren!$B$12</calculatedColumnFormula>
    </tableColumn>
    <tableColumn id="75" xr3:uid="{00000000-0010-0000-0D00-00004B000000}" name="fixe Kosten max €_2018/kW*a" dataDxfId="1285"/>
    <tableColumn id="19" xr3:uid="{00000000-0010-0000-0D00-000013000000}" name="fixe Kosten €_2018/kW*a" dataDxfId="1284">
      <calculatedColumnFormula>869/10^3*Umrechnungsfaktoren!$B$15/Umrechnungsfaktoren!$B$12</calculatedColumnFormula>
    </tableColumn>
    <tableColumn id="48" xr3:uid="{00000000-0010-0000-0D00-000030000000}" name="Investitionsausgaben je Anschlusspunkt (€_2018)" dataDxfId="1283">
      <calculatedColumnFormula>104/10^3*Umrechnungsfaktoren!$B$15/Umrechnungsfaktoren!$B$12</calculatedColumnFormula>
    </tableColumn>
    <tableColumn id="20" xr3:uid="{00000000-0010-0000-0D00-000014000000}" name="Bemerkungen" dataDxfId="1282"/>
    <tableColumn id="69" xr3:uid="{00000000-0010-0000-0D00-000045000000}" name="Ausblick Zukunft" dataDxfId="1281"/>
    <tableColumn id="55" xr3:uid="{00000000-0010-0000-0D00-000037000000}" name="Fundstelle Lastverschiebung" dataDxfId="1280"/>
    <tableColumn id="54" xr3:uid="{00000000-0010-0000-0D00-000036000000}" name="Fundstelle Lastverzicht" dataDxfId="1279"/>
    <tableColumn id="21" xr3:uid="{00000000-0010-0000-0D00-000015000000}" name="Fundstelle Potenzial pos." dataDxfId="1278"/>
    <tableColumn id="22" xr3:uid="{00000000-0010-0000-0D00-000016000000}" name="Fundstelle Potenzial neg." dataDxfId="1277"/>
    <tableColumn id="23" xr3:uid="{00000000-0010-0000-0D00-000017000000}" name="Fundstelle Mindestleistung" dataDxfId="1276"/>
    <tableColumn id="43" xr3:uid="{00000000-0010-0000-0D00-00002B000000}" name="Fundstelle flexibilisierbarer Anteil" dataDxfId="1275"/>
    <tableColumn id="66" xr3:uid="{00000000-0010-0000-0D00-000042000000}" name="Fundstelle Durchschnittsauslastung" dataDxfId="1274"/>
    <tableColumn id="45" xr3:uid="{00000000-0010-0000-0D00-00002D000000}" name="Fundstelle durchschnittliche Leistung" dataDxfId="1273"/>
    <tableColumn id="24" xr3:uid="{00000000-0010-0000-0D00-000018000000}" name="Fundstelle Maximalleistung" dataDxfId="1272"/>
    <tableColumn id="25" xr3:uid="{00000000-0010-0000-0D00-000019000000}" name="Fundstelle installierte Leistung" dataDxfId="1271"/>
    <tableColumn id="39" xr3:uid="{00000000-0010-0000-0D00-000027000000}" name="Fundstelle Aktivierungsdauer" dataDxfId="1270"/>
    <tableColumn id="26" xr3:uid="{00000000-0010-0000-0D00-00001A000000}" name="Fundstelle Schaltdauer" dataDxfId="1269"/>
    <tableColumn id="27" xr3:uid="{00000000-0010-0000-0D00-00001B000000}" name="Fundstelle Verschiebedauer" dataDxfId="1268"/>
    <tableColumn id="28" xr3:uid="{00000000-0010-0000-0D00-00001C000000}" name="Fundstelle Regenerationsdauer" dataDxfId="1267"/>
    <tableColumn id="29" xr3:uid="{00000000-0010-0000-0D00-00001D000000}" name="Fundstelle Zeitverfügbarkeit" dataDxfId="1266"/>
    <tableColumn id="30" xr3:uid="{00000000-0010-0000-0D00-00001E000000}" name="Fundstelle max. Abrufhäufigkeit" dataDxfId="1265"/>
    <tableColumn id="31" xr3:uid="{00000000-0010-0000-0D00-00001F000000}" name="Fundstelle Invest" dataDxfId="1264"/>
    <tableColumn id="32" xr3:uid="{00000000-0010-0000-0D00-000020000000}" name="Fundstelle var. Kosten" dataDxfId="1263"/>
    <tableColumn id="33" xr3:uid="{00000000-0010-0000-0D00-000021000000}" name="Fundstelle fixe Kosten" dataDxfId="1262"/>
    <tableColumn id="49" xr3:uid="{00000000-0010-0000-0D00-000031000000}" name="Fundstelle Investition je Anschlusspunkt" dataDxfId="1261"/>
    <tableColumn id="34" xr3:uid="{00000000-0010-0000-0D00-000022000000}" name="Fundstelle Bemerkungen" dataDxfId="1260"/>
    <tableColumn id="76" xr3:uid="{00000000-0010-0000-0D00-00004C000000}" name="Fundstelle Ausblick" dataDxfId="1259"/>
    <tableColumn id="35" xr3:uid="{00000000-0010-0000-0D00-000023000000}" name="eigene Anmerkung" dataDxfId="1258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BQ7" totalsRowShown="0" headerRowDxfId="1257" dataDxfId="1256" tableBorderDxfId="1255">
  <autoFilter ref="A1:BQ7" xr:uid="{00000000-0009-0000-0100-00001D000000}"/>
  <tableColumns count="69">
    <tableColumn id="1" xr3:uid="{00000000-0010-0000-1900-000001000000}" name="Prozess" dataDxfId="1254"/>
    <tableColumn id="47" xr3:uid="{00000000-0010-0000-1900-00002F000000}" name="Sektorenzuordnung" dataDxfId="1253"/>
    <tableColumn id="2" xr3:uid="{00000000-0010-0000-1900-000002000000}" name="Jahr" dataDxfId="1252"/>
    <tableColumn id="52" xr3:uid="{00000000-0010-0000-1900-000034000000}" name="Lastverschiebung" dataDxfId="1251"/>
    <tableColumn id="53" xr3:uid="{00000000-0010-0000-1900-000035000000}" name="Lastverzicht" dataDxfId="1250"/>
    <tableColumn id="69" xr3:uid="{5699CFC7-3A38-4AF2-B262-AFAF175FCD49}" name="Lasterhöhung" dataDxfId="1249"/>
    <tableColumn id="68" xr3:uid="{C3310578-7DCB-41E8-ADBB-B2A6C2FC6147}" name="Stromverbrauch in TWh" dataDxfId="1248"/>
    <tableColumn id="3" xr3:uid="{00000000-0010-0000-1900-000003000000}" name="Potenzial pos. min MW" dataDxfId="1247"/>
    <tableColumn id="38" xr3:uid="{00000000-0010-0000-1900-000026000000}" name="Potenzial pos. MW Durchschnitt" dataDxfId="1246"/>
    <tableColumn id="5" xr3:uid="{00000000-0010-0000-1900-000005000000}" name="Potenzial pos. max MW" dataDxfId="1245"/>
    <tableColumn id="37" xr3:uid="{00000000-0010-0000-1900-000025000000}" name="ausgewiesenes Pot. pos. MW (falls abweichend)" dataDxfId="1244"/>
    <tableColumn id="50" xr3:uid="{00000000-0010-0000-1900-000032000000}" name="Potenzial neg. min MW" dataDxfId="1243">
      <calculatedColumnFormula>44+29</calculatedColumnFormula>
    </tableColumn>
    <tableColumn id="41" xr3:uid="{00000000-0010-0000-1900-000029000000}" name="Potenzial neg. MW Durchschnitt" dataDxfId="1242"/>
    <tableColumn id="6" xr3:uid="{00000000-0010-0000-1900-000006000000}" name="Potenzial neg. max MW" dataDxfId="1241">
      <calculatedColumnFormula>197+190</calculatedColumnFormula>
    </tableColumn>
    <tableColumn id="7" xr3:uid="{00000000-0010-0000-1900-000007000000}" name="Mindestleistung MW" dataDxfId="1240"/>
    <tableColumn id="8" xr3:uid="{00000000-0010-0000-1900-000008000000}" name="Mindestauslastung" dataDxfId="1239" dataCellStyle="Prozent"/>
    <tableColumn id="36" xr3:uid="{00000000-0010-0000-1900-000024000000}" name="flexibilisierbarer Anteil" dataDxfId="1238" dataCellStyle="Prozent"/>
    <tableColumn id="67" xr3:uid="{00000000-0010-0000-1900-000043000000}" name="flexibilisierbarer Anteil an Durchschnittslast" dataDxfId="1237" dataCellStyle="Prozent"/>
    <tableColumn id="65" xr3:uid="{00000000-0010-0000-1900-000041000000}" name="Durchschnittsauslastung" dataDxfId="1236" dataCellStyle="Prozent"/>
    <tableColumn id="44" xr3:uid="{00000000-0010-0000-1900-00002C000000}" name="Durchschnittliche Leistung MW" dataDxfId="1235" dataCellStyle="Prozent"/>
    <tableColumn id="9" xr3:uid="{00000000-0010-0000-1900-000009000000}" name="Maximalleistung MW" dataDxfId="1234"/>
    <tableColumn id="46" xr3:uid="{00000000-0010-0000-1900-00002E000000}" name="Maximalauslastung" dataDxfId="1233" dataCellStyle="Prozent"/>
    <tableColumn id="10" xr3:uid="{00000000-0010-0000-1900-00000A000000}" name="installierte Leistung MW" dataDxfId="1232"/>
    <tableColumn id="11" xr3:uid="{00000000-0010-0000-1900-00000B000000}" name="Aktivierungsdauer (h)" dataDxfId="1231"/>
    <tableColumn id="61" xr3:uid="{00000000-0010-0000-1900-00003D000000}" name="Schaltdauer pos. min (h)" dataDxfId="1230"/>
    <tableColumn id="60" xr3:uid="{00000000-0010-0000-1900-00003C000000}" name="Schaltdauer pos. max (h)" dataDxfId="1229"/>
    <tableColumn id="12" xr3:uid="{00000000-0010-0000-1900-00000C000000}" name="Schaltdauer pos. (h)" dataDxfId="1228"/>
    <tableColumn id="63" xr3:uid="{00000000-0010-0000-1900-00003F000000}" name="Schaltdauer neg min (h)" dataDxfId="1227"/>
    <tableColumn id="62" xr3:uid="{00000000-0010-0000-1900-00003E000000}" name="Schaltdauer neg. max (h)" dataDxfId="1226"/>
    <tableColumn id="51" xr3:uid="{00000000-0010-0000-1900-000033000000}" name="Schaltdauer neg. (h)" dataDxfId="1225"/>
    <tableColumn id="42" xr3:uid="{00000000-0010-0000-1900-00002A000000}" name="Verschiebedauer min. (h)" dataDxfId="1224"/>
    <tableColumn id="4" xr3:uid="{00000000-0010-0000-1900-000004000000}" name="Verschiebedauer max (h)" dataDxfId="1223"/>
    <tableColumn id="13" xr3:uid="{00000000-0010-0000-1900-00000D000000}" name="Verschiebedauer (h)" dataDxfId="1222"/>
    <tableColumn id="14" xr3:uid="{00000000-0010-0000-1900-00000E000000}" name="Regenerationsdauer (h)" dataDxfId="1221"/>
    <tableColumn id="15" xr3:uid="{00000000-0010-0000-1900-00000F000000}" name="Zeitverfügbarkeit?" dataDxfId="1220"/>
    <tableColumn id="16" xr3:uid="{00000000-0010-0000-1900-000010000000}" name="max. Abrufhäufigkeit pro Woche" dataDxfId="1219"/>
    <tableColumn id="40" xr3:uid="{00000000-0010-0000-1900-000028000000}" name="max. Abrufhäufigkeit pro Jahr" dataDxfId="1218"/>
    <tableColumn id="57" xr3:uid="{00000000-0010-0000-1900-000039000000}" name="min. Investitionsausgaben €_2018/kW" dataDxfId="1217"/>
    <tableColumn id="56" xr3:uid="{00000000-0010-0000-1900-000038000000}" name="max. Investitionsausgaben €_2018/kW" dataDxfId="1216"/>
    <tableColumn id="17" xr3:uid="{00000000-0010-0000-1900-000011000000}" name="Investitionsausgaben €_2018/kW" dataDxfId="1215"/>
    <tableColumn id="59" xr3:uid="{00000000-0010-0000-1900-00003B000000}" name="var. Kosten min. €_2018/MWh" dataDxfId="1214"/>
    <tableColumn id="58" xr3:uid="{00000000-0010-0000-1900-00003A000000}" name="var. Kosten max. €_2018/MWh" dataDxfId="1213"/>
    <tableColumn id="18" xr3:uid="{00000000-0010-0000-1900-000012000000}" name="variable Kosten €_2018/MWh" dataDxfId="1212"/>
    <tableColumn id="64" xr3:uid="{00000000-0010-0000-1900-000040000000}" name="fixe Kosten min. €_2018/kW*a" dataDxfId="1211"/>
    <tableColumn id="19" xr3:uid="{00000000-0010-0000-1900-000013000000}" name="fixe Kosten €_2018/kW*a" dataDxfId="1210"/>
    <tableColumn id="48" xr3:uid="{00000000-0010-0000-1900-000030000000}" name="Investitionsausgaben je Anschlusspunkt (€_2018)" dataDxfId="1209"/>
    <tableColumn id="20" xr3:uid="{00000000-0010-0000-1900-000014000000}" name="Bemerkungen" dataDxfId="1208"/>
    <tableColumn id="55" xr3:uid="{00000000-0010-0000-1900-000037000000}" name="Fundstelle Lastverschiebung" dataDxfId="1207"/>
    <tableColumn id="54" xr3:uid="{00000000-0010-0000-1900-000036000000}" name="Fundstelle Lastverzicht" dataDxfId="1206"/>
    <tableColumn id="21" xr3:uid="{00000000-0010-0000-1900-000015000000}" name="Fundstelle Potenzial pos." dataDxfId="1205"/>
    <tableColumn id="22" xr3:uid="{00000000-0010-0000-1900-000016000000}" name="Fundstelle Potenzial neg." dataDxfId="1204"/>
    <tableColumn id="23" xr3:uid="{00000000-0010-0000-1900-000017000000}" name="Fundstelle Mindestleistung" dataDxfId="1203"/>
    <tableColumn id="43" xr3:uid="{00000000-0010-0000-1900-00002B000000}" name="Fundstelle flexibilisierbarer Anteil" dataDxfId="1202"/>
    <tableColumn id="66" xr3:uid="{00000000-0010-0000-1900-000042000000}" name="Fundstelle Durchschnittsauslastung" dataDxfId="1201"/>
    <tableColumn id="45" xr3:uid="{00000000-0010-0000-1900-00002D000000}" name="Fundstelle durchschnittliche Leistung" dataDxfId="1200"/>
    <tableColumn id="24" xr3:uid="{00000000-0010-0000-1900-000018000000}" name="Fundstelle Maximalleistung" dataDxfId="1199"/>
    <tableColumn id="25" xr3:uid="{00000000-0010-0000-1900-000019000000}" name="Fundstelle installierte Leistung" dataDxfId="1198"/>
    <tableColumn id="39" xr3:uid="{00000000-0010-0000-1900-000027000000}" name="Fundstelle Aktivierungsdauer" dataDxfId="1197"/>
    <tableColumn id="26" xr3:uid="{00000000-0010-0000-1900-00001A000000}" name="Fundstelle Schaltdauer" dataDxfId="1196"/>
    <tableColumn id="27" xr3:uid="{00000000-0010-0000-1900-00001B000000}" name="Fundstelle Verschiebedauer" dataDxfId="1195"/>
    <tableColumn id="28" xr3:uid="{00000000-0010-0000-1900-00001C000000}" name="Fundstelle Regenerationsdauer" dataDxfId="1194"/>
    <tableColumn id="29" xr3:uid="{00000000-0010-0000-1900-00001D000000}" name="Fundstelle Zeitverfügbarkeit" dataDxfId="1193"/>
    <tableColumn id="30" xr3:uid="{00000000-0010-0000-1900-00001E000000}" name="Fundstelle max. Abrufhäufigkeit" dataDxfId="1192"/>
    <tableColumn id="31" xr3:uid="{00000000-0010-0000-1900-00001F000000}" name="Fundstelle Invest" dataDxfId="1191"/>
    <tableColumn id="32" xr3:uid="{00000000-0010-0000-1900-000020000000}" name="Fundstelle var. Kosten" dataDxfId="1190"/>
    <tableColumn id="33" xr3:uid="{00000000-0010-0000-1900-000021000000}" name="Fundstelle fixe Kosten" dataDxfId="1189"/>
    <tableColumn id="49" xr3:uid="{00000000-0010-0000-1900-000031000000}" name="Fundstelle Investition je Anschlusspunkt" dataDxfId="1188"/>
    <tableColumn id="34" xr3:uid="{00000000-0010-0000-1900-000022000000}" name="Fundstelle Bemerkungen" dataDxfId="1187"/>
    <tableColumn id="35" xr3:uid="{00000000-0010-0000-1900-000023000000}" name="eigene Anmerkung" dataDxfId="1186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Q45" totalsRowShown="0" headerRowDxfId="1185" dataDxfId="1184" tableBorderDxfId="1183">
  <autoFilter ref="A1:BQ45" xr:uid="{00000000-0009-0000-0100-000008000000}"/>
  <tableColumns count="69">
    <tableColumn id="1" xr3:uid="{00000000-0010-0000-0200-000001000000}" name="Prozess" dataDxfId="1182"/>
    <tableColumn id="47" xr3:uid="{00000000-0010-0000-0200-00002F000000}" name="Sektorenzuordnung" dataDxfId="1181"/>
    <tableColumn id="2" xr3:uid="{00000000-0010-0000-0200-000002000000}" name="Jahr" dataDxfId="1180"/>
    <tableColumn id="52" xr3:uid="{00000000-0010-0000-0200-000034000000}" name="Lastverschiebung" dataDxfId="1179"/>
    <tableColumn id="53" xr3:uid="{00000000-0010-0000-0200-000035000000}" name="Lastverzicht" dataDxfId="1178"/>
    <tableColumn id="65" xr3:uid="{01A49C9E-5CCD-4A95-B6BA-9289767BCF33}" name="Lasterhöhung" dataDxfId="1177"/>
    <tableColumn id="3" xr3:uid="{00000000-0010-0000-0200-000003000000}" name="Potenzial pos. min MW" dataDxfId="1176"/>
    <tableColumn id="38" xr3:uid="{00000000-0010-0000-0200-000026000000}" name="Potenzial pos. MW Durchschnitt" dataDxfId="1175"/>
    <tableColumn id="5" xr3:uid="{00000000-0010-0000-0200-000005000000}" name="Potenzial pos. max MW" dataDxfId="1174"/>
    <tableColumn id="67" xr3:uid="{C28A0071-673B-4973-A656-756516FDB1AC}" name="Potenzial pos. max MW Lastverzicht" dataDxfId="40"/>
    <tableColumn id="37" xr3:uid="{00000000-0010-0000-0200-000025000000}" name="ausgewiesenes Pot. pos. MW (falls abweichend)" dataDxfId="1173"/>
    <tableColumn id="50" xr3:uid="{00000000-0010-0000-0200-000032000000}" name="Potenzial neg. min MW" dataDxfId="1172"/>
    <tableColumn id="41" xr3:uid="{00000000-0010-0000-0200-000029000000}" name="Potenzial neg. MW Durchschnitt" dataDxfId="1171"/>
    <tableColumn id="6" xr3:uid="{00000000-0010-0000-0200-000006000000}" name="Potenzial neg. max MW" dataDxfId="1170"/>
    <tableColumn id="7" xr3:uid="{00000000-0010-0000-0200-000007000000}" name="Mindestleistung MW" dataDxfId="1169"/>
    <tableColumn id="8" xr3:uid="{00000000-0010-0000-0200-000008000000}" name="Mindestauslastung" dataDxfId="1168" dataCellStyle="Prozent"/>
    <tableColumn id="66" xr3:uid="{27719410-D0A9-4C52-BFB6-CDC339A61A1E}" name="flexibilisierbarer Anteil min" dataDxfId="1167" dataCellStyle="Prozent"/>
    <tableColumn id="36" xr3:uid="{00000000-0010-0000-0200-000024000000}" name="flexibilisierbarer Anteil an installierter Leistung" dataDxfId="1166" dataCellStyle="Prozent"/>
    <tableColumn id="44" xr3:uid="{00000000-0010-0000-0200-00002C000000}" name="Durchschnittliche Leistung MW" dataDxfId="1165" dataCellStyle="Prozent"/>
    <tableColumn id="9" xr3:uid="{00000000-0010-0000-0200-000009000000}" name="Maximalleistung MW" dataDxfId="1164"/>
    <tableColumn id="46" xr3:uid="{00000000-0010-0000-0200-00002E000000}" name="Maximalauslastung" dataDxfId="1163" dataCellStyle="Prozent"/>
    <tableColumn id="10" xr3:uid="{00000000-0010-0000-0200-00000A000000}" name="installierte Leistung MW" dataDxfId="1162"/>
    <tableColumn id="11" xr3:uid="{00000000-0010-0000-0200-00000B000000}" name="Aktivierungsdauer (h)" dataDxfId="1161">
      <calculatedColumnFormula>7.5/60</calculatedColumnFormula>
    </tableColumn>
    <tableColumn id="61" xr3:uid="{00000000-0010-0000-0200-00003D000000}" name="Schaltdauer pos. min (h)" dataDxfId="1160"/>
    <tableColumn id="60" xr3:uid="{00000000-0010-0000-0200-00003C000000}" name="Schaltdauer pos. max (h)" dataDxfId="1159"/>
    <tableColumn id="12" xr3:uid="{00000000-0010-0000-0200-00000C000000}" name="Schaltdauer pos. (h)" dataDxfId="1158"/>
    <tableColumn id="70" xr3:uid="{329A6B05-D931-44C1-91AD-97F23AA9C1A2}" name="Schaltdauer pos. min (h) Lastverzicht" dataDxfId="38"/>
    <tableColumn id="69" xr3:uid="{FE9C188D-32F6-404A-A7A6-CF047C81A609}" name="Schaltdauer pos. max (h) Lastverzicht" dataDxfId="39"/>
    <tableColumn id="63" xr3:uid="{00000000-0010-0000-0200-00003F000000}" name="Schaltdauer neg min (h)" dataDxfId="1157"/>
    <tableColumn id="62" xr3:uid="{00000000-0010-0000-0200-00003E000000}" name="Schaltdauer neg. max (h)" dataDxfId="1156"/>
    <tableColumn id="51" xr3:uid="{00000000-0010-0000-0200-000033000000}" name="Schaltdauer neg. (h)" dataDxfId="1155"/>
    <tableColumn id="42" xr3:uid="{00000000-0010-0000-0200-00002A000000}" name="Verschiebedauer min. (h)" dataDxfId="1154"/>
    <tableColumn id="4" xr3:uid="{00000000-0010-0000-0200-000004000000}" name="Verschiebedauer max (h)" dataDxfId="1153"/>
    <tableColumn id="13" xr3:uid="{00000000-0010-0000-0200-00000D000000}" name="Verschiebedauer (h)" dataDxfId="1152"/>
    <tableColumn id="14" xr3:uid="{00000000-0010-0000-0200-00000E000000}" name="Regenerationsdauer (h)" dataDxfId="1151"/>
    <tableColumn id="15" xr3:uid="{00000000-0010-0000-0200-00000F000000}" name="Zeitverfügbarkeit?" dataDxfId="1150"/>
    <tableColumn id="16" xr3:uid="{00000000-0010-0000-0200-000010000000}" name="max. Abrufhäufigkeit pro Woche" dataDxfId="1149"/>
    <tableColumn id="40" xr3:uid="{00000000-0010-0000-0200-000028000000}" name="max. Abrufhäufigkeit pro Jahr" dataDxfId="1148"/>
    <tableColumn id="57" xr3:uid="{00000000-0010-0000-0200-000039000000}" name="min. Investitionsausgaben €_2018/kW" dataDxfId="1147"/>
    <tableColumn id="56" xr3:uid="{00000000-0010-0000-0200-000038000000}" name="max. Investitionsausgaben €_2018/kW" dataDxfId="1146"/>
    <tableColumn id="17" xr3:uid="{00000000-0010-0000-0200-000011000000}" name="Investitionsausgaben €_2018/kW" dataDxfId="1145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1144"/>
    <tableColumn id="58" xr3:uid="{00000000-0010-0000-0200-00003A000000}" name="var. Kosten max. Lastverschiebung €_2018/MWh" dataDxfId="1143"/>
    <tableColumn id="18" xr3:uid="{00000000-0010-0000-0200-000012000000}" name="variable Kosten €_2018/MWh" dataDxfId="1142">
      <calculatedColumnFormula>1*Umrechnungsfaktoren!$B$15/Umrechnungsfaktoren!$B$7</calculatedColumnFormula>
    </tableColumn>
    <tableColumn id="64" xr3:uid="{00000000-0010-0000-0200-000040000000}" name="fixe Kosten min. €_2018/kW*a" dataDxfId="1141"/>
    <tableColumn id="19" xr3:uid="{00000000-0010-0000-0200-000013000000}" name="fixe Kosten €_2018/kW*a" dataDxfId="1140">
      <calculatedColumnFormula>1*Umrechnungsfaktoren!$B$15/Umrechnungsfaktoren!$B$7</calculatedColumnFormula>
    </tableColumn>
    <tableColumn id="48" xr3:uid="{00000000-0010-0000-0200-000030000000}" name="Investitionsausgaben je Anschlusspunkt (€_2018)" dataDxfId="1139"/>
    <tableColumn id="20" xr3:uid="{00000000-0010-0000-0200-000014000000}" name="Bemerkungen" dataDxfId="1138"/>
    <tableColumn id="55" xr3:uid="{00000000-0010-0000-0200-000037000000}" name="Fundstelle Lastverschiebung" dataDxfId="1137"/>
    <tableColumn id="54" xr3:uid="{00000000-0010-0000-0200-000036000000}" name="Fundstelle Lastverzicht" dataDxfId="1136"/>
    <tableColumn id="21" xr3:uid="{00000000-0010-0000-0200-000015000000}" name="Fundstelle Potenzial pos." dataDxfId="1135"/>
    <tableColumn id="22" xr3:uid="{00000000-0010-0000-0200-000016000000}" name="Fundstelle Potenzial neg." dataDxfId="1134"/>
    <tableColumn id="23" xr3:uid="{00000000-0010-0000-0200-000017000000}" name="Fundstelle Mindestleistung" dataDxfId="1133"/>
    <tableColumn id="43" xr3:uid="{00000000-0010-0000-0200-00002B000000}" name="Fundstelle flexibilisierbarer Anteil" dataDxfId="1132"/>
    <tableColumn id="45" xr3:uid="{00000000-0010-0000-0200-00002D000000}" name="Fundstelle durchschnittliche Leistung" dataDxfId="1131"/>
    <tableColumn id="24" xr3:uid="{00000000-0010-0000-0200-000018000000}" name="Fundstelle Maximalleistung" dataDxfId="1130"/>
    <tableColumn id="25" xr3:uid="{00000000-0010-0000-0200-000019000000}" name="Fundstelle installierte Leistung" dataDxfId="1129"/>
    <tableColumn id="39" xr3:uid="{00000000-0010-0000-0200-000027000000}" name="Fundstelle Aktivierungsdauer" dataDxfId="1128"/>
    <tableColumn id="26" xr3:uid="{00000000-0010-0000-0200-00001A000000}" name="Fundstelle Schaltdauer" dataDxfId="1127"/>
    <tableColumn id="27" xr3:uid="{00000000-0010-0000-0200-00001B000000}" name="Fundstelle Verschiebedauer" dataDxfId="1126"/>
    <tableColumn id="28" xr3:uid="{00000000-0010-0000-0200-00001C000000}" name="Fundstelle Regenerationsdauer" dataDxfId="1125"/>
    <tableColumn id="29" xr3:uid="{00000000-0010-0000-0200-00001D000000}" name="Fundstelle Zeitverfügbarkeit" dataDxfId="1124"/>
    <tableColumn id="30" xr3:uid="{00000000-0010-0000-0200-00001E000000}" name="Fundstelle max. Abrufhäufigkeit" dataDxfId="1123"/>
    <tableColumn id="31" xr3:uid="{00000000-0010-0000-0200-00001F000000}" name="Fundstelle Invest" dataDxfId="1122"/>
    <tableColumn id="32" xr3:uid="{00000000-0010-0000-0200-000020000000}" name="Fundstelle var. Kosten" dataDxfId="1121"/>
    <tableColumn id="33" xr3:uid="{00000000-0010-0000-0200-000021000000}" name="Fundstelle fixe Kosten" dataDxfId="1120"/>
    <tableColumn id="49" xr3:uid="{00000000-0010-0000-0200-000031000000}" name="Fundstelle Investition je Anschlusspunkt" dataDxfId="1119"/>
    <tableColumn id="34" xr3:uid="{00000000-0010-0000-0200-000022000000}" name="Fundstelle Bemerkungen" dataDxfId="1118"/>
    <tableColumn id="35" xr3:uid="{00000000-0010-0000-0200-000023000000}" name="eigene Anmerkung" dataDxfId="1117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1116" dataDxfId="1115">
  <autoFilter ref="A1:D8" xr:uid="{00000000-0009-0000-0100-000003000000}"/>
  <tableColumns count="4">
    <tableColumn id="1" xr3:uid="{00000000-0010-0000-0300-000001000000}" name="Industrieprozess" totalsRowLabel="Summe" dataDxfId="1114" totalsRowDxfId="1113"/>
    <tableColumn id="3" xr3:uid="{00000000-0010-0000-0300-000003000000}" name="Spezifizierung" dataDxfId="1112" totalsRowDxfId="1111"/>
    <tableColumn id="2" xr3:uid="{00000000-0010-0000-0300-000002000000}" name="Werte pos. Potenzial aus Tabelle (S. 425) in MW" totalsRowFunction="sum" dataDxfId="1110" totalsRowDxfId="1109"/>
    <tableColumn id="4" xr3:uid="{00000000-0010-0000-0300-000004000000}" name="Werte pos. Potenzial aus Tabelle (S. 525) in MW" totalsRowFunction="sum" dataDxfId="1108" totalsRowDxfId="1107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BR11" totalsRowShown="0" headerRowDxfId="1106" dataDxfId="1105" tableBorderDxfId="1104">
  <autoFilter ref="A1:BR11" xr:uid="{00000000-0009-0000-0100-000006000000}"/>
  <tableColumns count="70">
    <tableColumn id="1" xr3:uid="{00000000-0010-0000-0500-000001000000}" name="Prozess" dataDxfId="1103"/>
    <tableColumn id="47" xr3:uid="{00000000-0010-0000-0500-00002F000000}" name="Sektorenzuordnung" dataDxfId="1102"/>
    <tableColumn id="2" xr3:uid="{00000000-0010-0000-0500-000002000000}" name="Jahr" dataDxfId="1101"/>
    <tableColumn id="52" xr3:uid="{00000000-0010-0000-0500-000034000000}" name="Lastverschiebung" dataDxfId="1100"/>
    <tableColumn id="53" xr3:uid="{00000000-0010-0000-0500-000035000000}" name="Lastverzicht" dataDxfId="1099"/>
    <tableColumn id="67" xr3:uid="{FA08C4CE-FFC8-41A5-870D-C7D7670D735C}" name="Lasterhöhung" dataDxfId="1098"/>
    <tableColumn id="3" xr3:uid="{00000000-0010-0000-0500-000003000000}" name="Potenzial pos. min MW" dataDxfId="1097"/>
    <tableColumn id="38" xr3:uid="{00000000-0010-0000-0500-000026000000}" name="Potenzial pos. MW Durchschnitt" dataDxfId="1096"/>
    <tableColumn id="5" xr3:uid="{00000000-0010-0000-0500-000005000000}" name="Potenzial pos. max MW" dataDxfId="1095"/>
    <tableColumn id="69" xr3:uid="{26D9287D-BEEB-4694-BF97-1F2C96F62615}" name="Potenzial pos. max MW Lastverzicht" dataDxfId="37"/>
    <tableColumn id="37" xr3:uid="{00000000-0010-0000-0500-000025000000}" name="ausgewiesenes Pot. pos. MW (falls abweichend)" dataDxfId="1094"/>
    <tableColumn id="50" xr3:uid="{00000000-0010-0000-0500-000032000000}" name="Potenzial neg. min MW" dataDxfId="1093"/>
    <tableColumn id="41" xr3:uid="{00000000-0010-0000-0500-000029000000}" name="Potenzial neg. MW Durchschnitt" dataDxfId="1092"/>
    <tableColumn id="6" xr3:uid="{00000000-0010-0000-0500-000006000000}" name="Potenzial neg. max MW" dataDxfId="1091"/>
    <tableColumn id="7" xr3:uid="{00000000-0010-0000-0500-000007000000}" name="Mindestleistung MW" dataDxfId="1090"/>
    <tableColumn id="8" xr3:uid="{00000000-0010-0000-0500-000008000000}" name="Mindestauslastung" dataDxfId="1089" dataCellStyle="Prozent"/>
    <tableColumn id="36" xr3:uid="{00000000-0010-0000-0500-000024000000}" name="flexibilisierbarer Anteil an installierter Leistung" dataDxfId="1088" dataCellStyle="Prozent"/>
    <tableColumn id="65" xr3:uid="{00000000-0010-0000-0500-000041000000}" name="Durchschnittsauslastung" dataDxfId="1087" dataCellStyle="Prozent"/>
    <tableColumn id="44" xr3:uid="{00000000-0010-0000-0500-00002C000000}" name="Durchschnittliche Leistung MW" dataDxfId="1086" dataCellStyle="Prozent"/>
    <tableColumn id="9" xr3:uid="{00000000-0010-0000-0500-000009000000}" name="Maximalleistung MW" dataDxfId="1085"/>
    <tableColumn id="46" xr3:uid="{00000000-0010-0000-0500-00002E000000}" name="Maximalauslastung" dataDxfId="1084" dataCellStyle="Prozent"/>
    <tableColumn id="10" xr3:uid="{00000000-0010-0000-0500-00000A000000}" name="installierte Leistung MW" dataDxfId="1083"/>
    <tableColumn id="11" xr3:uid="{00000000-0010-0000-0500-00000B000000}" name="Aktivierungsdauer (h)" dataDxfId="1082">
      <calculatedColumnFormula>7.5/60</calculatedColumnFormula>
    </tableColumn>
    <tableColumn id="61" xr3:uid="{00000000-0010-0000-0500-00003D000000}" name="Schaltdauer pos. min (h)" dataDxfId="1081"/>
    <tableColumn id="60" xr3:uid="{00000000-0010-0000-0500-00003C000000}" name="Schaltdauer pos. max (h)" dataDxfId="1080"/>
    <tableColumn id="12" xr3:uid="{00000000-0010-0000-0500-00000C000000}" name="Schaltdauer pos. (h)" dataDxfId="1079"/>
    <tableColumn id="70" xr3:uid="{39D052D7-EC80-4268-8669-5DAE0541F34D}" name="Schaltdauer pos. (h) Lastverzicht" dataDxfId="36"/>
    <tableColumn id="63" xr3:uid="{00000000-0010-0000-0500-00003F000000}" name="Schaltdauer neg min (h)" dataDxfId="1078"/>
    <tableColumn id="62" xr3:uid="{00000000-0010-0000-0500-00003E000000}" name="Schaltdauer neg. max (h)" dataDxfId="1077"/>
    <tableColumn id="51" xr3:uid="{00000000-0010-0000-0500-000033000000}" name="Schaltdauer neg. (h)" dataDxfId="1076"/>
    <tableColumn id="42" xr3:uid="{00000000-0010-0000-0500-00002A000000}" name="Verschiebedauer min. (h)" dataDxfId="1075"/>
    <tableColumn id="4" xr3:uid="{00000000-0010-0000-0500-000004000000}" name="Verschiebedauer max (h)" dataDxfId="1074"/>
    <tableColumn id="13" xr3:uid="{00000000-0010-0000-0500-00000D000000}" name="Verschiebedauer (h)" dataDxfId="1073"/>
    <tableColumn id="14" xr3:uid="{00000000-0010-0000-0500-00000E000000}" name="Regenerationsdauer (h)" dataDxfId="1072"/>
    <tableColumn id="15" xr3:uid="{00000000-0010-0000-0500-00000F000000}" name="Zeitverfügbarkeit?" dataDxfId="1071"/>
    <tableColumn id="16" xr3:uid="{00000000-0010-0000-0500-000010000000}" name="max. Abrufhäufigkeit pro Woche" dataDxfId="1070"/>
    <tableColumn id="40" xr3:uid="{00000000-0010-0000-0500-000028000000}" name="max. Abrufhäufigkeit pro Jahr" dataDxfId="1069"/>
    <tableColumn id="57" xr3:uid="{00000000-0010-0000-0500-000039000000}" name="min. Investitionsausgaben €_2018/kW" dataDxfId="1068">
      <calculatedColumnFormula>15*Umrechnungsfaktoren!$B$15/Umrechnungsfaktoren!$B$7</calculatedColumnFormula>
    </tableColumn>
    <tableColumn id="56" xr3:uid="{00000000-0010-0000-0500-000038000000}" name="max. Investitionsausgaben €_2018/kW" dataDxfId="1067">
      <calculatedColumnFormula>18*Umrechnungsfaktoren!$B$15/Umrechnungsfaktoren!$B$7</calculatedColumnFormula>
    </tableColumn>
    <tableColumn id="17" xr3:uid="{00000000-0010-0000-0500-000011000000}" name="Investitionsausgaben €_2018/kW" dataDxfId="1066">
      <calculatedColumnFormula>1*Umrechnungsfaktoren!$B$15/Umrechnungsfaktoren!$B$7</calculatedColumnFormula>
    </tableColumn>
    <tableColumn id="59" xr3:uid="{00000000-0010-0000-0500-00003B000000}" name="var. Kosten min. Lastverzicht €_2018/MWh" dataDxfId="1065">
      <calculatedColumnFormula>500*Umrechnungsfaktoren!$B$15/Umrechnungsfaktoren!$B$7</calculatedColumnFormula>
    </tableColumn>
    <tableColumn id="58" xr3:uid="{00000000-0010-0000-0500-00003A000000}" name="var. Kosten max. Lastverzicht €_2018/MWh" dataDxfId="1064">
      <calculatedColumnFormula>1500*Umrechnungsfaktoren!$B$15/Umrechnungsfaktoren!$B$7</calculatedColumnFormula>
    </tableColumn>
    <tableColumn id="68" xr3:uid="{C9E11D93-8CB1-45AF-8EF5-B6D7822B689E}" name="variable Kosten €_2018/MWh" dataDxfId="1063">
      <calculatedColumnFormula>10*Umrechnungsfaktoren!$B$15/Umrechnungsfaktoren!$B$7</calculatedColumnFormula>
    </tableColumn>
    <tableColumn id="18" xr3:uid="{00000000-0010-0000-0500-000012000000}" name="variable Kosten Lastverzicht €_2018/MWh" dataDxfId="1062">
      <calculatedColumnFormula>100*Umrechnungsfaktoren!$B$15/Umrechnungsfaktoren!$B$7</calculatedColumnFormula>
    </tableColumn>
    <tableColumn id="64" xr3:uid="{00000000-0010-0000-0500-000040000000}" name="fixe Kosten min. €_2018/kW*a" dataDxfId="1061">
      <calculatedColumnFormula>0*Umrechnungsfaktoren!$B$15/Umrechnungsfaktoren!$B$7</calculatedColumnFormula>
    </tableColumn>
    <tableColumn id="19" xr3:uid="{00000000-0010-0000-0500-000013000000}" name="fixe Kosten €_2018/kW*a" dataDxfId="1060">
      <calculatedColumnFormula>1*Umrechnungsfaktoren!$B$15/Umrechnungsfaktoren!$B$7</calculatedColumnFormula>
    </tableColumn>
    <tableColumn id="48" xr3:uid="{00000000-0010-0000-0500-000030000000}" name="Investitionsausgaben je Anschlusspunkt (€_2018)" dataDxfId="1059"/>
    <tableColumn id="20" xr3:uid="{00000000-0010-0000-0500-000014000000}" name="Bemerkungen" dataDxfId="1058"/>
    <tableColumn id="55" xr3:uid="{00000000-0010-0000-0500-000037000000}" name="Fundstelle Lastverschiebung" dataDxfId="1057"/>
    <tableColumn id="54" xr3:uid="{00000000-0010-0000-0500-000036000000}" name="Fundstelle Lastverzicht" dataDxfId="1056"/>
    <tableColumn id="21" xr3:uid="{00000000-0010-0000-0500-000015000000}" name="Fundstelle Potenzial pos." dataDxfId="1055"/>
    <tableColumn id="22" xr3:uid="{00000000-0010-0000-0500-000016000000}" name="Fundstelle Potenzial neg." dataDxfId="1054"/>
    <tableColumn id="23" xr3:uid="{00000000-0010-0000-0500-000017000000}" name="Fundstelle Mindestleistung" dataDxfId="1053"/>
    <tableColumn id="43" xr3:uid="{00000000-0010-0000-0500-00002B000000}" name="Fundstelle flexibilisierbarer Anteil" dataDxfId="1052"/>
    <tableColumn id="66" xr3:uid="{00000000-0010-0000-0500-000042000000}" name="Fundstelle Durchschnittsauslastung" dataDxfId="1051"/>
    <tableColumn id="45" xr3:uid="{00000000-0010-0000-0500-00002D000000}" name="Fundstelle durchschnittliche Leistung" dataDxfId="1050"/>
    <tableColumn id="24" xr3:uid="{00000000-0010-0000-0500-000018000000}" name="Fundstelle Maximalleistung" dataDxfId="1049"/>
    <tableColumn id="25" xr3:uid="{00000000-0010-0000-0500-000019000000}" name="Fundstelle installierte Leistung" dataDxfId="1048"/>
    <tableColumn id="39" xr3:uid="{00000000-0010-0000-0500-000027000000}" name="Fundstelle Aktivierungsdauer" dataDxfId="1047"/>
    <tableColumn id="26" xr3:uid="{00000000-0010-0000-0500-00001A000000}" name="Fundstelle Schaltdauer" dataDxfId="1046"/>
    <tableColumn id="27" xr3:uid="{00000000-0010-0000-0500-00001B000000}" name="Fundstelle Verschiebedauer" dataDxfId="1045"/>
    <tableColumn id="28" xr3:uid="{00000000-0010-0000-0500-00001C000000}" name="Fundstelle Regenerationsdauer" dataDxfId="1044"/>
    <tableColumn id="29" xr3:uid="{00000000-0010-0000-0500-00001D000000}" name="Fundstelle Zeitverfügbarkeit" dataDxfId="1043"/>
    <tableColumn id="30" xr3:uid="{00000000-0010-0000-0500-00001E000000}" name="Fundstelle max. Abrufhäufigkeit" dataDxfId="1042"/>
    <tableColumn id="31" xr3:uid="{00000000-0010-0000-0500-00001F000000}" name="Fundstelle Invest" dataDxfId="1041"/>
    <tableColumn id="32" xr3:uid="{00000000-0010-0000-0500-000020000000}" name="Fundstelle var. Kosten" dataDxfId="1040"/>
    <tableColumn id="33" xr3:uid="{00000000-0010-0000-0500-000021000000}" name="Fundstelle fixe Kosten" dataDxfId="1039"/>
    <tableColumn id="49" xr3:uid="{00000000-0010-0000-0500-000031000000}" name="Fundstelle Investition je Anschlusspunkt" dataDxfId="1038"/>
    <tableColumn id="34" xr3:uid="{00000000-0010-0000-0500-000022000000}" name="Fundstelle Bemerkungen" dataDxfId="1037"/>
    <tableColumn id="35" xr3:uid="{00000000-0010-0000-0500-000023000000}" name="eigene Anmerkung" dataDxfId="1036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CH64" totalsRowShown="0" headerRowDxfId="1035" dataDxfId="1034" tableBorderDxfId="1033">
  <autoFilter ref="A1:CH64" xr:uid="{00000000-0009-0000-0100-000012000000}"/>
  <tableColumns count="86">
    <tableColumn id="1" xr3:uid="{00000000-0010-0000-0F00-000001000000}" name="Prozess" dataDxfId="1032"/>
    <tableColumn id="47" xr3:uid="{00000000-0010-0000-0F00-00002F000000}" name="Sektorenzuordnung" dataDxfId="1031"/>
    <tableColumn id="2" xr3:uid="{00000000-0010-0000-0F00-000002000000}" name="Jahr" dataDxfId="1030"/>
    <tableColumn id="52" xr3:uid="{00000000-0010-0000-0F00-000034000000}" name="Lastverschiebung" dataDxfId="1029"/>
    <tableColumn id="53" xr3:uid="{00000000-0010-0000-0F00-000035000000}" name="Lastverzicht" dataDxfId="1028"/>
    <tableColumn id="73" xr3:uid="{366B448B-5578-4AD3-946A-78C89BAD4435}" name="Lasterhöhung" dataDxfId="1027"/>
    <tableColumn id="69" xr3:uid="{00000000-0010-0000-0F00-000045000000}" name="Stromverbrauch von TWh" dataDxfId="1026"/>
    <tableColumn id="68" xr3:uid="{00000000-0010-0000-0F00-000044000000}" name="Stromverbrauch bis TWh" dataDxfId="1025"/>
    <tableColumn id="67" xr3:uid="{00000000-0010-0000-0F00-000043000000}" name="Stromverbrauch in TWh" dataDxfId="1024"/>
    <tableColumn id="3" xr3:uid="{00000000-0010-0000-0F00-000003000000}" name="Potenzial pos. min MW" dataDxfId="1023"/>
    <tableColumn id="72" xr3:uid="{00000000-0010-0000-0F00-000048000000}" name="Potenzial pos. min wärmster Tag MW" dataDxfId="1022"/>
    <tableColumn id="38" xr3:uid="{00000000-0010-0000-0F00-000026000000}" name="Potenzial pos. MW Durchschnitt" dataDxfId="1021"/>
    <tableColumn id="5" xr3:uid="{00000000-0010-0000-0F00-000005000000}" name="Potenzial pos. max MW" dataDxfId="1020"/>
    <tableColumn id="83" xr3:uid="{00000000-0010-0000-0F00-000053000000}" name="Potenzial pos. max MW Lastverzicht" dataDxfId="1019"/>
    <tableColumn id="74" xr3:uid="{00000000-0010-0000-0F00-00004A000000}" name="Potenzial pos. max wärmster Tag MW" dataDxfId="1018"/>
    <tableColumn id="37" xr3:uid="{00000000-0010-0000-0F00-000025000000}" name="ausgewiesenes Pot. pos. MW (falls abweichend)" dataDxfId="1017"/>
    <tableColumn id="50" xr3:uid="{00000000-0010-0000-0F00-000032000000}" name="Potenzial neg. min MW" dataDxfId="1016"/>
    <tableColumn id="75" xr3:uid="{00000000-0010-0000-0F00-00004B000000}" name="Potenzial neg. min wärmster Tag MW" dataDxfId="1015"/>
    <tableColumn id="41" xr3:uid="{00000000-0010-0000-0F00-000029000000}" name="Potenzial neg. MW Durchschnitt" dataDxfId="1014"/>
    <tableColumn id="6" xr3:uid="{00000000-0010-0000-0F00-000006000000}" name="Potenzial neg. max MW" dataDxfId="1013"/>
    <tableColumn id="76" xr3:uid="{00000000-0010-0000-0F00-00004C000000}" name="Potenzial neg. max wärmster Tag MW" dataDxfId="1012"/>
    <tableColumn id="7" xr3:uid="{00000000-0010-0000-0F00-000007000000}" name="Mindestleistung MW" dataDxfId="1011"/>
    <tableColumn id="8" xr3:uid="{00000000-0010-0000-0F00-000008000000}" name="Mindestauslastung" dataDxfId="1010" dataCellStyle="Prozent"/>
    <tableColumn id="36" xr3:uid="{00000000-0010-0000-0F00-000024000000}" name="flexibilisierbarer Anteil" dataDxfId="1009" dataCellStyle="Prozent"/>
    <tableColumn id="65" xr3:uid="{00000000-0010-0000-0F00-000041000000}" name="Durchschnittsauslastung" dataDxfId="1008" dataCellStyle="Prozent">
      <calculatedColumnFormula>600/8760</calculatedColumnFormula>
    </tableColumn>
    <tableColumn id="79" xr3:uid="{00000000-0010-0000-0F00-00004F000000}" name="Betriebsstunden p.a." dataDxfId="1007" dataCellStyle="Prozent"/>
    <tableColumn id="44" xr3:uid="{00000000-0010-0000-0F00-00002C000000}" name="Durchschnittliche Leistung MW" dataDxfId="1006" dataCellStyle="Prozent"/>
    <tableColumn id="9" xr3:uid="{00000000-0010-0000-0F00-000009000000}" name="Maximalleistung MW" dataDxfId="1005"/>
    <tableColumn id="46" xr3:uid="{00000000-0010-0000-0F00-00002E000000}" name="Maximalauslastung" dataDxfId="1004" dataCellStyle="Prozent"/>
    <tableColumn id="10" xr3:uid="{00000000-0010-0000-0F00-00000A000000}" name="installierte Leistung MW" dataDxfId="1003"/>
    <tableColumn id="77" xr3:uid="{00000000-0010-0000-0F00-00004D000000}" name="Wirkungsgrad (%)" dataDxfId="1002" dataCellStyle="Prozent"/>
    <tableColumn id="11" xr3:uid="{00000000-0010-0000-0F00-00000B000000}" name="Aktivierungsdauer (h)" dataDxfId="1001">
      <calculatedColumnFormula>5/60</calculatedColumnFormula>
    </tableColumn>
    <tableColumn id="61" xr3:uid="{00000000-0010-0000-0F00-00003D000000}" name="Schaltdauer pos. min (h)" dataDxfId="1000"/>
    <tableColumn id="60" xr3:uid="{00000000-0010-0000-0F00-00003C000000}" name="Schaltdauer pos. max (h)" dataDxfId="999"/>
    <tableColumn id="12" xr3:uid="{00000000-0010-0000-0F00-00000C000000}" name="Schaltdauer pos. (h)" dataDxfId="998"/>
    <tableColumn id="85" xr3:uid="{EEC62F72-53E0-41CA-BEC2-68E0E53F4490}" name="Schaltdauer pos. min (h) Lastverzicht" dataDxfId="34"/>
    <tableColumn id="84" xr3:uid="{BC25BCEB-C414-4481-9949-83A7EBFE638F}" name="Schaltdauer pos. (h) Lastverzicht2" dataDxfId="35"/>
    <tableColumn id="63" xr3:uid="{00000000-0010-0000-0F00-00003F000000}" name="Schaltdauer neg min (h)" dataDxfId="997"/>
    <tableColumn id="62" xr3:uid="{00000000-0010-0000-0F00-00003E000000}" name="Schaltdauer neg. max (h)" dataDxfId="996"/>
    <tableColumn id="51" xr3:uid="{00000000-0010-0000-0F00-000033000000}" name="Schaltdauer neg. (h)" dataDxfId="995"/>
    <tableColumn id="42" xr3:uid="{00000000-0010-0000-0F00-00002A000000}" name="Verschiebedauer min. (h)" dataDxfId="994"/>
    <tableColumn id="4" xr3:uid="{00000000-0010-0000-0F00-000004000000}" name="Verschiebedauer max (h)" dataDxfId="993"/>
    <tableColumn id="13" xr3:uid="{00000000-0010-0000-0F00-00000D000000}" name="Verschiebedauer (h)" dataDxfId="992"/>
    <tableColumn id="14" xr3:uid="{00000000-0010-0000-0F00-00000E000000}" name="Regenerationsdauer (h)" dataDxfId="991"/>
    <tableColumn id="15" xr3:uid="{00000000-0010-0000-0F00-00000F000000}" name="Zeitverfügbarkeit?" dataDxfId="990"/>
    <tableColumn id="16" xr3:uid="{00000000-0010-0000-0F00-000010000000}" name="max. Abrufhäufigkeit pro Woche" dataDxfId="989"/>
    <tableColumn id="82" xr3:uid="{00000000-0010-0000-0F00-000052000000}" name="max. Abrufhäufigkeit min. pro Jahr" dataDxfId="988"/>
    <tableColumn id="81" xr3:uid="{00000000-0010-0000-0F00-000051000000}" name="max. Abrufhäufigkeit max. pro Jahr" dataDxfId="987"/>
    <tableColumn id="40" xr3:uid="{00000000-0010-0000-0F00-000028000000}" name="max. Abrufhäufigkeit min. pro Jahr Lastverzicht" dataDxfId="986"/>
    <tableColumn id="86" xr3:uid="{1969DFC6-A590-463D-A44A-18304C6A8B66}" name="max. Abrufhäufigkeit max. pro Jahr Lastverzicht" dataDxfId="33"/>
    <tableColumn id="57" xr3:uid="{00000000-0010-0000-0F00-000039000000}" name="min. Investitionsausgaben €_2018/kW" dataDxfId="985"/>
    <tableColumn id="56" xr3:uid="{00000000-0010-0000-0F00-000038000000}" name="max. Investitionsausgaben €_2018/kW" dataDxfId="984"/>
    <tableColumn id="17" xr3:uid="{00000000-0010-0000-0F00-000011000000}" name="Investitionsausgaben €_2018/kW" dataDxfId="983">
      <calculatedColumnFormula>0.05*Umrechnungsfaktoren!$B$15/Umrechnungsfaktoren!$B$13</calculatedColumnFormula>
    </tableColumn>
    <tableColumn id="59" xr3:uid="{00000000-0010-0000-0F00-00003B000000}" name="var. Kosten min. €_2018/MWh" dataDxfId="982"/>
    <tableColumn id="58" xr3:uid="{00000000-0010-0000-0F00-00003A000000}" name="var. Kosten max. Lastverzicht €_2018/MWh" dataDxfId="981">
      <calculatedColumnFormula>164*Umrechnungsfaktoren!$B$15/Umrechnungsfaktoren!$B$13</calculatedColumnFormula>
    </tableColumn>
    <tableColumn id="18" xr3:uid="{00000000-0010-0000-0F00-000012000000}" name="variable Kosten €_2018/MWh" dataDxfId="980"/>
    <tableColumn id="64" xr3:uid="{00000000-0010-0000-0F00-000040000000}" name="fixe Kosten min. €_2018/kW*a" dataDxfId="979"/>
    <tableColumn id="19" xr3:uid="{00000000-0010-0000-0F00-000013000000}" name="fixe Kosten €_2018/kW*a" dataDxfId="978">
      <calculatedColumnFormula>0.05*Umrechnungsfaktoren!$B$15/Umrechnungsfaktoren!$B$13</calculatedColumnFormula>
    </tableColumn>
    <tableColumn id="71" xr3:uid="{00000000-0010-0000-0F00-000047000000}" name="fixe Kosten €_2018/a" dataDxfId="977">
      <calculatedColumnFormula>220*Umrechnungsfaktoren!$B$15/Umrechnungsfaktoren!$B$13</calculatedColumnFormula>
    </tableColumn>
    <tableColumn id="48" xr3:uid="{00000000-0010-0000-0F00-000030000000}" name="Investitionsausgaben je Anschlusspunkt (€_2018)" dataDxfId="976">
      <calculatedColumnFormula>220*Umrechnungsfaktoren!$B$15/Umrechnungsfaktoren!$B$13</calculatedColumnFormula>
    </tableColumn>
    <tableColumn id="20" xr3:uid="{00000000-0010-0000-0F00-000014000000}" name="Bemerkungen" dataDxfId="975"/>
    <tableColumn id="55" xr3:uid="{00000000-0010-0000-0F00-000037000000}" name="Fundstelle Lastverschiebung" dataDxfId="974"/>
    <tableColumn id="54" xr3:uid="{00000000-0010-0000-0F00-000036000000}" name="Fundstelle Lastverzicht" dataDxfId="973"/>
    <tableColumn id="70" xr3:uid="{00000000-0010-0000-0F00-000046000000}" name="Fundstelle Stromverbrauch" dataDxfId="972"/>
    <tableColumn id="21" xr3:uid="{00000000-0010-0000-0F00-000015000000}" name="Fundstelle Potenzial pos." dataDxfId="971"/>
    <tableColumn id="22" xr3:uid="{00000000-0010-0000-0F00-000016000000}" name="Fundstelle Potenzial neg." dataDxfId="970"/>
    <tableColumn id="23" xr3:uid="{00000000-0010-0000-0F00-000017000000}" name="Fundstelle Mindestleistung" dataDxfId="969"/>
    <tableColumn id="43" xr3:uid="{00000000-0010-0000-0F00-00002B000000}" name="Fundstelle flexibilisierbarer Anteil" dataDxfId="968"/>
    <tableColumn id="66" xr3:uid="{00000000-0010-0000-0F00-000042000000}" name="Fundstelle Durchschnittsauslastung" dataDxfId="967"/>
    <tableColumn id="80" xr3:uid="{00000000-0010-0000-0F00-000050000000}" name="Fundstelle Betriebsstunden" dataDxfId="966"/>
    <tableColumn id="45" xr3:uid="{00000000-0010-0000-0F00-00002D000000}" name="Fundstelle durchschnittliche Leistung" dataDxfId="965"/>
    <tableColumn id="24" xr3:uid="{00000000-0010-0000-0F00-000018000000}" name="Fundstelle Maximalleistung" dataDxfId="964"/>
    <tableColumn id="25" xr3:uid="{00000000-0010-0000-0F00-000019000000}" name="Fundstelle installierte Leistung" dataDxfId="963"/>
    <tableColumn id="78" xr3:uid="{00000000-0010-0000-0F00-00004E000000}" name="Fundstelle Wirkungsgrad" dataDxfId="962"/>
    <tableColumn id="39" xr3:uid="{00000000-0010-0000-0F00-000027000000}" name="Fundstelle Aktivierungsdauer" dataDxfId="961"/>
    <tableColumn id="26" xr3:uid="{00000000-0010-0000-0F00-00001A000000}" name="Fundstelle Schaltdauer" dataDxfId="960"/>
    <tableColumn id="27" xr3:uid="{00000000-0010-0000-0F00-00001B000000}" name="Fundstelle Verschiebedauer" dataDxfId="959"/>
    <tableColumn id="28" xr3:uid="{00000000-0010-0000-0F00-00001C000000}" name="Fundstelle Regenerationsdauer" dataDxfId="958"/>
    <tableColumn id="29" xr3:uid="{00000000-0010-0000-0F00-00001D000000}" name="Fundstelle Zeitverfügbarkeit" dataDxfId="957"/>
    <tableColumn id="30" xr3:uid="{00000000-0010-0000-0F00-00001E000000}" name="Fundstelle max. Abrufhäufigkeit" dataDxfId="956"/>
    <tableColumn id="31" xr3:uid="{00000000-0010-0000-0F00-00001F000000}" name="Fundstelle Invest" dataDxfId="955"/>
    <tableColumn id="32" xr3:uid="{00000000-0010-0000-0F00-000020000000}" name="Fundstelle var. Kosten" dataDxfId="954"/>
    <tableColumn id="33" xr3:uid="{00000000-0010-0000-0F00-000021000000}" name="Fundstelle fixe Kosten" dataDxfId="953"/>
    <tableColumn id="49" xr3:uid="{00000000-0010-0000-0F00-000031000000}" name="Fundstelle Investition je Anschlusspunkt" dataDxfId="952"/>
    <tableColumn id="34" xr3:uid="{00000000-0010-0000-0F00-000022000000}" name="Fundstelle Bemerkungen" dataDxfId="951"/>
    <tableColumn id="35" xr3:uid="{00000000-0010-0000-0F00-000023000000}" name="eigene Anmerkung" dataDxfId="950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BO6" totalsRowShown="0" headerRowDxfId="949" dataDxfId="948" tableBorderDxfId="947">
  <autoFilter ref="A1:BO6" xr:uid="{00000000-0009-0000-0100-00000D000000}"/>
  <tableColumns count="67">
    <tableColumn id="1" xr3:uid="{00000000-0010-0000-0800-000001000000}" name="Prozess" dataDxfId="946"/>
    <tableColumn id="47" xr3:uid="{00000000-0010-0000-0800-00002F000000}" name="Sektorenzuordnung" dataDxfId="945"/>
    <tableColumn id="2" xr3:uid="{00000000-0010-0000-0800-000002000000}" name="Jahr" dataDxfId="944"/>
    <tableColumn id="52" xr3:uid="{00000000-0010-0000-0800-000034000000}" name="Lastverschiebung" dataDxfId="943"/>
    <tableColumn id="53" xr3:uid="{00000000-0010-0000-0800-000035000000}" name="Lastverzicht" dataDxfId="942"/>
    <tableColumn id="36" xr3:uid="{D0502EC0-C6B2-43EE-B675-33E4B2F87D80}" name="Lasterhöhung" dataDxfId="941"/>
    <tableColumn id="3" xr3:uid="{00000000-0010-0000-0800-000003000000}" name="Potenzial pos. min MW" dataDxfId="940"/>
    <tableColumn id="38" xr3:uid="{00000000-0010-0000-0800-000026000000}" name="Potenzial pos. MW Lastverzicht" dataDxfId="939"/>
    <tableColumn id="5" xr3:uid="{00000000-0010-0000-0800-000005000000}" name="Potenzial pos. max MW" dataDxfId="938"/>
    <tableColumn id="37" xr3:uid="{00000000-0010-0000-0800-000025000000}" name="ausgewiesenes Pot. pos. MW (falls abweichend)" dataDxfId="937"/>
    <tableColumn id="50" xr3:uid="{00000000-0010-0000-0800-000032000000}" name="Potenzial neg. min MW" dataDxfId="936"/>
    <tableColumn id="41" xr3:uid="{00000000-0010-0000-0800-000029000000}" name="Potenzial neg. MW Durchschnitt" dataDxfId="935"/>
    <tableColumn id="6" xr3:uid="{00000000-0010-0000-0800-000006000000}" name="Potenzial neg. max MW" dataDxfId="934"/>
    <tableColumn id="7" xr3:uid="{00000000-0010-0000-0800-000007000000}" name="Mindestleistung MW" dataDxfId="933"/>
    <tableColumn id="8" xr3:uid="{00000000-0010-0000-0800-000008000000}" name="Mindestauslastung" dataDxfId="932" dataCellStyle="Prozent"/>
    <tableColumn id="67" xr3:uid="{00000000-0010-0000-0800-000043000000}" name="flexibilisierbarer Anteil an Durchschnittslast" dataDxfId="931" dataCellStyle="Prozent"/>
    <tableColumn id="65" xr3:uid="{00000000-0010-0000-0800-000041000000}" name="Durchschnittsauslastung" dataDxfId="930" dataCellStyle="Prozent"/>
    <tableColumn id="44" xr3:uid="{00000000-0010-0000-0800-00002C000000}" name="Durchschnittliche Leistung MW" dataDxfId="929" dataCellStyle="Prozent"/>
    <tableColumn id="9" xr3:uid="{00000000-0010-0000-0800-000009000000}" name="Maximalleistung MW" dataDxfId="928"/>
    <tableColumn id="46" xr3:uid="{00000000-0010-0000-0800-00002E000000}" name="Maximalauslastung" dataDxfId="927" dataCellStyle="Prozent"/>
    <tableColumn id="10" xr3:uid="{00000000-0010-0000-0800-00000A000000}" name="installierte Leistung MW" dataDxfId="926"/>
    <tableColumn id="11" xr3:uid="{00000000-0010-0000-0800-00000B000000}" name="Aktivierungsdauer (h)" dataDxfId="925"/>
    <tableColumn id="61" xr3:uid="{00000000-0010-0000-0800-00003D000000}" name="Schaltdauer pos. min (h)" dataDxfId="924"/>
    <tableColumn id="60" xr3:uid="{00000000-0010-0000-0800-00003C000000}" name="Schaltdauer pos. max (h)" dataDxfId="923"/>
    <tableColumn id="12" xr3:uid="{00000000-0010-0000-0800-00000C000000}" name="Schaltdauer pos. (h)" dataDxfId="922"/>
    <tableColumn id="63" xr3:uid="{00000000-0010-0000-0800-00003F000000}" name="Schaltdauer neg min (h)" dataDxfId="921"/>
    <tableColumn id="62" xr3:uid="{00000000-0010-0000-0800-00003E000000}" name="Schaltdauer neg. max (h)" dataDxfId="920"/>
    <tableColumn id="51" xr3:uid="{00000000-0010-0000-0800-000033000000}" name="Schaltdauer neg. (h)" dataDxfId="919"/>
    <tableColumn id="42" xr3:uid="{00000000-0010-0000-0800-00002A000000}" name="Verschiebedauer min. (h)" dataDxfId="918"/>
    <tableColumn id="4" xr3:uid="{00000000-0010-0000-0800-000004000000}" name="Verschiebedauer max (h)" dataDxfId="917"/>
    <tableColumn id="13" xr3:uid="{00000000-0010-0000-0800-00000D000000}" name="Verschiebedauer (h)" dataDxfId="916"/>
    <tableColumn id="14" xr3:uid="{00000000-0010-0000-0800-00000E000000}" name="Regenerationsdauer (h)" dataDxfId="915"/>
    <tableColumn id="15" xr3:uid="{00000000-0010-0000-0800-00000F000000}" name="Zeitverfügbarkeit?" dataDxfId="914"/>
    <tableColumn id="16" xr3:uid="{00000000-0010-0000-0800-000010000000}" name="max. Abrufhäufigkeit pro Woche" dataDxfId="913"/>
    <tableColumn id="40" xr3:uid="{00000000-0010-0000-0800-000028000000}" name="max. Abrufhäufigkeit pro Jahr" dataDxfId="912"/>
    <tableColumn id="57" xr3:uid="{00000000-0010-0000-0800-000039000000}" name="min. Investitionsausgaben €_2018/kW" dataDxfId="911"/>
    <tableColumn id="56" xr3:uid="{00000000-0010-0000-0800-000038000000}" name="max. Investitionsausgaben €_2018/kW" dataDxfId="910"/>
    <tableColumn id="17" xr3:uid="{00000000-0010-0000-0800-000011000000}" name="Investitionsausgaben €_2018/kW" dataDxfId="909"/>
    <tableColumn id="59" xr3:uid="{00000000-0010-0000-0800-00003B000000}" name="var. Kosten min. €_2018/MWh" dataDxfId="908"/>
    <tableColumn id="58" xr3:uid="{00000000-0010-0000-0800-00003A000000}" name="var. Kosten max. €_2018/MWh" dataDxfId="907"/>
    <tableColumn id="18" xr3:uid="{00000000-0010-0000-0800-000012000000}" name="variable Kosten €_2018/MWh" dataDxfId="906"/>
    <tableColumn id="64" xr3:uid="{00000000-0010-0000-0800-000040000000}" name="fixe Kosten min. €_2018/kW*a" dataDxfId="905"/>
    <tableColumn id="19" xr3:uid="{00000000-0010-0000-0800-000013000000}" name="fixe Kosten €_2018/kW*a" dataDxfId="904"/>
    <tableColumn id="48" xr3:uid="{00000000-0010-0000-0800-000030000000}" name="Investitionsausgaben je Anschlusspunkt (€_2018)" dataDxfId="903"/>
    <tableColumn id="20" xr3:uid="{00000000-0010-0000-0800-000014000000}" name="Bemerkungen" dataDxfId="902"/>
    <tableColumn id="55" xr3:uid="{00000000-0010-0000-0800-000037000000}" name="Fundstelle Lastverschiebung" dataDxfId="901"/>
    <tableColumn id="54" xr3:uid="{00000000-0010-0000-0800-000036000000}" name="Fundstelle Lastverzicht" dataDxfId="900"/>
    <tableColumn id="21" xr3:uid="{00000000-0010-0000-0800-000015000000}" name="Fundstelle Potenzial pos." dataDxfId="899"/>
    <tableColumn id="22" xr3:uid="{00000000-0010-0000-0800-000016000000}" name="Fundstelle Potenzial neg." dataDxfId="898"/>
    <tableColumn id="23" xr3:uid="{00000000-0010-0000-0800-000017000000}" name="Fundstelle Mindestleistung" dataDxfId="897"/>
    <tableColumn id="43" xr3:uid="{00000000-0010-0000-0800-00002B000000}" name="Fundstelle flexibilisierbarer Anteil" dataDxfId="896"/>
    <tableColumn id="66" xr3:uid="{00000000-0010-0000-0800-000042000000}" name="Fundstelle Durchschnittsauslastung" dataDxfId="895"/>
    <tableColumn id="45" xr3:uid="{00000000-0010-0000-0800-00002D000000}" name="Fundstelle durchschnittliche Leistung" dataDxfId="894"/>
    <tableColumn id="24" xr3:uid="{00000000-0010-0000-0800-000018000000}" name="Fundstelle Maximalleistung" dataDxfId="893"/>
    <tableColumn id="25" xr3:uid="{00000000-0010-0000-0800-000019000000}" name="Fundstelle installierte Leistung" dataDxfId="892"/>
    <tableColumn id="39" xr3:uid="{00000000-0010-0000-0800-000027000000}" name="Fundstelle Aktivierungsdauer" dataDxfId="891"/>
    <tableColumn id="26" xr3:uid="{00000000-0010-0000-0800-00001A000000}" name="Fundstelle Schaltdauer" dataDxfId="890"/>
    <tableColumn id="27" xr3:uid="{00000000-0010-0000-0800-00001B000000}" name="Fundstelle Verschiebedauer" dataDxfId="889"/>
    <tableColumn id="28" xr3:uid="{00000000-0010-0000-0800-00001C000000}" name="Fundstelle Regenerationsdauer" dataDxfId="888"/>
    <tableColumn id="29" xr3:uid="{00000000-0010-0000-0800-00001D000000}" name="Fundstelle Zeitverfügbarkeit" dataDxfId="887"/>
    <tableColumn id="30" xr3:uid="{00000000-0010-0000-0800-00001E000000}" name="Fundstelle max. Abrufhäufigkeit" dataDxfId="886"/>
    <tableColumn id="31" xr3:uid="{00000000-0010-0000-0800-00001F000000}" name="Fundstelle Invest" dataDxfId="885"/>
    <tableColumn id="32" xr3:uid="{00000000-0010-0000-0800-000020000000}" name="Fundstelle var. Kosten" dataDxfId="884"/>
    <tableColumn id="33" xr3:uid="{00000000-0010-0000-0800-000021000000}" name="Fundstelle fixe Kosten" dataDxfId="883"/>
    <tableColumn id="49" xr3:uid="{00000000-0010-0000-0800-000031000000}" name="Fundstelle Investition je Anschlusspunkt" dataDxfId="882"/>
    <tableColumn id="34" xr3:uid="{00000000-0010-0000-0800-000022000000}" name="Fundstelle Bemerkungen" dataDxfId="881"/>
    <tableColumn id="35" xr3:uid="{00000000-0010-0000-0800-000023000000}" name="eigene Anmerkung" dataDxfId="880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BF9" totalsRowShown="0" headerRowDxfId="879" dataDxfId="878" tableBorderDxfId="877">
  <autoFilter ref="A1:BF9" xr:uid="{00000000-0009-0000-0100-000001000000}"/>
  <tableColumns count="58">
    <tableColumn id="1" xr3:uid="{00000000-0010-0000-0400-000001000000}" name="Prozess" dataDxfId="876"/>
    <tableColumn id="47" xr3:uid="{00000000-0010-0000-0400-00002F000000}" name="Sektorenzuordnung" dataDxfId="875"/>
    <tableColumn id="2" xr3:uid="{00000000-0010-0000-0400-000002000000}" name="Jahr" dataDxfId="874"/>
    <tableColumn id="52" xr3:uid="{00000000-0010-0000-0400-000034000000}" name="Lastverschiebung" dataDxfId="873"/>
    <tableColumn id="53" xr3:uid="{00000000-0010-0000-0400-000035000000}" name="Lastverzicht" dataDxfId="872"/>
    <tableColumn id="4" xr3:uid="{BB3E4F2A-1D63-40E4-B0CE-BA0238116541}" name="Lasterhöhung" dataDxfId="871"/>
    <tableColumn id="3" xr3:uid="{00000000-0010-0000-0400-000003000000}" name="Potenzial pos. min MW" dataDxfId="870"/>
    <tableColumn id="38" xr3:uid="{00000000-0010-0000-0400-000026000000}" name="Potenzial pos. MW Durchschnitt" dataDxfId="869"/>
    <tableColumn id="5" xr3:uid="{00000000-0010-0000-0400-000005000000}" name="Potenzial pos. max MW Lastverzicht" dataDxfId="868"/>
    <tableColumn id="37" xr3:uid="{00000000-0010-0000-0400-000025000000}" name="ausgewiesenes Pot. pos. MW (falls abweichend)" dataDxfId="867"/>
    <tableColumn id="50" xr3:uid="{00000000-0010-0000-0400-000032000000}" name="Potenzial neg. min MW" dataDxfId="866"/>
    <tableColumn id="41" xr3:uid="{00000000-0010-0000-0400-000029000000}" name="Potenzial neg. MW Durchschnitt" dataDxfId="865"/>
    <tableColumn id="6" xr3:uid="{00000000-0010-0000-0400-000006000000}" name="Potenzial neg. max MW" dataDxfId="864"/>
    <tableColumn id="7" xr3:uid="{00000000-0010-0000-0400-000007000000}" name="Mindestleistung MW" dataDxfId="863"/>
    <tableColumn id="8" xr3:uid="{00000000-0010-0000-0400-000008000000}" name="Mindestauslastung" dataDxfId="862" dataCellStyle="Prozent"/>
    <tableColumn id="36" xr3:uid="{00000000-0010-0000-0400-000024000000}" name="flexibilisierbarer Anteil" dataDxfId="861" dataCellStyle="Prozent"/>
    <tableColumn id="44" xr3:uid="{00000000-0010-0000-0400-00002C000000}" name="Durchschnittliche Leistung MW" dataDxfId="860" dataCellStyle="Prozent"/>
    <tableColumn id="9" xr3:uid="{00000000-0010-0000-0400-000009000000}" name="Maximalleistung MW" dataDxfId="859"/>
    <tableColumn id="46" xr3:uid="{00000000-0010-0000-0400-00002E000000}" name="Maximalauslastung" dataDxfId="858" dataCellStyle="Prozent"/>
    <tableColumn id="10" xr3:uid="{00000000-0010-0000-0400-00000A000000}" name="installierte Leistung MW" dataDxfId="857"/>
    <tableColumn id="11" xr3:uid="{00000000-0010-0000-0400-00000B000000}" name="Aktivierungsdauer (h)" dataDxfId="856"/>
    <tableColumn id="12" xr3:uid="{00000000-0010-0000-0400-00000C000000}" name="Schaltdauer pos. (h) Lastverzicht" dataDxfId="855"/>
    <tableColumn id="51" xr3:uid="{00000000-0010-0000-0400-000033000000}" name="Schaltdauer neg. (h)" dataDxfId="854"/>
    <tableColumn id="13" xr3:uid="{00000000-0010-0000-0400-00000D000000}" name="Verschiebedauer (h)" dataDxfId="853"/>
    <tableColumn id="14" xr3:uid="{00000000-0010-0000-0400-00000E000000}" name="Regenerationsdauer (h)" dataDxfId="852"/>
    <tableColumn id="15" xr3:uid="{00000000-0010-0000-0400-00000F000000}" name="Zeitverfügbarkeit?" dataDxfId="851"/>
    <tableColumn id="16" xr3:uid="{00000000-0010-0000-0400-000010000000}" name="max. Abrufhäufigkeit pro Woche" dataDxfId="850"/>
    <tableColumn id="40" xr3:uid="{00000000-0010-0000-0400-000028000000}" name="max. Abrufhäufigkeit pro Jahr" dataDxfId="849"/>
    <tableColumn id="57" xr3:uid="{00000000-0010-0000-0400-000039000000}" name="min. Investitionsausgaben €_2018/kW" dataDxfId="848"/>
    <tableColumn id="56" xr3:uid="{00000000-0010-0000-0400-000038000000}" name="max. Investitionsausgaben €_2018/kW" dataDxfId="847"/>
    <tableColumn id="17" xr3:uid="{00000000-0010-0000-0400-000011000000}" name="Investitionsausgaben €_2018/kW" dataDxfId="846"/>
    <tableColumn id="59" xr3:uid="{00000000-0010-0000-0400-00003B000000}" name="var. Kosten von €_2018/kW" dataDxfId="845"/>
    <tableColumn id="58" xr3:uid="{00000000-0010-0000-0400-00003A000000}" name="var. Kosten bis €_2018/kW" dataDxfId="844"/>
    <tableColumn id="18" xr3:uid="{00000000-0010-0000-0400-000012000000}" name="variable Kosten €_2018/kWh" dataDxfId="843"/>
    <tableColumn id="19" xr3:uid="{00000000-0010-0000-0400-000013000000}" name="fixe Kosten €_2018/kW*a" dataDxfId="842"/>
    <tableColumn id="48" xr3:uid="{00000000-0010-0000-0400-000030000000}" name="Investitionsausgaben je Anschlusspunkt (€_2018)" dataDxfId="841"/>
    <tableColumn id="20" xr3:uid="{00000000-0010-0000-0400-000014000000}" name="Bemerkungen" dataDxfId="840"/>
    <tableColumn id="55" xr3:uid="{00000000-0010-0000-0400-000037000000}" name="Fundstelle Lastverschiebung" dataDxfId="839"/>
    <tableColumn id="54" xr3:uid="{00000000-0010-0000-0400-000036000000}" name="Fundstelle Lastverzicht" dataDxfId="838"/>
    <tableColumn id="21" xr3:uid="{00000000-0010-0000-0400-000015000000}" name="Fundstelle Potenzial pos." dataDxfId="837"/>
    <tableColumn id="22" xr3:uid="{00000000-0010-0000-0400-000016000000}" name="Fundstelle Potenzial neg." dataDxfId="836"/>
    <tableColumn id="23" xr3:uid="{00000000-0010-0000-0400-000017000000}" name="Fundstelle Mindestleistung" dataDxfId="835"/>
    <tableColumn id="43" xr3:uid="{00000000-0010-0000-0400-00002B000000}" name="Fundstelle flexibilisierbarer Anteil" dataDxfId="834"/>
    <tableColumn id="45" xr3:uid="{00000000-0010-0000-0400-00002D000000}" name="Fundstelle durchschnittliche Leistung" dataDxfId="833"/>
    <tableColumn id="24" xr3:uid="{00000000-0010-0000-0400-000018000000}" name="Fundstelle Maximalleistung" dataDxfId="832"/>
    <tableColumn id="25" xr3:uid="{00000000-0010-0000-0400-000019000000}" name="Fundstelle installierte Leistung" dataDxfId="831"/>
    <tableColumn id="39" xr3:uid="{00000000-0010-0000-0400-000027000000}" name="Fundstelle Aktivierungsdauer" dataDxfId="830"/>
    <tableColumn id="26" xr3:uid="{00000000-0010-0000-0400-00001A000000}" name="Fundstelle Schaltdauer" dataDxfId="829"/>
    <tableColumn id="27" xr3:uid="{00000000-0010-0000-0400-00001B000000}" name="Fundstelle Verschiebedauer" dataDxfId="828"/>
    <tableColumn id="28" xr3:uid="{00000000-0010-0000-0400-00001C000000}" name="Fundstelle Regenerationsdauer" dataDxfId="827"/>
    <tableColumn id="29" xr3:uid="{00000000-0010-0000-0400-00001D000000}" name="Fundstelle Zeitverfügbarkeit" dataDxfId="826"/>
    <tableColumn id="30" xr3:uid="{00000000-0010-0000-0400-00001E000000}" name="Fundstelle max. Abrufhäufigkeit" dataDxfId="825"/>
    <tableColumn id="31" xr3:uid="{00000000-0010-0000-0400-00001F000000}" name="Fundstelle Invest" dataDxfId="824"/>
    <tableColumn id="32" xr3:uid="{00000000-0010-0000-0400-000020000000}" name="Fundstelle var. Kosten" dataDxfId="823"/>
    <tableColumn id="33" xr3:uid="{00000000-0010-0000-0400-000021000000}" name="Fundstelle fixe Kosten" dataDxfId="822"/>
    <tableColumn id="49" xr3:uid="{00000000-0010-0000-0400-000031000000}" name="Fundstelle Investition je Anschlusspunkt" dataDxfId="821"/>
    <tableColumn id="34" xr3:uid="{00000000-0010-0000-0400-000022000000}" name="Fundstelle Bemerkungen" dataDxfId="820"/>
    <tableColumn id="35" xr3:uid="{00000000-0010-0000-0400-000023000000}" name="eigene Anmerkung" dataDxfId="819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818">
  <autoFilter ref="A1:O77" xr:uid="{00000000-0009-0000-0100-000016000000}"/>
  <tableColumns count="15">
    <tableColumn id="1" xr3:uid="{00000000-0010-0000-0B00-000001000000}" name="Prozess" dataDxfId="817"/>
    <tableColumn id="13" xr3:uid="{00000000-0010-0000-0B00-00000D000000}" name="Sektorenzuordnung" dataDxfId="816"/>
    <tableColumn id="2" xr3:uid="{00000000-0010-0000-0B00-000002000000}" name="Jahr" dataDxfId="815"/>
    <tableColumn id="12" xr3:uid="{00000000-0010-0000-0B00-00000C000000}" name="StV (TWh)" dataDxfId="814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813"/>
    <tableColumn id="10" xr3:uid="{00000000-0010-0000-0B00-00000A000000}" name="Produktionskapazität Mt" dataDxfId="812"/>
    <tableColumn id="8" xr3:uid="{00000000-0010-0000-0B00-000008000000}" name="Änderung des spez. Verbrauchs (% p.a.)" dataDxfId="811"/>
    <tableColumn id="9" xr3:uid="{00000000-0010-0000-0B00-000009000000}" name="Änderung der Produktionskapazität (% p.a.)" dataDxfId="810"/>
    <tableColumn id="14" xr3:uid="{00000000-0010-0000-0B00-00000E000000}" name="Anteil am sektoralen Verbrauch (%)" dataDxfId="809"/>
    <tableColumn id="15" xr3:uid="{00000000-0010-0000-0B00-00000F000000}" name="Änderung gg. 2010"/>
    <tableColumn id="3" xr3:uid="{00000000-0010-0000-0B00-000003000000}" name="Stromverbrauch" dataDxfId="808"/>
    <tableColumn id="4" xr3:uid="{00000000-0010-0000-0B00-000004000000}" name="Vollbenutzungsstunden" dataDxfId="807"/>
    <tableColumn id="5" xr3:uid="{00000000-0010-0000-0B00-000005000000}" name="Mindestleistung" dataDxfId="806"/>
    <tableColumn id="6" xr3:uid="{00000000-0010-0000-0B00-000006000000}" name="flexible Leistung" dataDxfId="805"/>
    <tableColumn id="7" xr3:uid="{00000000-0010-0000-0B00-000007000000}" name="Quelle" dataDxfId="804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803" dataDxfId="802">
  <autoFilter ref="A1:M41" xr:uid="{00000000-0009-0000-0100-000021000000}"/>
  <tableColumns count="13">
    <tableColumn id="1" xr3:uid="{00000000-0010-0000-0C00-000001000000}" name="Prozess" dataDxfId="801"/>
    <tableColumn id="13" xr3:uid="{00000000-0010-0000-0C00-00000D000000}" name="Sektorenzuordnung" dataDxfId="800"/>
    <tableColumn id="2" xr3:uid="{00000000-0010-0000-0C00-000002000000}" name="Jahr" dataDxfId="799"/>
    <tableColumn id="8" xr3:uid="{00000000-0010-0000-0C00-000008000000}" name="Anzahl Haushalte (Mio.)" dataDxfId="798"/>
    <tableColumn id="3" xr3:uid="{00000000-0010-0000-0C00-000003000000}" name="Stromverbrauch gesamt (TWh)" dataDxfId="797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96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95"/>
    <tableColumn id="9" xr3:uid="{00000000-0010-0000-0C00-000009000000}" name="Ausstattungsraten" dataDxfId="794"/>
    <tableColumn id="10" xr3:uid="{00000000-0010-0000-0C00-00000A000000}" name="Stromverbrauch je Einheit (kWh)" dataDxfId="793"/>
    <tableColumn id="11" xr3:uid="{00000000-0010-0000-0C00-00000B000000}" name="Leistung je Einheit (kW)" dataDxfId="792"/>
    <tableColumn id="5" xr3:uid="{00000000-0010-0000-0C00-000005000000}" name="flex. Leistung pos." dataDxfId="791"/>
    <tableColumn id="6" xr3:uid="{00000000-0010-0000-0C00-000006000000}" name="flex. Leistung neg." dataDxfId="790"/>
    <tableColumn id="7" xr3:uid="{00000000-0010-0000-0C00-000007000000}" name="Quelle" dataDxfId="789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CO13" totalsRowShown="0" headerRowDxfId="788" dataDxfId="787" tableBorderDxfId="786">
  <autoFilter ref="A1:CO13" xr:uid="{EF824A0A-FCB1-4B4D-8B84-B5CBCDF90F5A}"/>
  <tableColumns count="93">
    <tableColumn id="1" xr3:uid="{73E4E8A4-9121-40AA-9D70-E52CBAD233D3}" name="Prozess" dataDxfId="785"/>
    <tableColumn id="47" xr3:uid="{046FAEBD-C643-4F10-8C72-95335CF764E9}" name="Sektorenzuordnung" dataDxfId="784"/>
    <tableColumn id="73" xr3:uid="{31BE2D6D-EFE0-495C-8E24-69EB45CEBEE2}" name="Verfahren" dataDxfId="783"/>
    <tableColumn id="2" xr3:uid="{E0A212EF-0C37-46A8-AB11-8C68B0C32EEF}" name="Jahr" dataDxfId="782"/>
    <tableColumn id="52" xr3:uid="{4EE926E1-48CF-4635-BF6B-D56704BD661E}" name="Lastverschiebung" dataDxfId="781"/>
    <tableColumn id="53" xr3:uid="{E4F6AA95-A268-4BA7-8169-6C116C77E471}" name="Lastverzicht" dataDxfId="780"/>
    <tableColumn id="71" xr3:uid="{AE9C0C6E-CA88-4509-8527-5DF3FC5666D7}" name="Lasterhöhung" dataDxfId="779"/>
    <tableColumn id="75" xr3:uid="{0A04C5E8-05C6-4AA1-B496-4467FABE3EA5}" name="jährliche Produktion kt" dataDxfId="778"/>
    <tableColumn id="74" xr3:uid="{46E23D32-CF99-4A6E-BB3E-2CF8369C822D}" name="spez. StV kWh/t" dataDxfId="777"/>
    <tableColumn id="98" xr3:uid="{A4CAE3E6-EB19-4955-B807-0E74BD7C6EB1}" name="spez. StV min in kWh/m^2 * a" dataDxfId="776"/>
    <tableColumn id="97" xr3:uid="{DBACE8B5-5910-4204-9E6C-105BB12E5FBA}" name="spez. StV max in kWh/m^2 * a" dataDxfId="775"/>
    <tableColumn id="86" xr3:uid="{86F5C658-1B1D-44EE-95DC-A77C8F7F03EF}" name="Anzahl Anlangen (Tsd.)" dataDxfId="774"/>
    <tableColumn id="90" xr3:uid="{B1EE29E7-8D1B-402A-812A-0E47643F61A2}" name="Entwicklungsfaktor MIN (1)" dataDxfId="773"/>
    <tableColumn id="89" xr3:uid="{6113F2E5-37AF-4FF2-8014-2F115AB79D13}" name="Entwicklungsfaktor REF (1)" dataDxfId="772"/>
    <tableColumn id="88" xr3:uid="{7DE46AB3-717D-4D8B-8A2F-5E0F36D9199D}" name="Entwicklungsfaktor MAX (1)" dataDxfId="771"/>
    <tableColumn id="77" xr3:uid="{9000E535-F153-4E71-91E2-748ABCC0DADC}" name="Stromverbrauch in TWh" dataDxfId="770"/>
    <tableColumn id="99" xr3:uid="{6A6FF0E3-B6FA-4272-944D-0005D2D35524}" name="Verschiebepotenzial in TWh"/>
    <tableColumn id="3" xr3:uid="{8B0BA8BB-C5B6-4800-A4F3-560AC5BE98A4}" name="Potenzial pos. min MW" dataDxfId="769"/>
    <tableColumn id="38" xr3:uid="{9499159D-69F8-4C00-A67E-28149A7FBE65}" name="Potenzial pos. MW Durchschnitt" dataDxfId="768"/>
    <tableColumn id="5" xr3:uid="{9C9A3F3D-81E4-43F2-98D6-94E012155B13}" name="Potenzial pos. max MW" dataDxfId="767"/>
    <tableColumn id="68" xr3:uid="{8804613F-D701-4898-9EA6-24CF815394F7}" name="Potenzial pos. Winter MW" dataDxfId="766"/>
    <tableColumn id="70" xr3:uid="{D6140FD5-70A8-4C4F-A11A-77E521482F6A}" name="Potenzial neg. Sommer MW" dataDxfId="765"/>
    <tableColumn id="69" xr3:uid="{13194163-E1D6-4FC6-9D11-6E8882ED26F9}" name="Potenzial neg. Winter MW" dataDxfId="764"/>
    <tableColumn id="37" xr3:uid="{386A6075-785E-4161-82BF-D1D06717CE80}" name="Pot. pos. MW errechnet" dataDxfId="763"/>
    <tableColumn id="50" xr3:uid="{53C6093F-86CA-4202-A30A-CEC89A3AD87F}" name="Potenzial neg. min MW" dataDxfId="762"/>
    <tableColumn id="41" xr3:uid="{053DFA16-260D-4D99-8E85-13BE438E1C39}" name="Potenzial neg. MW Durchschnitt" dataDxfId="761"/>
    <tableColumn id="6" xr3:uid="{F0FFDA6F-DBCA-494A-A728-CCAC809DD5C2}" name="Potenzial neg. max MW" dataDxfId="760">
      <calculatedColumnFormula>10000+16000</calculatedColumnFormula>
    </tableColumn>
    <tableColumn id="7" xr3:uid="{6395B164-E40C-4C68-8653-9487FFC1F980}" name="Mindestleistung MW" dataDxfId="759"/>
    <tableColumn id="8" xr3:uid="{9078E552-09C2-4242-A8A4-EF5D7FF1AB1B}" name="Mindestauslastung" dataDxfId="758" dataCellStyle="Prozent"/>
    <tableColumn id="36" xr3:uid="{6F1B9306-A397-443B-A203-53D2EA828C16}" name="flexibilisierbarer Anteil" dataDxfId="757" dataCellStyle="Prozent"/>
    <tableColumn id="67" xr3:uid="{74C5A5EC-7BCE-4F2B-9001-013B4EA887EC}" name="flexibilisierbarer Anteil an Durchschnittslast" dataDxfId="756" dataCellStyle="Prozent"/>
    <tableColumn id="76" xr3:uid="{46F48F9F-5EBA-4EE0-858E-353AF6801D91}" name="Vollbenutzungsstunden h/a" dataDxfId="755" dataCellStyle="Prozent"/>
    <tableColumn id="65" xr3:uid="{33BF2B8A-E034-457E-BFF3-8E350E404955}" name="Durchschnittsauslastung" dataDxfId="754" dataCellStyle="Prozent"/>
    <tableColumn id="44" xr3:uid="{2B8F214A-E0A7-498A-ADCB-F780E1A14AC8}" name="Durchschnittliche Leistung MW" dataDxfId="753" dataCellStyle="Prozent"/>
    <tableColumn id="9" xr3:uid="{C530A2E5-D828-48A0-A36E-B5526930CA7D}" name="Maximalleistung MW" dataDxfId="752"/>
    <tableColumn id="46" xr3:uid="{6475F5AA-A1ED-4F8C-8AE0-74233A809183}" name="Maximalauslastung" dataDxfId="751" dataCellStyle="Prozent"/>
    <tableColumn id="10" xr3:uid="{FB2BC636-E13C-4BC7-86BF-AF59CD7F24BB}" name="installierte Leistung MW" dataDxfId="750"/>
    <tableColumn id="11" xr3:uid="{13D11728-C72B-42A5-8AF7-0D695F138F0E}" name="Aktivierungsdauer (h)" dataDxfId="749"/>
    <tableColumn id="61" xr3:uid="{4C143164-C629-44E7-AD04-C31AB1771E11}" name="Schaltdauer pos. min (h)" dataDxfId="748"/>
    <tableColumn id="60" xr3:uid="{44ABF66B-143A-4729-ADBC-56E79660204E}" name="Schaltdauer pos. max (h)" dataDxfId="747"/>
    <tableColumn id="12" xr3:uid="{678271B2-1318-4AA5-AC81-3E4379BB2DA6}" name="Schaltdauer pos. (h)" dataDxfId="746"/>
    <tableColumn id="63" xr3:uid="{AA6D0971-593D-44AE-92B7-834C873D3165}" name="Schaltdauer neg min (h)" dataDxfId="745">
      <calculatedColumnFormula>10/60</calculatedColumnFormula>
    </tableColumn>
    <tableColumn id="62" xr3:uid="{5B6B0358-706E-43F3-8BAA-828D5DE21578}" name="Schaltdauer neg. max (h)" dataDxfId="744"/>
    <tableColumn id="51" xr3:uid="{C3079BE9-0695-4361-92AA-52DC4DC2FD8D}" name="Schaltdauer neg. (h)" dataDxfId="743"/>
    <tableColumn id="42" xr3:uid="{492CA3BF-F47C-4C83-AD50-8E36348BA327}" name="Verschiebedauer min. (h)" dataDxfId="742"/>
    <tableColumn id="4" xr3:uid="{5E156E8D-568C-495D-B9C6-F8940C728F2D}" name="Verschiebedauer max (h)" dataDxfId="741"/>
    <tableColumn id="13" xr3:uid="{61B3BCF7-A8EF-4AD2-B9F1-8218C9915727}" name="Verschiebedauer (h)" dataDxfId="740"/>
    <tableColumn id="14" xr3:uid="{465A44AE-5A0C-4B3E-AE5E-A0E51818A051}" name="Regenerationsdauer (h)" dataDxfId="739"/>
    <tableColumn id="15" xr3:uid="{DAF0FEEC-CB83-4A55-A659-DB9939896F80}" name="Zeitverfügbarkeit?" dataDxfId="738"/>
    <tableColumn id="16" xr3:uid="{FF2581F5-504C-4D75-A7BA-6985C3EABDDE}" name="max. Abrufhäufigkeit pro Woche" dataDxfId="737"/>
    <tableColumn id="40" xr3:uid="{327877B3-BBE2-48A7-801C-729BBC22177A}" name="max. Abrufhäufigkeit pro Jahr" dataDxfId="736"/>
    <tableColumn id="57" xr3:uid="{1F53B453-2CCA-4BC4-98D6-5FA2F9839F21}" name="min. Investitionsausgaben €_2018/kW" dataDxfId="735"/>
    <tableColumn id="56" xr3:uid="{EFCEF317-D1A6-4EC1-9355-C4CA70FAF78B}" name="max. Investitionsausgaben €_2018/kW" dataDxfId="734"/>
    <tableColumn id="17" xr3:uid="{51EB9AAD-1B7A-4D52-8A8C-BB5930F50A58}" name="Investitionsausgaben €_2018/kW" dataDxfId="733"/>
    <tableColumn id="59" xr3:uid="{D31A493B-3870-4DE8-BF93-6994C1E39900}" name="var. Kosten min. €_2018/MWh" dataDxfId="732"/>
    <tableColumn id="58" xr3:uid="{09DFF04C-D7B9-4719-9426-C15F80549F5C}" name="var. Kosten max. €_2018/MWh" dataDxfId="731"/>
    <tableColumn id="18" xr3:uid="{C2EEE1EE-D7CD-4927-81EB-8709D7832B83}" name="variable Kosten €_2018/MWh" dataDxfId="730"/>
    <tableColumn id="64" xr3:uid="{494DE207-2A7E-43AF-AC51-DE60CFAFB1F6}" name="fixe Kosten min. €_2018/kW*a" dataDxfId="729"/>
    <tableColumn id="72" xr3:uid="{C7D485C9-448B-49C2-858A-ED116B8F6799}" name="fixe Kosten max. €_2018/kW*a" dataDxfId="728"/>
    <tableColumn id="19" xr3:uid="{BFCF208A-21F2-4919-967F-7BAB5B964018}" name="fixe Kosten €_2018/kW*a" dataDxfId="727"/>
    <tableColumn id="48" xr3:uid="{96F81CB8-22C5-468C-980E-73B475F8C89A}" name="Investitionsausgaben je Anschlusspunkt (€_2018)" dataDxfId="726"/>
    <tableColumn id="93" xr3:uid="{30D1B12D-638E-4327-AF3D-4F6CBA07C07E}" name="Aktivierungskosten [€_2018/kW]" dataDxfId="725"/>
    <tableColumn id="20" xr3:uid="{BA0414D6-F07F-4101-938B-D3B1FFCC91C1}" name="Bemerkungen" dataDxfId="724"/>
    <tableColumn id="95" xr3:uid="{28A016E9-C159-4D4C-B3B1-9C794E5755E1}" name="Bemerkungen 2" dataDxfId="723"/>
    <tableColumn id="55" xr3:uid="{39B64A14-617A-4ACA-8D0B-C06B1CB6EA64}" name="Fundstelle Lastverschiebung" dataDxfId="722"/>
    <tableColumn id="54" xr3:uid="{EA328A29-EDC1-41A0-B9DD-226FD2D8E7C6}" name="Fundstelle Lastverzicht" dataDxfId="721"/>
    <tableColumn id="80" xr3:uid="{10EC7E5E-CCAA-49BF-8506-4D4C9DF79349}" name="Fundstelle Produktion" dataDxfId="720"/>
    <tableColumn id="91" xr3:uid="{D835AF24-EE46-451F-A286-D5456F048C57}" name="Fundstelle Anzahl Anlagen" dataDxfId="719"/>
    <tableColumn id="92" xr3:uid="{F13E7EF2-F92D-4393-B92D-33637D1AE362}" name="Fundstelle Entwicklungsfaktor" dataDxfId="718"/>
    <tableColumn id="79" xr3:uid="{AF42CC6F-AB9E-4AD0-BFFD-AF0F2E006091}" name="Fundstelle Stromverbrauch" dataDxfId="717"/>
    <tableColumn id="100" xr3:uid="{6372E1FF-B4C5-4F5D-82E8-787EAC91DE30}" name="Fundstelle verschiebbare Energiemenge" dataDxfId="716"/>
    <tableColumn id="78" xr3:uid="{1DA0B518-D5DA-4150-9727-2CB48FC1FFBA}" name="Fundstelle Vollbenutzungsstunden" dataDxfId="715"/>
    <tableColumn id="21" xr3:uid="{A710D17C-8707-42E0-9EA3-E3CA964C4A0F}" name="Fundstelle Potenzial pos." dataDxfId="714"/>
    <tableColumn id="22" xr3:uid="{9149776E-A7ED-448F-9784-98CB61735F29}" name="Fundstelle Potenzial neg." dataDxfId="713"/>
    <tableColumn id="23" xr3:uid="{C9595D99-A182-450A-B7A3-A50849D7664E}" name="Fundstelle Mindestleistung" dataDxfId="712"/>
    <tableColumn id="43" xr3:uid="{43679883-C5B8-4C72-9B11-53E80F58DFFC}" name="Fundstelle flexibilisierbarer Anteil" dataDxfId="711"/>
    <tableColumn id="66" xr3:uid="{1C56C5E4-E5BC-4444-B9D3-86B9B10AE308}" name="Fundstelle Durchschnittsauslastung" dataDxfId="710"/>
    <tableColumn id="45" xr3:uid="{13434B29-A2E6-402C-9B63-5D6AB8229F3D}" name="Fundstelle durchschnittliche Leistung" dataDxfId="709"/>
    <tableColumn id="24" xr3:uid="{B5B68248-AD63-486F-981F-BA2B196C083A}" name="Fundstelle Maximalleistung" dataDxfId="708"/>
    <tableColumn id="25" xr3:uid="{E55243C9-23D1-4019-AA9D-25E209456733}" name="Fundstelle installierte Leistung" dataDxfId="707"/>
    <tableColumn id="39" xr3:uid="{878ABA1E-A648-4765-8095-7034AAF6148A}" name="Fundstelle Aktivierungsdauer" dataDxfId="706"/>
    <tableColumn id="26" xr3:uid="{7060A2C8-5AAC-4487-BBDF-8C17ED1D6C98}" name="Fundstelle Schaltdauer" dataDxfId="705"/>
    <tableColumn id="27" xr3:uid="{9A85745D-74A9-4660-8107-7DF737888C6B}" name="Fundstelle Verschiebedauer" dataDxfId="704"/>
    <tableColumn id="28" xr3:uid="{98FD5DC4-E8BA-4C04-8F8E-4E872254BC8E}" name="Fundstelle Regenerationsdauer" dataDxfId="703"/>
    <tableColumn id="29" xr3:uid="{23878830-EA62-4E35-A461-626108901DD1}" name="Fundstelle Zeitverfügbarkeit" dataDxfId="702"/>
    <tableColumn id="30" xr3:uid="{1F974156-8560-4E72-A78B-B73B675ACBB0}" name="Fundstelle max. Abrufhäufigkeit" dataDxfId="701"/>
    <tableColumn id="31" xr3:uid="{ACC936B0-837E-4EDB-BD6E-0D7937ECD57D}" name="Fundstelle Invest" dataDxfId="700"/>
    <tableColumn id="32" xr3:uid="{F4A9303D-4623-49DC-A4C8-0F7A88B1AE60}" name="Fundstelle var. Kosten" dataDxfId="699"/>
    <tableColumn id="33" xr3:uid="{C9352195-F628-4A64-A00E-05502129B239}" name="Fundstelle fixe Kosten" dataDxfId="698"/>
    <tableColumn id="49" xr3:uid="{281F8A8F-19E0-4084-9F0B-50481225B44F}" name="Fundstelle Investition je Anschlusspunkt" dataDxfId="697"/>
    <tableColumn id="94" xr3:uid="{8F96A623-A012-434C-BF46-D41DB085E000}" name="Fundstelle Aktivierungskosten" dataDxfId="696"/>
    <tableColumn id="34" xr3:uid="{38EAA01B-129F-4D71-9334-CEC2D63DD7DC}" name="Fundstelle Bemerkungen" dataDxfId="695"/>
    <tableColumn id="35" xr3:uid="{6041D9F0-6AF5-4DFD-AA83-8B6262007BE9}" name="eigene Anmerkung" dataDxfId="694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93" dataDxfId="692" tableBorderDxfId="691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90"/>
    <tableColumn id="139" xr3:uid="{00000000-0010-0000-1200-00008B000000}" name="Ursprüngliche Prozessbezeichnung" dataDxfId="689"/>
    <tableColumn id="12" xr3:uid="{00000000-0010-0000-1200-00000C000000}" name="Branche" dataDxfId="688"/>
    <tableColumn id="67" xr3:uid="{00000000-0010-0000-1200-000043000000}" name="Kürzel" dataDxfId="687"/>
    <tableColumn id="47" xr3:uid="{00000000-0010-0000-1200-00002F000000}" name="Sektorenzuordnung" dataDxfId="686"/>
    <tableColumn id="10" xr3:uid="{00000000-0010-0000-1200-00000A000000}" name="temporäre Sortierung" dataDxfId="685"/>
    <tableColumn id="2" xr3:uid="{00000000-0010-0000-1200-000002000000}" name="Jahr" dataDxfId="684"/>
    <tableColumn id="52" xr3:uid="{00000000-0010-0000-1200-000034000000}" name="Lastverschiebung" dataDxfId="683"/>
    <tableColumn id="53" xr3:uid="{00000000-0010-0000-1200-000035000000}" name="Lastverzicht" dataDxfId="682"/>
    <tableColumn id="137" xr3:uid="{00000000-0010-0000-1200-000089000000}" name="Lasterhöhung" dataDxfId="681"/>
    <tableColumn id="3" xr3:uid="{00000000-0010-0000-1200-000003000000}" name="Potenzial pos. MW Durchschnitt min" dataDxfId="680"/>
    <tableColumn id="38" xr3:uid="{00000000-0010-0000-1200-000026000000}" name="Potenzial pos. MW Durchschnitt" dataDxfId="679"/>
    <tableColumn id="5" xr3:uid="{00000000-0010-0000-1200-000005000000}" name="Potenzial pos. MW Durchschnitt max" dataDxfId="678"/>
    <tableColumn id="79" xr3:uid="{96ACD8D3-C56E-4BE0-A899-B547FDFD0BD2}" name="Potenzial pos. MW Durchschnitt min Lastverzicht" dataDxfId="27"/>
    <tableColumn id="76" xr3:uid="{F9A08C69-7BFD-4192-AEEE-6746DB526D95}" name="Potenzial pos. MW Durchschnitt Lastverzicht" dataDxfId="28"/>
    <tableColumn id="69" xr3:uid="{8BE92F16-0A38-4386-9871-0F6106C3CEF9}" name="Potenzial pos. MW Durchschnitt max Lastverzicht" dataDxfId="29"/>
    <tableColumn id="193" xr3:uid="{00000000-0010-0000-1200-0000C1000000}" name="Potenzial pos. MW Sommer WTT" dataDxfId="677"/>
    <tableColumn id="192" xr3:uid="{00000000-0010-0000-1200-0000C0000000}" name="Potenzial pos. MW min Sommer WTT" dataDxfId="676"/>
    <tableColumn id="191" xr3:uid="{00000000-0010-0000-1200-0000BF000000}" name="Potenzial pos. MW max Sommer WTT" dataDxfId="675"/>
    <tableColumn id="220" xr3:uid="{6E159611-20E1-499C-9AA8-00079C5F15C3}" name="Potenzial pos. MW Sommer WTT Lastverzicht" dataDxfId="3"/>
    <tableColumn id="219" xr3:uid="{EA90C893-FFD4-4ADC-BDD3-A2A6A983824D}" name="Potenzial pos. MW min Sommer WTT Lastverzicht" dataDxfId="4"/>
    <tableColumn id="218" xr3:uid="{380ADB4E-7E5D-44E0-A90E-6F37B97C3501}" name="Potenzial pos. MW max Sommer WTT Lastverzicht" dataDxfId="5"/>
    <tableColumn id="190" xr3:uid="{00000000-0010-0000-1200-0000BE000000}" name="Potenzial neg. MW Sommer WTT" dataDxfId="674"/>
    <tableColumn id="189" xr3:uid="{00000000-0010-0000-1200-0000BD000000}" name="Potenzial neg. MW min Sommer WTT" dataDxfId="673"/>
    <tableColumn id="188" xr3:uid="{00000000-0010-0000-1200-0000BC000000}" name="Potenzial neg. MW max Sommer WTT" dataDxfId="672"/>
    <tableColumn id="187" xr3:uid="{00000000-0010-0000-1200-0000BB000000}" name="Potenzial pos. MW Sommer SaT" dataDxfId="671"/>
    <tableColumn id="186" xr3:uid="{00000000-0010-0000-1200-0000BA000000}" name="Potenzial pos. MW min Sommer SaT" dataDxfId="670"/>
    <tableColumn id="185" xr3:uid="{00000000-0010-0000-1200-0000B9000000}" name="Potenzial pos. MW max Sommer SaT" dataDxfId="669"/>
    <tableColumn id="217" xr3:uid="{DC97E75F-B044-418A-B465-26F105BC9836}" name="Potenzial pos. MW Sommer SaT Lastverzicht" dataDxfId="6"/>
    <tableColumn id="216" xr3:uid="{4C36BD90-57EB-479E-AE87-7A857D88A3BF}" name="Potenzial pos. MW min Sommer SaT Lastverzicht" dataDxfId="7"/>
    <tableColumn id="215" xr3:uid="{AAA0D9DF-74A6-48DA-800A-D12274024200}" name="Potenzial pos. MW max Sommer SaT Lastverzicht" dataDxfId="8"/>
    <tableColumn id="184" xr3:uid="{00000000-0010-0000-1200-0000B8000000}" name="Potenzial neg. MW Sommer SaT" dataDxfId="668"/>
    <tableColumn id="183" xr3:uid="{00000000-0010-0000-1200-0000B7000000}" name="Potenzial neg. MW min Sommer SaT" dataDxfId="667"/>
    <tableColumn id="182" xr3:uid="{00000000-0010-0000-1200-0000B6000000}" name="Potenzial neg. MW max Sommer SaT" dataDxfId="666"/>
    <tableColumn id="181" xr3:uid="{00000000-0010-0000-1200-0000B5000000}" name="Potenzial pos. MW Sommer SFN" dataDxfId="665"/>
    <tableColumn id="180" xr3:uid="{00000000-0010-0000-1200-0000B4000000}" name="Potenzial pos. MW min Sommer SFN" dataDxfId="664"/>
    <tableColumn id="179" xr3:uid="{00000000-0010-0000-1200-0000B3000000}" name="Potenzial pos. MW max Sommer SFN" dataDxfId="663"/>
    <tableColumn id="178" xr3:uid="{00000000-0010-0000-1200-0000B2000000}" name="Potenzial neg. MW Sommer SFN" dataDxfId="662"/>
    <tableColumn id="177" xr3:uid="{00000000-0010-0000-1200-0000B1000000}" name="Potenzial neg. MW min Sommer SFN" dataDxfId="661"/>
    <tableColumn id="176" xr3:uid="{00000000-0010-0000-1200-0000B0000000}" name="Potenzial neg. MW max Sommer SFN" dataDxfId="660"/>
    <tableColumn id="175" xr3:uid="{00000000-0010-0000-1200-0000AF000000}" name="Potenzial pos. MW Übergangszeit WTT" dataDxfId="659"/>
    <tableColumn id="174" xr3:uid="{00000000-0010-0000-1200-0000AE000000}" name="Potenzial pos. MW min Übergangszeit WTT" dataDxfId="658"/>
    <tableColumn id="173" xr3:uid="{00000000-0010-0000-1200-0000AD000000}" name="Potenzial pos. MW max Übergangszeit WTT" dataDxfId="657"/>
    <tableColumn id="214" xr3:uid="{EE82445C-DD13-466A-B0FE-C133B47AF9D1}" name="Potenzial pos. MW Übergangszeit WTT Lastverzicht" dataDxfId="9"/>
    <tableColumn id="213" xr3:uid="{160085CA-F6DC-4092-B474-FFBBB87975AB}" name="Potenzial pos. MW min Übergangszeit WTT Lastverzicht" dataDxfId="10"/>
    <tableColumn id="212" xr3:uid="{71CF3E03-EFE3-488F-BBBF-0647076C0F98}" name="Potenzial pos. MW max Übergangszeit WTT Lastverzicht" dataDxfId="11"/>
    <tableColumn id="172" xr3:uid="{00000000-0010-0000-1200-0000AC000000}" name="Potenzial neg. MW Übergangszeit WTT" dataDxfId="656"/>
    <tableColumn id="171" xr3:uid="{00000000-0010-0000-1200-0000AB000000}" name="Potenzial neg. MW min Übergangszeit WTT" dataDxfId="655"/>
    <tableColumn id="170" xr3:uid="{00000000-0010-0000-1200-0000AA000000}" name="Potenzial neg. MW max Übergangszeit WTT" dataDxfId="654"/>
    <tableColumn id="169" xr3:uid="{00000000-0010-0000-1200-0000A9000000}" name="Potenzial pos. MW Übergangszeit SaT" dataDxfId="653"/>
    <tableColumn id="168" xr3:uid="{00000000-0010-0000-1200-0000A8000000}" name="Potenzial pos. MW min Übergangszeit SaT" dataDxfId="652"/>
    <tableColumn id="167" xr3:uid="{00000000-0010-0000-1200-0000A7000000}" name="Potenzial pos. MW max Übergangszeit SaT" dataDxfId="651"/>
    <tableColumn id="211" xr3:uid="{19955774-DB26-4217-81AF-7B47BB2B0D9D}" name="Potenzial pos. MW Übergangszeit SaT Lastverzicht" dataDxfId="12"/>
    <tableColumn id="210" xr3:uid="{AC831447-9F62-4797-B27A-8509261CB625}" name="Potenzial pos. MW min Übergangszeit SaT Lastverzicht" dataDxfId="13"/>
    <tableColumn id="209" xr3:uid="{39F674E7-5D2C-4B29-8233-41C90C9E87C9}" name="Potenzial pos. MW max Übergangszeit SaT Lastverzicht" dataDxfId="14"/>
    <tableColumn id="166" xr3:uid="{00000000-0010-0000-1200-0000A6000000}" name="Potenzial neg. MW Übergangszeit SaT" dataDxfId="650"/>
    <tableColumn id="165" xr3:uid="{00000000-0010-0000-1200-0000A5000000}" name="Potenzial neg. MW min Übergangszeit SaT" dataDxfId="649"/>
    <tableColumn id="164" xr3:uid="{00000000-0010-0000-1200-0000A4000000}" name="Potenzial neg. MW max Übergangszeit SaT" dataDxfId="648"/>
    <tableColumn id="163" xr3:uid="{00000000-0010-0000-1200-0000A3000000}" name="Potenzial pos. MW Übergangszeit SFN" dataDxfId="647"/>
    <tableColumn id="162" xr3:uid="{00000000-0010-0000-1200-0000A2000000}" name="Potenzial pos. MW min Übergangszeit SFN" dataDxfId="646"/>
    <tableColumn id="161" xr3:uid="{00000000-0010-0000-1200-0000A1000000}" name="Potenzial pos. MW max Übergangszeit SFN" dataDxfId="645"/>
    <tableColumn id="208" xr3:uid="{FE8DCBEE-C5C1-4508-8CE0-80B99D73046D}" name="Potenzial pos. MW Übergangszeit SFN Lastverzicht" dataDxfId="15"/>
    <tableColumn id="207" xr3:uid="{77D577D3-8EC9-4141-B65E-5A36FDA79998}" name="Potenzial pos. MW min Übergangszeit SFN Lastverzicht" dataDxfId="16"/>
    <tableColumn id="206" xr3:uid="{DD41F955-B4B6-404A-9A50-28B98C1B35ED}" name="Potenzial pos. MW max Übergangszeit SFN Lastverzicht" dataDxfId="17"/>
    <tableColumn id="160" xr3:uid="{00000000-0010-0000-1200-0000A0000000}" name="Potenzial neg. MW Übergangszeit SFN" dataDxfId="644"/>
    <tableColumn id="159" xr3:uid="{00000000-0010-0000-1200-00009F000000}" name="Potenzial neg. MW min Übergangszeit SFN" dataDxfId="643"/>
    <tableColumn id="158" xr3:uid="{00000000-0010-0000-1200-00009E000000}" name="Potenzial neg. MW max Übergangszeit SFN" dataDxfId="642"/>
    <tableColumn id="157" xr3:uid="{00000000-0010-0000-1200-00009D000000}" name="Potenzial pos. MW Winter WTT" dataDxfId="641"/>
    <tableColumn id="156" xr3:uid="{00000000-0010-0000-1200-00009C000000}" name="Potenzial pos. MW min Winter WTT" dataDxfId="640"/>
    <tableColumn id="155" xr3:uid="{00000000-0010-0000-1200-00009B000000}" name="Potenzial pos. MW max Winter WTT" dataDxfId="639"/>
    <tableColumn id="205" xr3:uid="{7E76ABC4-3904-4D4A-AE96-9A6546D7CA14}" name="Potenzial pos. MW Winter WTT Lastverzicht" dataDxfId="18"/>
    <tableColumn id="204" xr3:uid="{D1907E86-3B52-444C-A383-DB60E4B83299}" name="Potenzial pos. MW min Winter WTT Lastverzicht" dataDxfId="19"/>
    <tableColumn id="203" xr3:uid="{BEAC8CD6-B033-4683-9B03-81F61344BE49}" name="Potenzial pos. MW max Winter WTT Lastverzicht" dataDxfId="20"/>
    <tableColumn id="154" xr3:uid="{00000000-0010-0000-1200-00009A000000}" name="Potenzial neg. MW Winter WTT" dataDxfId="638"/>
    <tableColumn id="153" xr3:uid="{00000000-0010-0000-1200-000099000000}" name="Potenzial neg. MW min Winter WTT" dataDxfId="637"/>
    <tableColumn id="152" xr3:uid="{00000000-0010-0000-1200-000098000000}" name="Potenzial neg. MW max Winter WTT" dataDxfId="636"/>
    <tableColumn id="151" xr3:uid="{00000000-0010-0000-1200-000097000000}" name="Potenzial pos. MW Winter SaT" dataDxfId="635"/>
    <tableColumn id="150" xr3:uid="{00000000-0010-0000-1200-000096000000}" name="Potenzial pos. MW min Winter SaT" dataDxfId="634"/>
    <tableColumn id="149" xr3:uid="{00000000-0010-0000-1200-000095000000}" name="Potenzial pos. MW max Winter SaT" dataDxfId="633"/>
    <tableColumn id="202" xr3:uid="{B0B3D8E1-D836-4942-841D-EE5EECFAFDDE}" name="Potenzial pos. MW Winter SaT Lastverzicht" dataDxfId="21"/>
    <tableColumn id="201" xr3:uid="{5A2F33F9-F1AA-47D6-83B6-6D322CCD250F}" name="Potenzial pos. MW min Winter SaT Lastverzicht" dataDxfId="22"/>
    <tableColumn id="200" xr3:uid="{F964704A-6F9D-4460-ABDE-6348110D8E03}" name="Potenzial pos. MW max Winter SaT Lastverzicht" dataDxfId="23"/>
    <tableColumn id="148" xr3:uid="{00000000-0010-0000-1200-000094000000}" name="Potenzial neg. MW Winter SaT" dataDxfId="632"/>
    <tableColumn id="147" xr3:uid="{00000000-0010-0000-1200-000093000000}" name="Potenzial neg. MW min Winter SaT" dataDxfId="631"/>
    <tableColumn id="146" xr3:uid="{00000000-0010-0000-1200-000092000000}" name="Potenzial neg. MW max Winter SaT" dataDxfId="630"/>
    <tableColumn id="145" xr3:uid="{00000000-0010-0000-1200-000091000000}" name="Potenzial pos. MW Winter SFN" dataDxfId="629"/>
    <tableColumn id="144" xr3:uid="{00000000-0010-0000-1200-000090000000}" name="Potenzial pos. MW min Winter SFN" dataDxfId="628"/>
    <tableColumn id="143" xr3:uid="{00000000-0010-0000-1200-00008F000000}" name="Potenzial pos. MW max Winter SFN" dataDxfId="627"/>
    <tableColumn id="199" xr3:uid="{0D6AB32F-127F-4144-83D0-AA5B3D7DE432}" name="Potenzial pos. MW Winter SFN Lastzverzicht" dataDxfId="24"/>
    <tableColumn id="198" xr3:uid="{45BBF18A-9412-46E2-B23C-2B0F4E462411}" name="Potenzial pos. MW min Winter SFN Lastzverzicht" dataDxfId="25"/>
    <tableColumn id="197" xr3:uid="{2BC5145B-B3AF-457B-8897-C613087F0C7C}" name="Potenzial pos. MW max Winter SFN Lastzverzicht" dataDxfId="26"/>
    <tableColumn id="142" xr3:uid="{00000000-0010-0000-1200-00008E000000}" name="Potenzial neg. MW Winter SFN" dataDxfId="626"/>
    <tableColumn id="141" xr3:uid="{00000000-0010-0000-1200-00008D000000}" name="Potenzial neg. MW min Winter SFN" dataDxfId="625"/>
    <tableColumn id="140" xr3:uid="{00000000-0010-0000-1200-00008C000000}" name="Potenzial neg. MW max Winter SFN" dataDxfId="624"/>
    <tableColumn id="37" xr3:uid="{00000000-0010-0000-1200-000025000000}" name="ausgewiesenes Pot. pos. MW (falls abweichend)" dataDxfId="623"/>
    <tableColumn id="50" xr3:uid="{00000000-0010-0000-1200-000032000000}" name="Potenzial neg. MW Durchschnitt min" dataDxfId="622"/>
    <tableColumn id="41" xr3:uid="{00000000-0010-0000-1200-000029000000}" name="Potenzial neg. MW Durchschnitt" dataDxfId="621"/>
    <tableColumn id="6" xr3:uid="{00000000-0010-0000-1200-000006000000}" name="Potenzial neg. MW Durchschnitt max" dataDxfId="620"/>
    <tableColumn id="195" xr3:uid="{C3613415-B0F6-4BB3-B20A-C980548137E7}" name="Mindestleistung MW durch" dataDxfId="619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618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617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616" dataCellStyle="Prozent"/>
    <tableColumn id="8" xr3:uid="{00000000-0010-0000-1200-000008000000}" name="Mindestauslastung min" dataDxfId="615" dataCellStyle="Prozent"/>
    <tableColumn id="68" xr3:uid="{00000000-0010-0000-1200-000044000000}" name="Mindestauslastung max" dataDxfId="614" dataCellStyle="Prozent"/>
    <tableColumn id="36" xr3:uid="{00000000-0010-0000-1200-000024000000}" name="flexibilisierbarer Anteil" dataDxfId="613" dataCellStyle="Prozent"/>
    <tableColumn id="116" xr3:uid="{00000000-0010-0000-1200-000074000000}" name="Durchschnittsauslastung durch Sommer WTT" dataDxfId="612" dataCellStyle="Prozent"/>
    <tableColumn id="117" xr3:uid="{00000000-0010-0000-1200-000075000000}" name="Durchschnittsauslastung min Sommer WTT" dataDxfId="611" dataCellStyle="Prozent"/>
    <tableColumn id="118" xr3:uid="{00000000-0010-0000-1200-000076000000}" name="Durchschnittsauslastung max Sommer WTT" dataDxfId="610" dataCellStyle="Prozent"/>
    <tableColumn id="113" xr3:uid="{00000000-0010-0000-1200-000071000000}" name="Durchschnittsauslastung durch Sommer SaT" dataDxfId="609" dataCellStyle="Prozent"/>
    <tableColumn id="114" xr3:uid="{00000000-0010-0000-1200-000072000000}" name="Durchschnittsauslastung min Sommer SaT" dataDxfId="608" dataCellStyle="Prozent"/>
    <tableColumn id="115" xr3:uid="{00000000-0010-0000-1200-000073000000}" name="Durchschnittsauslastung max Sommer SaT" dataDxfId="607" dataCellStyle="Prozent"/>
    <tableColumn id="51" xr3:uid="{00000000-0010-0000-1200-000033000000}" name="Durchschnittsauslastung durch Sommer SFN" dataDxfId="606" dataCellStyle="Prozent"/>
    <tableColumn id="65" xr3:uid="{00000000-0010-0000-1200-000041000000}" name="Durchschnittsauslastung min Sommer SFN" dataDxfId="605" dataCellStyle="Prozent"/>
    <tableColumn id="74" xr3:uid="{00000000-0010-0000-1200-00004A000000}" name="Durchschnittsauslastung max Sommer SFN" dataDxfId="604" dataCellStyle="Prozent"/>
    <tableColumn id="136" xr3:uid="{00000000-0010-0000-1200-000088000000}" name="Durchschnittsauslastung durch Übergangszeit WTT" dataDxfId="603" dataCellStyle="Prozent"/>
    <tableColumn id="135" xr3:uid="{00000000-0010-0000-1200-000087000000}" name="Durchschnittsauslastung min Übergangszeit WTT" dataDxfId="602" dataCellStyle="Prozent"/>
    <tableColumn id="134" xr3:uid="{00000000-0010-0000-1200-000086000000}" name="Durchschnittsauslastung max Übergangszeit WTT" dataDxfId="601" dataCellStyle="Prozent"/>
    <tableColumn id="133" xr3:uid="{00000000-0010-0000-1200-000085000000}" name="Durchschnittsauslastung durch Übergangszeit SaT" dataDxfId="600" dataCellStyle="Prozent"/>
    <tableColumn id="132" xr3:uid="{00000000-0010-0000-1200-000084000000}" name="Durchschnittsauslastung min Übergangszeit SaT" dataDxfId="599" dataCellStyle="Prozent"/>
    <tableColumn id="131" xr3:uid="{00000000-0010-0000-1200-000083000000}" name="Durchschnittsauslastung max Übergangszeit SaT" dataDxfId="598" dataCellStyle="Prozent"/>
    <tableColumn id="130" xr3:uid="{00000000-0010-0000-1200-000082000000}" name="Durchschnittsauslastung durch Übergangszeit SFN" dataDxfId="597" dataCellStyle="Prozent"/>
    <tableColumn id="129" xr3:uid="{00000000-0010-0000-1200-000081000000}" name="Durchschnittsauslastung min Übergangszeit SFN" dataDxfId="596" dataCellStyle="Prozent"/>
    <tableColumn id="128" xr3:uid="{00000000-0010-0000-1200-000080000000}" name="Durchschnittsauslastung max Übergangszeit SFN" dataDxfId="595" dataCellStyle="Prozent"/>
    <tableColumn id="127" xr3:uid="{00000000-0010-0000-1200-00007F000000}" name="Durchschnittsauslastung durch Winter WTT" dataDxfId="594" dataCellStyle="Prozent"/>
    <tableColumn id="126" xr3:uid="{00000000-0010-0000-1200-00007E000000}" name="Durchschnittsauslastung min Winter WTT" dataDxfId="593" dataCellStyle="Prozent"/>
    <tableColumn id="125" xr3:uid="{00000000-0010-0000-1200-00007D000000}" name="Durchschnittsauslastung max Winter WTT" dataDxfId="592" dataCellStyle="Prozent"/>
    <tableColumn id="124" xr3:uid="{00000000-0010-0000-1200-00007C000000}" name="Durchschnittsauslastung durch Winter SaT" dataDxfId="591" dataCellStyle="Prozent"/>
    <tableColumn id="123" xr3:uid="{00000000-0010-0000-1200-00007B000000}" name="Durchschnittsauslastung min Winter SaT" dataDxfId="590" dataCellStyle="Prozent"/>
    <tableColumn id="122" xr3:uid="{00000000-0010-0000-1200-00007A000000}" name="Durchschnittsauslastung max Winter SaT" dataDxfId="589" dataCellStyle="Prozent"/>
    <tableColumn id="121" xr3:uid="{00000000-0010-0000-1200-000079000000}" name="Durchschnittsauslastung durch Winter SFN" dataDxfId="588" dataCellStyle="Prozent"/>
    <tableColumn id="120" xr3:uid="{00000000-0010-0000-1200-000078000000}" name="Durchschnittsauslastung min Winter SFN" dataDxfId="587" dataCellStyle="Prozent"/>
    <tableColumn id="119" xr3:uid="{00000000-0010-0000-1200-000077000000}" name="Durchschnittsauslastung max Winter SFN" dataDxfId="586" dataCellStyle="Prozent"/>
    <tableColumn id="78" xr3:uid="{00000000-0010-0000-1200-00004E000000}" name="Durchschnittsauslastung min" dataDxfId="585" dataCellStyle="Prozent"/>
    <tableColumn id="70" xr3:uid="{00000000-0010-0000-1200-000046000000}" name="Durchschnittsauslastung durch" dataDxfId="584" dataCellStyle="Prozent"/>
    <tableColumn id="71" xr3:uid="{00000000-0010-0000-1200-000047000000}" name="Durchschnittsauslastung max" dataDxfId="583" dataCellStyle="Prozent"/>
    <tableColumn id="80" xr3:uid="{00000000-0010-0000-1200-000050000000}" name="Durchschnittliche Leistung MW min" dataDxfId="582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81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80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79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78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77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76"/>
    <tableColumn id="196" xr3:uid="{3D8C49AD-BA64-4B61-AD02-C4220A8D0DE3}" name="Maximalauslastung min" dataDxfId="575" dataCellStyle="Prozent"/>
    <tableColumn id="46" xr3:uid="{00000000-0010-0000-1200-00002E000000}" name="Maximalauslastung max" dataDxfId="574" dataCellStyle="Prozent"/>
    <tableColumn id="17" xr3:uid="{00000000-0010-0000-1200-000011000000}" name="installierte Leistung MW durch" dataDxfId="573" dataCellStyle="Prozent"/>
    <tableColumn id="72" xr3:uid="{00000000-0010-0000-1200-000048000000}" name="installierte Leistung MW min" dataDxfId="572" dataCellStyle="Prozent"/>
    <tableColumn id="73" xr3:uid="{00000000-0010-0000-1200-000049000000}" name="installierte Leistung MW max" dataDxfId="571"/>
    <tableColumn id="85" xr3:uid="{00000000-0010-0000-1200-000055000000}" name="Aktivierungsdauer (h) pos durch" dataDxfId="570"/>
    <tableColumn id="84" xr3:uid="{00000000-0010-0000-1200-000054000000}" name="Aktivierungsdauer (h) pos min" dataDxfId="569"/>
    <tableColumn id="11" xr3:uid="{00000000-0010-0000-1200-00000B000000}" name="Aktivierungsdauer (h) pos max" dataDxfId="568"/>
    <tableColumn id="89" xr3:uid="{00000000-0010-0000-1200-000059000000}" name="Aktivierungsdauer (h) neg durch" dataDxfId="567"/>
    <tableColumn id="88" xr3:uid="{00000000-0010-0000-1200-000058000000}" name="Aktivierungsdauer (h) neg min" dataDxfId="566"/>
    <tableColumn id="87" xr3:uid="{00000000-0010-0000-1200-000057000000}" name="Aktivierungsdauer (h) neg max" dataDxfId="565"/>
    <tableColumn id="86" xr3:uid="{00000000-0010-0000-1200-000056000000}" name="Schaltdauer pos. (h)" dataDxfId="564"/>
    <tableColumn id="61" xr3:uid="{00000000-0010-0000-1200-00003D000000}" name="Schaltdauer pos. min (h)" dataDxfId="563"/>
    <tableColumn id="60" xr3:uid="{00000000-0010-0000-1200-00003C000000}" name="Schaltdauer pos. max (h)" dataDxfId="562"/>
    <tableColumn id="223" xr3:uid="{11693F19-F266-4578-83D3-E6DC795DA1E7}" name="Schaltdauer pos. (h) Lastverzicht" dataDxfId="0"/>
    <tableColumn id="222" xr3:uid="{3CE157AB-01EA-4F5B-913D-D5D326F07AEC}" name="Schaltdauer pos. min (h) Lastverzicht" dataDxfId="1"/>
    <tableColumn id="221" xr3:uid="{95FB7958-DB36-47E1-990A-BADA3585EEAF}" name="Schaltdauer pos. max (h) Lastverzicht" dataDxfId="2"/>
    <tableColumn id="90" xr3:uid="{00000000-0010-0000-1200-00005A000000}" name="Schaltdauer neg. (h)" dataDxfId="561"/>
    <tableColumn id="63" xr3:uid="{00000000-0010-0000-1200-00003F000000}" name="Schaltdauer neg min (h)" dataDxfId="560"/>
    <tableColumn id="62" xr3:uid="{00000000-0010-0000-1200-00003E000000}" name="Schaltdauer neg. max (h)" dataDxfId="559"/>
    <tableColumn id="91" xr3:uid="{00000000-0010-0000-1200-00005B000000}" name="Verschiebedauer (h)" dataDxfId="558"/>
    <tableColumn id="42" xr3:uid="{00000000-0010-0000-1200-00002A000000}" name="Verschiebedauer min. (h)" dataDxfId="557"/>
    <tableColumn id="4" xr3:uid="{00000000-0010-0000-1200-000004000000}" name="Verschiebedauer max (h)" dataDxfId="556"/>
    <tableColumn id="13" xr3:uid="{00000000-0010-0000-1200-00000D000000}" name="Verschiebedauer bei sofortiger Kompensation (h)" dataDxfId="555"/>
    <tableColumn id="93" xr3:uid="{00000000-0010-0000-1200-00005D000000}" name="Verschiebedauer bei sofortiger Kompensation (h) min" dataDxfId="554"/>
    <tableColumn id="92" xr3:uid="{00000000-0010-0000-1200-00005C000000}" name="Verschiebedauer bei sofortiger Kompensation (h) max" dataDxfId="553"/>
    <tableColumn id="14" xr3:uid="{00000000-0010-0000-1200-00000E000000}" name="Regenerationsdauer (h)" dataDxfId="552"/>
    <tableColumn id="15" xr3:uid="{00000000-0010-0000-1200-00000F000000}" name="Zeitverfügbarkeit?" dataDxfId="551"/>
    <tableColumn id="16" xr3:uid="{00000000-0010-0000-1200-000010000000}" name="max. Abrufhäufigkeit pro Woche" dataDxfId="550"/>
    <tableColumn id="40" xr3:uid="{00000000-0010-0000-1200-000028000000}" name="max. Abrufhäufigkeit pro Jahr pos durch" dataDxfId="549"/>
    <tableColumn id="95" xr3:uid="{00000000-0010-0000-1200-00005F000000}" name="max. Abrufhäufigkeit pro Jahr pos min" dataDxfId="548"/>
    <tableColumn id="94" xr3:uid="{00000000-0010-0000-1200-00005E000000}" name="max. Abrufhäufigkeit pro Jahr pos max" dataDxfId="547"/>
    <tableColumn id="96" xr3:uid="{00000000-0010-0000-1200-000060000000}" name="max. Abrufhäufigkeit pro Jahr pos Lastverzicht durch" dataDxfId="546"/>
    <tableColumn id="97" xr3:uid="{00000000-0010-0000-1200-000061000000}" name="max. Abrufhäufigkeit pro Jahr pos Lastverzicht min" dataDxfId="545"/>
    <tableColumn id="98" xr3:uid="{00000000-0010-0000-1200-000062000000}" name="max. Abrufhäufigkeit pro Jahr pos Lastverzicht max" dataDxfId="544"/>
    <tableColumn id="99" xr3:uid="{00000000-0010-0000-1200-000063000000}" name="max. Abrufhäufigkeit pro Jahr neg durch" dataDxfId="543"/>
    <tableColumn id="100" xr3:uid="{00000000-0010-0000-1200-000064000000}" name="max. Abrufhäufigkeit pro Jahr neg min" dataDxfId="542"/>
    <tableColumn id="101" xr3:uid="{00000000-0010-0000-1200-000065000000}" name="max. Abrufhäufigkeit pro Jahr neg max" dataDxfId="541"/>
    <tableColumn id="102" xr3:uid="{00000000-0010-0000-1200-000066000000}" name="Investitionsausgaben €_2018/kW" dataDxfId="540"/>
    <tableColumn id="57" xr3:uid="{00000000-0010-0000-1200-000039000000}" name="min. Investitionsausgaben €_2018/kW" dataDxfId="539"/>
    <tableColumn id="56" xr3:uid="{00000000-0010-0000-1200-000038000000}" name="max. Investitionsausgaben €_2018/kW" dataDxfId="538"/>
    <tableColumn id="104" xr3:uid="{00000000-0010-0000-1200-000068000000}" name="var. Kosten Lastverschiebung €_2018/MWh" dataDxfId="537"/>
    <tableColumn id="59" xr3:uid="{00000000-0010-0000-1200-00003B000000}" name="var. Kosten Lastverschiebung €_2018/MWh min" dataDxfId="536"/>
    <tableColumn id="58" xr3:uid="{00000000-0010-0000-1200-00003A000000}" name="var. Kosten Lastverschiebung €_2018/MWh max" dataDxfId="535"/>
    <tableColumn id="107" xr3:uid="{00000000-0010-0000-1200-00006B000000}" name="var. Kosten Lastverzicht €_2018/MWh" dataDxfId="534"/>
    <tableColumn id="106" xr3:uid="{00000000-0010-0000-1200-00006A000000}" name="var. Kosten Lastverzicht €_2018/MWh min" dataDxfId="533"/>
    <tableColumn id="105" xr3:uid="{00000000-0010-0000-1200-000069000000}" name="var. Kosten Lastverzicht €_2018/MWh max" dataDxfId="532"/>
    <tableColumn id="112" xr3:uid="{00000000-0010-0000-1200-000070000000}" name="c_Ber_RL_pos durch €/MW*d" dataDxfId="531"/>
    <tableColumn id="111" xr3:uid="{00000000-0010-0000-1200-00006F000000}" name="c_Ber_RL_pos €/MW*d min" dataDxfId="530"/>
    <tableColumn id="110" xr3:uid="{00000000-0010-0000-1200-00006E000000}" name="c_Ber_RL_pos €/MW*d max" dataDxfId="529"/>
    <tableColumn id="109" xr3:uid="{00000000-0010-0000-1200-00006D000000}" name="c_Ber_RL_neg €/MW*d" dataDxfId="528"/>
    <tableColumn id="108" xr3:uid="{00000000-0010-0000-1200-00006C000000}" name="c_Ber_RL_neg €/MW*d min" dataDxfId="527"/>
    <tableColumn id="18" xr3:uid="{00000000-0010-0000-1200-000012000000}" name="c_Ber_RL_neg €/MW*d max" dataDxfId="526"/>
    <tableColumn id="103" xr3:uid="{00000000-0010-0000-1200-000067000000}" name="fixe Kosten €_2018/kW*a" dataDxfId="525"/>
    <tableColumn id="64" xr3:uid="{00000000-0010-0000-1200-000040000000}" name="fixe Kosten €_2018/kW*a min" dataDxfId="524"/>
    <tableColumn id="19" xr3:uid="{00000000-0010-0000-1200-000013000000}" name="fixe Kosten €_2018/kW*a max" dataDxfId="523"/>
    <tableColumn id="48" xr3:uid="{00000000-0010-0000-1200-000030000000}" name="Investitionsausgaben je Anschlusspunkt (€_2018)" dataDxfId="522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521"/>
    <tableColumn id="55" xr3:uid="{00000000-0010-0000-1200-000037000000}" name="Fundstelle Lastverschiebung" dataDxfId="520"/>
    <tableColumn id="54" xr3:uid="{00000000-0010-0000-1200-000036000000}" name="Fundstelle Lastverzicht" dataDxfId="519"/>
    <tableColumn id="138" xr3:uid="{00000000-0010-0000-1200-00008A000000}" name="Fundstelle Lasterhöhung" dataDxfId="518"/>
    <tableColumn id="21" xr3:uid="{00000000-0010-0000-1200-000015000000}" name="Fundstelle Potenzial pos." dataDxfId="517"/>
    <tableColumn id="22" xr3:uid="{00000000-0010-0000-1200-000016000000}" name="Fundstelle Potenzial neg." dataDxfId="516"/>
    <tableColumn id="23" xr3:uid="{00000000-0010-0000-1200-000017000000}" name="Fundstelle Mindestleistung" dataDxfId="515"/>
    <tableColumn id="43" xr3:uid="{00000000-0010-0000-1200-00002B000000}" name="Fundstelle flexibilisierbarer Anteil" dataDxfId="514"/>
    <tableColumn id="66" xr3:uid="{00000000-0010-0000-1200-000042000000}" name="Fundstelle Durchschnittsauslastung" dataDxfId="513"/>
    <tableColumn id="45" xr3:uid="{00000000-0010-0000-1200-00002D000000}" name="Fundstelle durchschnittliche Leistung" dataDxfId="512"/>
    <tableColumn id="24" xr3:uid="{00000000-0010-0000-1200-000018000000}" name="Fundstelle Maximalleistung" dataDxfId="511"/>
    <tableColumn id="25" xr3:uid="{00000000-0010-0000-1200-000019000000}" name="Fundstelle installierte Leistung" dataDxfId="510"/>
    <tableColumn id="39" xr3:uid="{00000000-0010-0000-1200-000027000000}" name="Fundstelle Aktivierungsdauer" dataDxfId="509"/>
    <tableColumn id="26" xr3:uid="{00000000-0010-0000-1200-00001A000000}" name="Fundstelle Schaltdauer" dataDxfId="508"/>
    <tableColumn id="27" xr3:uid="{00000000-0010-0000-1200-00001B000000}" name="Fundstelle Verschiebedauer" dataDxfId="507"/>
    <tableColumn id="28" xr3:uid="{00000000-0010-0000-1200-00001C000000}" name="Fundstelle Regenerationsdauer" dataDxfId="506"/>
    <tableColumn id="29" xr3:uid="{00000000-0010-0000-1200-00001D000000}" name="Fundstelle Zeitverfügbarkeit" dataDxfId="505"/>
    <tableColumn id="30" xr3:uid="{00000000-0010-0000-1200-00001E000000}" name="Fundstelle max. Abrufhäufigkeit" dataDxfId="504"/>
    <tableColumn id="31" xr3:uid="{00000000-0010-0000-1200-00001F000000}" name="Fundstelle Invest" dataDxfId="503"/>
    <tableColumn id="32" xr3:uid="{00000000-0010-0000-1200-000020000000}" name="Fundstelle var. Kosten" dataDxfId="502"/>
    <tableColumn id="33" xr3:uid="{00000000-0010-0000-1200-000021000000}" name="Fundstelle fixe Kosten" dataDxfId="501"/>
    <tableColumn id="49" xr3:uid="{00000000-0010-0000-1200-000031000000}" name="Fundstelle Investition je Anschlusspunkt" dataDxfId="500"/>
    <tableColumn id="34" xr3:uid="{00000000-0010-0000-1200-000022000000}" name="Fundstelle Bemerkungen" dataDxfId="499"/>
    <tableColumn id="35" xr3:uid="{00000000-0010-0000-1200-000023000000}" name="eigene Anmerkung" dataDxfId="498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97" dataDxfId="496" tableBorderDxfId="495">
  <autoFilter ref="A1:BR55" xr:uid="{00000000-0009-0000-0100-00001E000000}"/>
  <tableColumns count="70">
    <tableColumn id="1" xr3:uid="{00000000-0010-0000-1A00-000001000000}" name="Prozess" dataDxfId="494"/>
    <tableColumn id="47" xr3:uid="{00000000-0010-0000-1A00-00002F000000}" name="Sektorenzuordnung" dataDxfId="493"/>
    <tableColumn id="2" xr3:uid="{00000000-0010-0000-1A00-000002000000}" name="Jahr" dataDxfId="492"/>
    <tableColumn id="52" xr3:uid="{00000000-0010-0000-1A00-000034000000}" name="Lastverschiebung" dataDxfId="491"/>
    <tableColumn id="53" xr3:uid="{00000000-0010-0000-1A00-000035000000}" name="Lastverzicht" dataDxfId="490"/>
    <tableColumn id="3" xr3:uid="{00000000-0010-0000-1A00-000003000000}" name="Potenzial pos. min MW" dataDxfId="489"/>
    <tableColumn id="38" xr3:uid="{00000000-0010-0000-1A00-000026000000}" name="Potenzial pos. MW Durchschnitt" dataDxfId="488"/>
    <tableColumn id="5" xr3:uid="{00000000-0010-0000-1A00-000005000000}" name="Potenzial pos. Sommer MW" dataDxfId="487"/>
    <tableColumn id="68" xr3:uid="{88EA48BC-D464-4E06-B82C-963723BA6B98}" name="Potenzial pos. Winter MW" dataDxfId="486"/>
    <tableColumn id="70" xr3:uid="{447AD4C7-8E89-478E-B97D-DCEE39EBEDFD}" name="Potenzial neg. Sommer MW" dataDxfId="485"/>
    <tableColumn id="69" xr3:uid="{C288EE63-BCB8-4D75-8A73-A3BC4D47AF08}" name="Potenzial neg. Winter MW" dataDxfId="484"/>
    <tableColumn id="37" xr3:uid="{00000000-0010-0000-1A00-000025000000}" name="ausgewiesenes Pot. pos. MW (falls abweichend)" dataDxfId="483"/>
    <tableColumn id="50" xr3:uid="{00000000-0010-0000-1A00-000032000000}" name="Potenzial neg. min MW" dataDxfId="482"/>
    <tableColumn id="41" xr3:uid="{00000000-0010-0000-1A00-000029000000}" name="Potenzial neg. MW Durchschnitt" dataDxfId="481"/>
    <tableColumn id="6" xr3:uid="{00000000-0010-0000-1A00-000006000000}" name="Potenzial neg. max MW" dataDxfId="480"/>
    <tableColumn id="7" xr3:uid="{00000000-0010-0000-1A00-000007000000}" name="Mindestleistung MW" dataDxfId="479"/>
    <tableColumn id="8" xr3:uid="{00000000-0010-0000-1A00-000008000000}" name="Mindestauslastung" dataDxfId="478" dataCellStyle="Prozent"/>
    <tableColumn id="36" xr3:uid="{00000000-0010-0000-1A00-000024000000}" name="flexibilisierbarer Anteil" dataDxfId="477" dataCellStyle="Prozent"/>
    <tableColumn id="67" xr3:uid="{00000000-0010-0000-1A00-000043000000}" name="flexibilisierbarer Anteil an Durchschnittslast" dataDxfId="476" dataCellStyle="Prozent"/>
    <tableColumn id="65" xr3:uid="{00000000-0010-0000-1A00-000041000000}" name="Durchschnittsauslastung" dataDxfId="475" dataCellStyle="Prozent"/>
    <tableColumn id="44" xr3:uid="{00000000-0010-0000-1A00-00002C000000}" name="Durchschnittliche Leistung MW" dataDxfId="474" dataCellStyle="Prozent"/>
    <tableColumn id="9" xr3:uid="{00000000-0010-0000-1A00-000009000000}" name="Maximalleistung MW" dataDxfId="473"/>
    <tableColumn id="46" xr3:uid="{00000000-0010-0000-1A00-00002E000000}" name="Maximalauslastung" dataDxfId="472" dataCellStyle="Prozent"/>
    <tableColumn id="10" xr3:uid="{00000000-0010-0000-1A00-00000A000000}" name="installierte Leistung MW" dataDxfId="471"/>
    <tableColumn id="11" xr3:uid="{00000000-0010-0000-1A00-00000B000000}" name="Aktivierungsdauer (h)" dataDxfId="470"/>
    <tableColumn id="61" xr3:uid="{00000000-0010-0000-1A00-00003D000000}" name="Schaltdauer pos. Min (h)" dataDxfId="469"/>
    <tableColumn id="60" xr3:uid="{00000000-0010-0000-1A00-00003C000000}" name="Schaltdauer pos. max (h)" dataDxfId="468"/>
    <tableColumn id="12" xr3:uid="{00000000-0010-0000-1A00-00000C000000}" name="Schaltdauer pos. (h)" dataDxfId="467"/>
    <tableColumn id="63" xr3:uid="{00000000-0010-0000-1A00-00003F000000}" name="Schaltdauer neg min (h)" dataDxfId="466"/>
    <tableColumn id="62" xr3:uid="{00000000-0010-0000-1A00-00003E000000}" name="Schaltdauer neg. max (h)" dataDxfId="465"/>
    <tableColumn id="51" xr3:uid="{00000000-0010-0000-1A00-000033000000}" name="Schaltdauer neg. (h)" dataDxfId="464"/>
    <tableColumn id="42" xr3:uid="{00000000-0010-0000-1A00-00002A000000}" name="Verschiebedauer min. (h)" dataDxfId="463"/>
    <tableColumn id="4" xr3:uid="{00000000-0010-0000-1A00-000004000000}" name="Verschiebedauer max (h)" dataDxfId="462"/>
    <tableColumn id="13" xr3:uid="{00000000-0010-0000-1A00-00000D000000}" name="Verschiebedauer (h)" dataDxfId="461"/>
    <tableColumn id="14" xr3:uid="{00000000-0010-0000-1A00-00000E000000}" name="Regenerationsdauer (h)" dataDxfId="460"/>
    <tableColumn id="15" xr3:uid="{00000000-0010-0000-1A00-00000F000000}" name="Zeitverfügbarkeit?" dataDxfId="459"/>
    <tableColumn id="16" xr3:uid="{00000000-0010-0000-1A00-000010000000}" name="max. Abrufhäufigkeit pro Woche" dataDxfId="458"/>
    <tableColumn id="40" xr3:uid="{00000000-0010-0000-1A00-000028000000}" name="max. Abrufhäufigkeit pro Jahr" dataDxfId="457"/>
    <tableColumn id="57" xr3:uid="{00000000-0010-0000-1A00-000039000000}" name="min. Investitionsausgaben €_2018/kW" dataDxfId="456"/>
    <tableColumn id="56" xr3:uid="{00000000-0010-0000-1A00-000038000000}" name="max. Investitionsausgaben €_2018/kW" dataDxfId="455"/>
    <tableColumn id="17" xr3:uid="{00000000-0010-0000-1A00-000011000000}" name="Investitionsausgaben €_2018/kW" dataDxfId="454"/>
    <tableColumn id="59" xr3:uid="{00000000-0010-0000-1A00-00003B000000}" name="var. Kosten min. €_2018/MWh" dataDxfId="453"/>
    <tableColumn id="58" xr3:uid="{00000000-0010-0000-1A00-00003A000000}" name="var. Kosten max. €_2018/MWh" dataDxfId="452"/>
    <tableColumn id="18" xr3:uid="{00000000-0010-0000-1A00-000012000000}" name="variable Kosten €_2018/MWh" dataDxfId="451"/>
    <tableColumn id="64" xr3:uid="{00000000-0010-0000-1A00-000040000000}" name="fixe Kosten min. €_2018/kW*a" dataDxfId="450"/>
    <tableColumn id="19" xr3:uid="{00000000-0010-0000-1A00-000013000000}" name="fixe Kosten €_2018/kW*a" dataDxfId="449"/>
    <tableColumn id="48" xr3:uid="{00000000-0010-0000-1A00-000030000000}" name="Investitionsausgaben je Anschlusspunkt (€_2018)" dataDxfId="448"/>
    <tableColumn id="20" xr3:uid="{00000000-0010-0000-1A00-000014000000}" name="Bemerkungen" dataDxfId="447"/>
    <tableColumn id="55" xr3:uid="{00000000-0010-0000-1A00-000037000000}" name="Fundstelle Lastverschiebung" dataDxfId="446"/>
    <tableColumn id="54" xr3:uid="{00000000-0010-0000-1A00-000036000000}" name="Fundstelle Lastverzicht" dataDxfId="445"/>
    <tableColumn id="21" xr3:uid="{00000000-0010-0000-1A00-000015000000}" name="Fundstelle Potenzial pos." dataDxfId="444"/>
    <tableColumn id="22" xr3:uid="{00000000-0010-0000-1A00-000016000000}" name="Fundstelle Potenzial neg." dataDxfId="443"/>
    <tableColumn id="23" xr3:uid="{00000000-0010-0000-1A00-000017000000}" name="Fundstelle Mindestleistung" dataDxfId="442"/>
    <tableColumn id="43" xr3:uid="{00000000-0010-0000-1A00-00002B000000}" name="Funstelle flexibierbarer Anteil" dataDxfId="441"/>
    <tableColumn id="66" xr3:uid="{00000000-0010-0000-1A00-000042000000}" name="Fundstelle Durchschnittsauslastung" dataDxfId="440"/>
    <tableColumn id="45" xr3:uid="{00000000-0010-0000-1A00-00002D000000}" name="Fundstelle durchschnittliche Leistung" dataDxfId="439"/>
    <tableColumn id="24" xr3:uid="{00000000-0010-0000-1A00-000018000000}" name="Fundstelle Maximalleistung" dataDxfId="438"/>
    <tableColumn id="25" xr3:uid="{00000000-0010-0000-1A00-000019000000}" name="Fundstelle installierte Leistung" dataDxfId="437"/>
    <tableColumn id="39" xr3:uid="{00000000-0010-0000-1A00-000027000000}" name="Fundstelle Aktivierungsdauer" dataDxfId="436"/>
    <tableColumn id="26" xr3:uid="{00000000-0010-0000-1A00-00001A000000}" name="Fundstelle Schaltdauer" dataDxfId="435"/>
    <tableColumn id="27" xr3:uid="{00000000-0010-0000-1A00-00001B000000}" name="Fundstelle Verschiebedauer" dataDxfId="434"/>
    <tableColumn id="28" xr3:uid="{00000000-0010-0000-1A00-00001C000000}" name="Fundstelle Regenerationsdauer" dataDxfId="433"/>
    <tableColumn id="29" xr3:uid="{00000000-0010-0000-1A00-00001D000000}" name="Fundstelle Zeitverfügbarkeit" dataDxfId="432"/>
    <tableColumn id="30" xr3:uid="{00000000-0010-0000-1A00-00001E000000}" name="Fundstelle max. Abrufhäufigkeit" dataDxfId="431"/>
    <tableColumn id="31" xr3:uid="{00000000-0010-0000-1A00-00001F000000}" name="Fundstelle Invest" dataDxfId="430"/>
    <tableColumn id="32" xr3:uid="{00000000-0010-0000-1A00-000020000000}" name="Fundstelle var. Kosten" dataDxfId="429"/>
    <tableColumn id="33" xr3:uid="{00000000-0010-0000-1A00-000021000000}" name="Fundstelle fixe Kosten" dataDxfId="428"/>
    <tableColumn id="49" xr3:uid="{00000000-0010-0000-1A00-000031000000}" name="Fundstelle Investition je Anschlusspunkt" dataDxfId="427"/>
    <tableColumn id="34" xr3:uid="{00000000-0010-0000-1A00-000022000000}" name="Fundstelle Bemerkungen" dataDxfId="426"/>
    <tableColumn id="35" xr3:uid="{00000000-0010-0000-1A00-000023000000}" name="eigene Anmerkung" dataDxfId="425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BP34" totalsRowShown="0" headerRowDxfId="424" dataDxfId="423" tableBorderDxfId="422">
  <autoFilter ref="A1:BP34" xr:uid="{00000000-0009-0000-0100-000010000000}"/>
  <tableColumns count="68">
    <tableColumn id="1" xr3:uid="{00000000-0010-0000-0E00-000001000000}" name="Prozess" dataDxfId="421"/>
    <tableColumn id="47" xr3:uid="{00000000-0010-0000-0E00-00002F000000}" name="Sektorenzuordnung" dataDxfId="420"/>
    <tableColumn id="2" xr3:uid="{00000000-0010-0000-0E00-000002000000}" name="Jahr" dataDxfId="419"/>
    <tableColumn id="52" xr3:uid="{00000000-0010-0000-0E00-000034000000}" name="Lastverschiebung" dataDxfId="418"/>
    <tableColumn id="53" xr3:uid="{00000000-0010-0000-0E00-000035000000}" name="Lastverzicht" dataDxfId="417"/>
    <tableColumn id="68" xr3:uid="{00000000-0010-0000-0E00-000044000000}" name="Lasterhöhung" dataDxfId="416"/>
    <tableColumn id="3" xr3:uid="{00000000-0010-0000-0E00-000003000000}" name="Potenzial pos. min MW" dataDxfId="415"/>
    <tableColumn id="5" xr3:uid="{00000000-0010-0000-0E00-000005000000}" name="Potenzial pos. max MW" dataDxfId="414"/>
    <tableColumn id="69" xr3:uid="{CED58257-C9CB-465E-B244-9ADF50F967B9}" name="Potenzial pos. min MW Lastverzicht" dataDxfId="32"/>
    <tableColumn id="37" xr3:uid="{00000000-0010-0000-0E00-000025000000}" name="Potenzial pos. max MW Lastverzicht" dataDxfId="413"/>
    <tableColumn id="50" xr3:uid="{00000000-0010-0000-0E00-000032000000}" name="Potenzial neg. min MW" dataDxfId="412"/>
    <tableColumn id="6" xr3:uid="{00000000-0010-0000-0E00-000006000000}" name="Potenzial neg. max MW" dataDxfId="411"/>
    <tableColumn id="7" xr3:uid="{00000000-0010-0000-0E00-000007000000}" name="Mindestleistung MW" dataDxfId="410"/>
    <tableColumn id="8" xr3:uid="{00000000-0010-0000-0E00-000008000000}" name="Mindestauslastung" dataDxfId="409" dataCellStyle="Prozent"/>
    <tableColumn id="36" xr3:uid="{00000000-0010-0000-0E00-000024000000}" name="flexibilisierbarer Anteil" dataDxfId="408" dataCellStyle="Prozent"/>
    <tableColumn id="65" xr3:uid="{00000000-0010-0000-0E00-000041000000}" name="Durchschnittsauslastung" dataDxfId="407" dataCellStyle="Prozent">
      <calculatedColumnFormula>2920/8760</calculatedColumnFormula>
    </tableColumn>
    <tableColumn id="44" xr3:uid="{00000000-0010-0000-0E00-00002C000000}" name="Durchschnittliche Leistung MW" dataDxfId="406" dataCellStyle="Prozent"/>
    <tableColumn id="9" xr3:uid="{00000000-0010-0000-0E00-000009000000}" name="Maximalleistung MW" dataDxfId="405"/>
    <tableColumn id="46" xr3:uid="{00000000-0010-0000-0E00-00002E000000}" name="Maximalauslastung" dataDxfId="404" dataCellStyle="Prozent"/>
    <tableColumn id="10" xr3:uid="{00000000-0010-0000-0E00-00000A000000}" name="installierte Leistung MW" dataDxfId="403"/>
    <tableColumn id="11" xr3:uid="{00000000-0010-0000-0E00-00000B000000}" name="Aktivierungsdauer (h)" dataDxfId="402"/>
    <tableColumn id="61" xr3:uid="{00000000-0010-0000-0E00-00003D000000}" name="Schaltdauer pos. min (h)" dataDxfId="401"/>
    <tableColumn id="60" xr3:uid="{00000000-0010-0000-0E00-00003C000000}" name="Schaltdauer pos. max (h)" dataDxfId="400"/>
    <tableColumn id="12" xr3:uid="{00000000-0010-0000-0E00-00000C000000}" name="Schaltdauer pos. (h)" dataDxfId="399"/>
    <tableColumn id="63" xr3:uid="{00000000-0010-0000-0E00-00003F000000}" name="Schaltdauer neg min (h)" dataDxfId="398"/>
    <tableColumn id="62" xr3:uid="{00000000-0010-0000-0E00-00003E000000}" name="Schaltdauer neg. max (h)" dataDxfId="397"/>
    <tableColumn id="51" xr3:uid="{00000000-0010-0000-0E00-000033000000}" name="Schaltdauer neg. (h)" dataDxfId="396"/>
    <tableColumn id="42" xr3:uid="{00000000-0010-0000-0E00-00002A000000}" name="Verschiebedauer min. (h)" dataDxfId="395"/>
    <tableColumn id="4" xr3:uid="{00000000-0010-0000-0E00-000004000000}" name="Verschiebedauer max (h)" dataDxfId="394"/>
    <tableColumn id="13" xr3:uid="{00000000-0010-0000-0E00-00000D000000}" name="Verschiebedauer (h)" dataDxfId="393"/>
    <tableColumn id="14" xr3:uid="{00000000-0010-0000-0E00-00000E000000}" name="Regenerationsdauer (h)" dataDxfId="392"/>
    <tableColumn id="15" xr3:uid="{00000000-0010-0000-0E00-00000F000000}" name="Zeitverfügbarkeit?" dataDxfId="391"/>
    <tableColumn id="16" xr3:uid="{00000000-0010-0000-0E00-000010000000}" name="max. Abrufhäufigkeit pro Woche" dataDxfId="390">
      <calculatedColumnFormula>24*7</calculatedColumnFormula>
    </tableColumn>
    <tableColumn id="40" xr3:uid="{00000000-0010-0000-0E00-000028000000}" name="max. Abrufhäufigkeit pro Jahr" dataDxfId="31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0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89">
      <calculatedColumnFormula>30*Umrechnungsfaktoren!$B$15/Umrechnungsfaktoren!$B$10</calculatedColumnFormula>
    </tableColumn>
    <tableColumn id="56" xr3:uid="{00000000-0010-0000-0E00-000038000000}" name="max. Investitionsausgaben €_2018/kW" dataDxfId="388">
      <calculatedColumnFormula>130*Umrechnungsfaktoren!$B$15/Umrechnungsfaktoren!$B$10</calculatedColumnFormula>
    </tableColumn>
    <tableColumn id="17" xr3:uid="{00000000-0010-0000-0E00-000011000000}" name="Investitionsausgaben €_2018/kW" dataDxfId="387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86">
      <calculatedColumnFormula>0*Umrechnungsfaktoren!$B$15/Umrechnungsfaktoren!$B$10</calculatedColumnFormula>
    </tableColumn>
    <tableColumn id="58" xr3:uid="{00000000-0010-0000-0E00-00003A000000}" name="var. Kosten max. €_2018/MWh" dataDxfId="385">
      <calculatedColumnFormula>0*Umrechnungsfaktoren!$B$15/Umrechnungsfaktoren!$B$10</calculatedColumnFormula>
    </tableColumn>
    <tableColumn id="18" xr3:uid="{00000000-0010-0000-0E00-000012000000}" name="variable Kosten €_2018/MWh" dataDxfId="384">
      <calculatedColumnFormula>0*Umrechnungsfaktoren!$B$15/Umrechnungsfaktoren!$B$10</calculatedColumnFormula>
    </tableColumn>
    <tableColumn id="64" xr3:uid="{00000000-0010-0000-0E00-000040000000}" name="fixe Kosten min. €_2018/kW*a" dataDxfId="383">
      <calculatedColumnFormula>2*Umrechnungsfaktoren!$B$15/Umrechnungsfaktoren!$B$10</calculatedColumnFormula>
    </tableColumn>
    <tableColumn id="67" xr3:uid="{00000000-0010-0000-0E00-000043000000}" name="fixe Kosten max. €_2018/kW*a" dataDxfId="382">
      <calculatedColumnFormula>9*Umrechnungsfaktoren!$B$15/Umrechnungsfaktoren!$B$10</calculatedColumnFormula>
    </tableColumn>
    <tableColumn id="19" xr3:uid="{00000000-0010-0000-0E00-000013000000}" name="fixe Kosten €_2018/kW*a" dataDxfId="381">
      <calculatedColumnFormula>AVERAGE(Tabelle58971117[[#This Row],[fixe Kosten min. €_2018/kW*a]:[fixe Kosten max. €_2018/kW*a]])</calculatedColumnFormula>
    </tableColumn>
    <tableColumn id="48" xr3:uid="{00000000-0010-0000-0E00-000030000000}" name="Investitionsausgaben je Anschlusspunkt (€_2018)" dataDxfId="380"/>
    <tableColumn id="20" xr3:uid="{00000000-0010-0000-0E00-000014000000}" name="Bemerkungen" dataDxfId="379"/>
    <tableColumn id="55" xr3:uid="{00000000-0010-0000-0E00-000037000000}" name="Fundstelle Lastverschiebung" dataDxfId="378"/>
    <tableColumn id="54" xr3:uid="{00000000-0010-0000-0E00-000036000000}" name="Fundstelle Lastverzicht" dataDxfId="377"/>
    <tableColumn id="21" xr3:uid="{00000000-0010-0000-0E00-000015000000}" name="Fundstelle Potenzial pos." dataDxfId="376"/>
    <tableColumn id="22" xr3:uid="{00000000-0010-0000-0E00-000016000000}" name="Fundstelle Potenzial neg." dataDxfId="375"/>
    <tableColumn id="23" xr3:uid="{00000000-0010-0000-0E00-000017000000}" name="Fundstelle Mindestleistung" dataDxfId="374"/>
    <tableColumn id="43" xr3:uid="{00000000-0010-0000-0E00-00002B000000}" name="Fundstelle flexibilisierbarer Anteil" dataDxfId="373"/>
    <tableColumn id="66" xr3:uid="{00000000-0010-0000-0E00-000042000000}" name="Fundstelle Durchschnittsauslastung" dataDxfId="372"/>
    <tableColumn id="45" xr3:uid="{00000000-0010-0000-0E00-00002D000000}" name="Fundstelle durchschnittliche Leistung" dataDxfId="371"/>
    <tableColumn id="24" xr3:uid="{00000000-0010-0000-0E00-000018000000}" name="Fundstelle Maximalleistung" dataDxfId="370"/>
    <tableColumn id="25" xr3:uid="{00000000-0010-0000-0E00-000019000000}" name="Fundstelle installierte Leistung" dataDxfId="369"/>
    <tableColumn id="39" xr3:uid="{00000000-0010-0000-0E00-000027000000}" name="Fundstelle Aktivierungsdauer" dataDxfId="368"/>
    <tableColumn id="26" xr3:uid="{00000000-0010-0000-0E00-00001A000000}" name="Fundstelle Schaltdauer" dataDxfId="367"/>
    <tableColumn id="27" xr3:uid="{00000000-0010-0000-0E00-00001B000000}" name="Fundstelle Verschiebedauer" dataDxfId="366"/>
    <tableColumn id="28" xr3:uid="{00000000-0010-0000-0E00-00001C000000}" name="Fundstelle Regenerationsdauer" dataDxfId="365"/>
    <tableColumn id="29" xr3:uid="{00000000-0010-0000-0E00-00001D000000}" name="Fundstelle Zeitverfügbarkeit" dataDxfId="364"/>
    <tableColumn id="30" xr3:uid="{00000000-0010-0000-0E00-00001E000000}" name="Fundstelle max. Abrufhäufigkeit" dataDxfId="363"/>
    <tableColumn id="31" xr3:uid="{00000000-0010-0000-0E00-00001F000000}" name="Fundstelle Invest" dataDxfId="362"/>
    <tableColumn id="32" xr3:uid="{00000000-0010-0000-0E00-000020000000}" name="Fundstelle var. Kosten" dataDxfId="361"/>
    <tableColumn id="33" xr3:uid="{00000000-0010-0000-0E00-000021000000}" name="Fundstelle fixe Kosten" dataDxfId="360"/>
    <tableColumn id="49" xr3:uid="{00000000-0010-0000-0E00-000031000000}" name="Fundstelle Investition je Anschlusspunkt" dataDxfId="359"/>
    <tableColumn id="34" xr3:uid="{00000000-0010-0000-0E00-000022000000}" name="Fundstelle Bemerkungen" dataDxfId="358"/>
    <tableColumn id="35" xr3:uid="{00000000-0010-0000-0E00-000023000000}" name="eigene Anmerkung" dataDxfId="357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56" dataDxfId="355">
  <autoFilter ref="A1:H22" xr:uid="{00000000-0009-0000-0100-000011000000}"/>
  <tableColumns count="8">
    <tableColumn id="1" xr3:uid="{00000000-0010-0000-1000-000001000000}" name="Prozess" dataDxfId="354"/>
    <tableColumn id="13" xr3:uid="{00000000-0010-0000-1000-00000D000000}" name="Sektorenzuordnung" dataDxfId="353"/>
    <tableColumn id="2" xr3:uid="{00000000-0010-0000-1000-000002000000}" name="Jahr" dataDxfId="352"/>
    <tableColumn id="4" xr3:uid="{00000000-0010-0000-1000-000004000000}" name="Anteil Potenzial pos. (an Wert von 2012)" dataDxfId="351" dataCellStyle="Prozent"/>
    <tableColumn id="5" xr3:uid="{00000000-0010-0000-1000-000005000000}" name="Anteil Potenzial neg. (an Wert von 2012)" dataDxfId="350"/>
    <tableColumn id="8" xr3:uid="{00000000-0010-0000-1000-000008000000}" name="Außentemperatur (°C)" dataDxfId="349"/>
    <tableColumn id="3" xr3:uid="{00000000-0010-0000-1000-000003000000}" name="Schaltdauer pos. (h)" dataDxfId="348">
      <calculatedColumnFormula>#REF!*Tabelle23418[[#This Row],[Außentemperatur (°C)]]*#REF!</calculatedColumnFormula>
    </tableColumn>
    <tableColumn id="7" xr3:uid="{00000000-0010-0000-1000-000007000000}" name="Quelle" dataDxfId="347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46" dataDxfId="345" tableBorderDxfId="344">
  <autoFilter ref="A1:GK433" xr:uid="{00000000-0009-0000-0100-000014000000}"/>
  <tableColumns count="193">
    <tableColumn id="1" xr3:uid="{96C1A4D3-6A1F-4A7D-B109-C343F82DBD09}" name="Prozess" dataDxfId="343"/>
    <tableColumn id="139" xr3:uid="{77CD41DB-B587-4BAF-97B3-88399F981AA7}" name="Ursprüngliche Prozessbezeichnung" dataDxfId="342"/>
    <tableColumn id="12" xr3:uid="{F9711526-A687-4C68-9238-E50FBB7E4798}" name="Branche" dataDxfId="341"/>
    <tableColumn id="67" xr3:uid="{69DD47C0-6589-45D7-9337-A472B1981A37}" name="Kürzel" dataDxfId="340"/>
    <tableColumn id="47" xr3:uid="{65C6DEFD-C9CC-4894-9C0C-1219AA9DAB5E}" name="Sektorenzuordnung" dataDxfId="339"/>
    <tableColumn id="10" xr3:uid="{8DF53305-4960-4546-A388-C53031162E35}" name="temporäre Sortierung" dataDxfId="338"/>
    <tableColumn id="2" xr3:uid="{F00BC4C5-2A15-496F-AD98-E7D87B5DD9BA}" name="Jahr" dataDxfId="337"/>
    <tableColumn id="52" xr3:uid="{E3DE3731-72D7-46DD-A2CF-D768E3786F0D}" name="Lastverschiebung" dataDxfId="336"/>
    <tableColumn id="53" xr3:uid="{1A556B2A-1BE1-401E-AD2B-67EC908CB56D}" name="Lastverzicht" dataDxfId="335"/>
    <tableColumn id="137" xr3:uid="{6C82D155-B7D6-4693-829B-960417F8AD0F}" name="Lasterhöhung" dataDxfId="334"/>
    <tableColumn id="3" xr3:uid="{1F81FAF9-2A40-41DF-AE77-5F7FC6639B46}" name="Potenzial pos. MW Durchschnitt min" dataDxfId="333"/>
    <tableColumn id="38" xr3:uid="{1AD52BDD-466A-465B-97B1-F4F6355914BB}" name="Potenzial pos. MW Durchschnitt" dataDxfId="332"/>
    <tableColumn id="5" xr3:uid="{303BE270-A0CE-4807-9C5E-52A46633F3E0}" name="Potenzial pos. MW Durchschnitt max" dataDxfId="331"/>
    <tableColumn id="193" xr3:uid="{AE4860A8-2767-4BE7-A97C-E2CDD13CE759}" name="Potenzial pos. MW Sommer WTT" dataDxfId="330"/>
    <tableColumn id="192" xr3:uid="{97C59C6D-94F0-4BA6-9402-5BD3E7F6E1EA}" name="Potenzial pos. MW min Sommer WTT" dataDxfId="329"/>
    <tableColumn id="191" xr3:uid="{D9014202-F95B-49BA-83E7-724BE38869A5}" name="Potenzial pos. MW max Sommer WTT" dataDxfId="328"/>
    <tableColumn id="190" xr3:uid="{EE352C57-82F2-4521-99D1-6170DAEDCD4A}" name="Potenzial neg. MW Sommer WTT" dataDxfId="327"/>
    <tableColumn id="189" xr3:uid="{D13B44B0-E05B-4E9D-B72F-C30EF58B4650}" name="Potenzial neg. MW min Sommer WTT" dataDxfId="326"/>
    <tableColumn id="188" xr3:uid="{38183D2C-57FC-4036-8C96-0504E688A664}" name="Potenzial neg. MW max Sommer WTT" dataDxfId="325"/>
    <tableColumn id="187" xr3:uid="{797DED71-5BF0-4800-A1BE-C10296E948E2}" name="Potenzial pos. MW Sommer SaT" dataDxfId="324"/>
    <tableColumn id="186" xr3:uid="{1BE44931-BE08-4FDE-8A27-94655EB4E4AF}" name="Potenzial pos. MW min Sommer SaT" dataDxfId="323"/>
    <tableColumn id="185" xr3:uid="{71C92766-354D-4609-BA27-105CCFC36D68}" name="Potenzial pos. MW max Sommer SaT" dataDxfId="322"/>
    <tableColumn id="184" xr3:uid="{4D15777C-6AD9-4924-B47E-FCB1FEBBFD32}" name="Potenzial neg. MW Sommer SaT" dataDxfId="321"/>
    <tableColumn id="183" xr3:uid="{E14ABB7E-ADFD-4080-98A4-51D3B7503856}" name="Potenzial neg. MW min Sommer SaT" dataDxfId="320"/>
    <tableColumn id="182" xr3:uid="{E2662B89-7FDE-4889-8DFB-3678D5BBBCFC}" name="Potenzial neg. MW max Sommer SaT" dataDxfId="319"/>
    <tableColumn id="181" xr3:uid="{DA71B415-7EAE-4732-99C0-6E8D1F00A89A}" name="Potenzial pos. MW Sommer SFN" dataDxfId="318"/>
    <tableColumn id="180" xr3:uid="{FE22F607-7542-40B0-A5F3-59A5EFA92A4C}" name="Potenzial pos. MW min Sommer SFN" dataDxfId="317"/>
    <tableColumn id="179" xr3:uid="{8FA68B8C-5829-4099-8FE5-4EFDCFEC8CB1}" name="Potenzial pos. MW max Sommer SFN" dataDxfId="316"/>
    <tableColumn id="178" xr3:uid="{5DAC66EB-F449-47EC-A7BA-8D631B4F1142}" name="Potenzial neg. MW Sommer SFN" dataDxfId="315"/>
    <tableColumn id="177" xr3:uid="{12609058-7223-4D0B-B034-EFEF5B64E08F}" name="Potenzial neg. MW min Sommer SFN" dataDxfId="314"/>
    <tableColumn id="176" xr3:uid="{2C3F3BBE-1450-447C-A989-2661491562D9}" name="Potenzial neg. MW max Sommer SFN" dataDxfId="313"/>
    <tableColumn id="175" xr3:uid="{D56AB454-0FF1-42AB-8830-B57D84F4D5FA}" name="Potenzial pos. MW Übergangszeit WTT" dataDxfId="312"/>
    <tableColumn id="174" xr3:uid="{B85729C1-6B11-4153-BFC8-C347E7644F5B}" name="Potenzial pos. MW min Übergangszeit WTT" dataDxfId="311"/>
    <tableColumn id="173" xr3:uid="{9E8A7C74-80B5-426B-8EF9-B8915DADE172}" name="Potenzial pos. MW max Übergangszeit WTT" dataDxfId="310"/>
    <tableColumn id="172" xr3:uid="{2207DCE5-B895-4D96-A013-AA9B880474AE}" name="Potenzial neg. MW Übergangszeit WTT" dataDxfId="309"/>
    <tableColumn id="171" xr3:uid="{8E01EEA4-05F1-4D1D-9AE8-AF0076E9A7A4}" name="Potenzial neg. MW min Übergangszeit WTT" dataDxfId="308"/>
    <tableColumn id="170" xr3:uid="{1B6600B5-5C08-4F22-9CBC-D3A6AF136EAF}" name="Potenzial neg. MW max Übergangszeit WTT" dataDxfId="307"/>
    <tableColumn id="169" xr3:uid="{FDBCB040-E87B-4F1A-8309-2409E3CB0249}" name="Potenzial pos. MW Übergangszeit SaT" dataDxfId="306"/>
    <tableColumn id="168" xr3:uid="{B99B39A9-8ED3-493D-917B-2B2EA666AA33}" name="Potenzial pos. MW min Übergangszeit SaT" dataDxfId="305"/>
    <tableColumn id="167" xr3:uid="{F915CEC5-EF4B-46C6-AD03-94D6DE377E2B}" name="Potenzial pos. MW max Übergangszeit SaT" dataDxfId="304"/>
    <tableColumn id="166" xr3:uid="{3C8C7952-5499-4E5A-8590-0A0B90AC8C66}" name="Potenzial neg. MW Übergangszeit SaT" dataDxfId="303"/>
    <tableColumn id="165" xr3:uid="{34BB7003-5064-4993-AA2D-06E1A261150B}" name="Potenzial neg. MW min Übergangszeit SaT" dataDxfId="302"/>
    <tableColumn id="164" xr3:uid="{FC59FC1A-7AA9-4D64-9B8F-7E9C4D270096}" name="Potenzial neg. MW max Übergangszeit SaT" dataDxfId="301"/>
    <tableColumn id="163" xr3:uid="{0E600C4F-260A-4E0A-A212-8DFC4BC7C5C6}" name="Potenzial pos. MW Übergangszeit SFN" dataDxfId="300"/>
    <tableColumn id="162" xr3:uid="{E8AC8775-51AA-4A99-ACB4-73D5E000BC7D}" name="Potenzial pos. MW min Übergangszeit SFN" dataDxfId="299"/>
    <tableColumn id="161" xr3:uid="{3246D209-1395-4FEA-B0F5-E923BCAD4F0C}" name="Potenzial pos. MW max Übergangszeit SFN" dataDxfId="298"/>
    <tableColumn id="160" xr3:uid="{F1B14430-1C38-425C-82A9-16A1BD0DCA64}" name="Potenzial neg. MW Übergangszeit SFN" dataDxfId="297"/>
    <tableColumn id="159" xr3:uid="{B67A209A-031F-411E-97C7-3B28987D97AC}" name="Potenzial neg. MW min Übergangszeit SFN" dataDxfId="296"/>
    <tableColumn id="158" xr3:uid="{35D96867-E3C6-422C-B776-016D1AEB2D93}" name="Potenzial neg. MW max Übergangszeit SFN" dataDxfId="295"/>
    <tableColumn id="157" xr3:uid="{B1E432A3-F533-4305-A414-82E382762A30}" name="Potenzial pos. MW Winter WTT" dataDxfId="294"/>
    <tableColumn id="156" xr3:uid="{FFAE15D9-86ED-4C54-A3F8-0D6FA9C91193}" name="Potenzial pos. MW min Winter WTT" dataDxfId="293"/>
    <tableColumn id="155" xr3:uid="{3A72A55A-AAA9-4401-BC22-1C70E8644AF0}" name="Potenzial pos. MW max Winter WTT" dataDxfId="292"/>
    <tableColumn id="154" xr3:uid="{C92F0B53-27F5-4E7B-B589-B568BADCDB04}" name="Potenzial neg. MW Winter WTT" dataDxfId="291"/>
    <tableColumn id="153" xr3:uid="{3FEB7A3B-ED38-4682-93A4-A9584C984EDF}" name="Potenzial neg. MW min Winter WTT" dataDxfId="290"/>
    <tableColumn id="152" xr3:uid="{DC8B61C1-274C-4E61-B131-6997470160DB}" name="Potenzial neg. MW max Winter WTT" dataDxfId="289"/>
    <tableColumn id="151" xr3:uid="{7E13294E-12F7-44A8-8A84-3CFA0A6B06AC}" name="Potenzial pos. MW Winter SaT" dataDxfId="288"/>
    <tableColumn id="150" xr3:uid="{4D2B1338-B3AA-4B2C-ADC4-117A173B5B09}" name="Potenzial pos. MW min Winter SaT" dataDxfId="287"/>
    <tableColumn id="149" xr3:uid="{131D79BB-3014-4466-AF58-3CFA7B2E7D9A}" name="Potenzial pos. MW max Winter SaT" dataDxfId="286"/>
    <tableColumn id="148" xr3:uid="{E1701B5C-4444-414B-AD88-B5502BED5AF5}" name="Potenzial neg. MW Winter SaT" dataDxfId="285"/>
    <tableColumn id="147" xr3:uid="{2B71BA37-9727-43BD-9A78-992A4FE579CD}" name="Potenzial neg. MW min Winter SaT" dataDxfId="284"/>
    <tableColumn id="146" xr3:uid="{309C7A8C-0AA5-4736-85A0-0AB029E1EDEF}" name="Potenzial neg. MW max Winter SaT" dataDxfId="283"/>
    <tableColumn id="145" xr3:uid="{585444E5-2424-447D-9082-498E9CA3886D}" name="Potenzial pos. MW Winter SFN" dataDxfId="282"/>
    <tableColumn id="144" xr3:uid="{F4A3C6DD-7E3D-4C4C-B1AA-417FA6CE59FE}" name="Potenzial pos. MW min Winter SFN" dataDxfId="281"/>
    <tableColumn id="143" xr3:uid="{62FCBA83-EE49-46A2-B0CA-9FC18615C803}" name="Potenzial pos. MW max Winter SFN" dataDxfId="280"/>
    <tableColumn id="142" xr3:uid="{C39B9B78-B6E5-47D3-96E8-28F0913D6947}" name="Potenzial neg. MW Winter SFN" dataDxfId="279"/>
    <tableColumn id="141" xr3:uid="{34A41BDE-76D0-4296-A456-D28D7122B56A}" name="Potenzial neg. MW min Winter SFN" dataDxfId="278"/>
    <tableColumn id="140" xr3:uid="{4463438D-F9FF-4DB9-AC72-E25649445308}" name="Potenzial neg. MW max Winter SFN" dataDxfId="277"/>
    <tableColumn id="37" xr3:uid="{3E8D265B-CD13-4EBF-AAED-53C0E5294CE2}" name="ausgewiesenes Pot. pos. MW (falls abweichend)" dataDxfId="276"/>
    <tableColumn id="50" xr3:uid="{FCA03C0D-8E63-4E97-98CD-55CDBCA86AFA}" name="Potenzial neg. MW Durchschnitt min" dataDxfId="275"/>
    <tableColumn id="41" xr3:uid="{BC0E3B8B-A8FC-41FD-A335-18F2EFFFD66F}" name="Potenzial neg. MW Durchschnitt" dataDxfId="274"/>
    <tableColumn id="6" xr3:uid="{647C1D17-07D8-4497-8317-9813F38B058C}" name="Potenzial neg. MW Durchschnitt max" dataDxfId="273"/>
    <tableColumn id="77" xr3:uid="{38977BE2-050B-4CC9-BE90-4DAE1A404035}" name="Mindestleistung MW min" dataDxfId="272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71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70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69" dataCellStyle="Prozent"/>
    <tableColumn id="69" xr3:uid="{1D8D0F31-3B58-43CA-87EA-C5285FEB484A}" name="Mindestauslastung durch" dataDxfId="268" dataCellStyle="Prozent"/>
    <tableColumn id="68" xr3:uid="{71A77A65-BD78-4E29-905D-E6FDEFCA9BF2}" name="Mindestauslastung max" dataDxfId="267" dataCellStyle="Prozent"/>
    <tableColumn id="36" xr3:uid="{46F9D17C-B74D-401D-A454-943C83672A89}" name="flexibilisierbarer Anteil" dataDxfId="266" dataCellStyle="Prozent"/>
    <tableColumn id="116" xr3:uid="{8362C7F5-5CDB-406E-8E93-DE43C59A98DA}" name="Durchschnittsauslastung durch Sommer WTT" dataDxfId="265" dataCellStyle="Prozent"/>
    <tableColumn id="117" xr3:uid="{B07582F7-DF1E-4B8B-A9E9-72D08D283DB4}" name="Durchschnittsauslastung min Sommer WTT" dataDxfId="264" dataCellStyle="Prozent"/>
    <tableColumn id="118" xr3:uid="{01B869B4-6A21-473E-8337-8CE0F32CCF8C}" name="Durchschnittsauslastung max Sommer WTT" dataDxfId="263" dataCellStyle="Prozent"/>
    <tableColumn id="113" xr3:uid="{78386D00-162E-402B-859C-37B1ED5C8EA4}" name="Durchschnittsauslastung durch Sommer SaT" dataDxfId="262" dataCellStyle="Prozent"/>
    <tableColumn id="114" xr3:uid="{A3837996-D6BC-4E1B-BF32-13FAA7408812}" name="Durchschnittsauslastung min Sommer SaT" dataDxfId="261" dataCellStyle="Prozent"/>
    <tableColumn id="115" xr3:uid="{D65DD912-0E9D-47A6-8802-D33CEFA142CE}" name="Durchschnittsauslastung max Sommer SaT" dataDxfId="260" dataCellStyle="Prozent"/>
    <tableColumn id="51" xr3:uid="{E3BEFBDF-1CC5-43A0-BF79-991D856A170B}" name="Durchschnittsauslastung durch Sommer SFN" dataDxfId="259" dataCellStyle="Prozent"/>
    <tableColumn id="65" xr3:uid="{0EDFF339-B594-45BC-AA94-A3C96A3E1053}" name="Durchschnittsauslastung min Sommer SFN" dataDxfId="258" dataCellStyle="Prozent"/>
    <tableColumn id="74" xr3:uid="{99342E1F-5558-405E-B844-10AAB3487349}" name="Durchschnittsauslastung max Sommer SFN" dataDxfId="257" dataCellStyle="Prozent"/>
    <tableColumn id="136" xr3:uid="{F1EC9C7C-7F19-42CB-9E62-C257A5826E42}" name="Durchschnittsauslastung durch Übergangszeit WTT" dataDxfId="256" dataCellStyle="Prozent"/>
    <tableColumn id="135" xr3:uid="{7642A2E3-B342-4D68-9ABC-C8A9B852DCBF}" name="Durchschnittsauslastung min Übergangszeit WTT" dataDxfId="255" dataCellStyle="Prozent"/>
    <tableColumn id="134" xr3:uid="{1C601534-90C4-4380-8649-1AF684159A32}" name="Durchschnittsauslastung max Übergangszeit WTT" dataDxfId="254" dataCellStyle="Prozent"/>
    <tableColumn id="133" xr3:uid="{2F6FF9FB-E8C1-4DEC-BDA8-A7DFA431E327}" name="Durchschnittsauslastung durch Übergangszeit SaT" dataDxfId="253" dataCellStyle="Prozent"/>
    <tableColumn id="132" xr3:uid="{00E82B3C-28F5-40C4-93A4-853537DEE257}" name="Durchschnittsauslastung min Übergangszeit SaT" dataDxfId="252" dataCellStyle="Prozent"/>
    <tableColumn id="131" xr3:uid="{44741019-BE35-45C4-8199-C13583E6E824}" name="Durchschnittsauslastung max Übergangszeit SaT" dataDxfId="251" dataCellStyle="Prozent"/>
    <tableColumn id="130" xr3:uid="{7A0E8767-D004-4024-933D-72401F24A2D7}" name="Durchschnittsauslastung durch Übergangszeit SFN" dataDxfId="250" dataCellStyle="Prozent"/>
    <tableColumn id="129" xr3:uid="{316704A6-29D3-4579-8613-EFF9A7B0A6BB}" name="Durchschnittsauslastung min Übergangszeit SFN" dataDxfId="249" dataCellStyle="Prozent"/>
    <tableColumn id="128" xr3:uid="{49B36A64-1113-4C32-B404-62D94FE6359B}" name="Durchschnittsauslastung max Übergangszeit SFN" dataDxfId="248" dataCellStyle="Prozent"/>
    <tableColumn id="127" xr3:uid="{5BAD3DB5-3262-4341-A16E-563D839D0507}" name="Durchschnittsauslastung durch Winter WTT" dataDxfId="247" dataCellStyle="Prozent"/>
    <tableColumn id="126" xr3:uid="{BE193C46-FAE8-4357-ACB6-2DE1B826EF20}" name="Durchschnittsauslastung min Winter WTT" dataDxfId="246" dataCellStyle="Prozent"/>
    <tableColumn id="125" xr3:uid="{D10C1DEC-FB41-461B-8234-4ACC83B23FA2}" name="Durchschnittsauslastung max Winter WTT" dataDxfId="245" dataCellStyle="Prozent"/>
    <tableColumn id="124" xr3:uid="{A940F8A0-8421-4061-B0DF-E9F03604224D}" name="Durchschnittsauslastung durch Winter SaT" dataDxfId="244" dataCellStyle="Prozent"/>
    <tableColumn id="123" xr3:uid="{ACF1A946-9DA1-44DC-B403-03F6CB39993F}" name="Durchschnittsauslastung min Winter SaT" dataDxfId="243" dataCellStyle="Prozent"/>
    <tableColumn id="122" xr3:uid="{67502B37-D509-4BE3-A2D8-BF84CD4303E4}" name="Durchschnittsauslastung max Winter SaT" dataDxfId="242" dataCellStyle="Prozent"/>
    <tableColumn id="121" xr3:uid="{D4B8CEA1-C449-46C5-9ED5-5A9770D21AC3}" name="Durchschnittsauslastung durch Winter SFN" dataDxfId="241" dataCellStyle="Prozent"/>
    <tableColumn id="120" xr3:uid="{4509EA9A-F06D-4081-B047-A47312D359A5}" name="Durchschnittsauslastung min Winter SFN" dataDxfId="240" dataCellStyle="Prozent"/>
    <tableColumn id="119" xr3:uid="{F0A27C97-608E-40EC-9F31-C549EF968EAE}" name="Durchschnittsauslastung max Winter SFN" dataDxfId="239" dataCellStyle="Prozent"/>
    <tableColumn id="78" xr3:uid="{9721A768-6569-4D7F-8443-A114D563D41D}" name="Durchschnittsauslastung min" dataDxfId="238" dataCellStyle="Prozent"/>
    <tableColumn id="70" xr3:uid="{D4A32855-AD9B-4155-A520-4FF71C41E17C}" name="Durchschnittsauslastung durch" dataDxfId="237" dataCellStyle="Prozent"/>
    <tableColumn id="71" xr3:uid="{1DC245D0-7EEE-4C52-A40B-2E7D27EEE5F0}" name="Durchschnittsauslastung max" dataDxfId="236" dataCellStyle="Prozent"/>
    <tableColumn id="80" xr3:uid="{20FCE5C2-79F3-4F83-91C5-5EB1A99E5FBA}" name="Durchschnittliche Leistung MW min" dataDxfId="235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34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33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32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31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30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29"/>
    <tableColumn id="75" xr3:uid="{A6F36E54-E942-4956-A970-AC47F9645B91}" name="Maximalauslastung durch" dataDxfId="228"/>
    <tableColumn id="46" xr3:uid="{567368D0-55E8-40E2-A588-1CB5D70C5BA4}" name="Maximalauslastung max" dataDxfId="227" dataCellStyle="Prozent"/>
    <tableColumn id="17" xr3:uid="{CFD87AFD-9CA7-43B2-9F26-C6291946EDB9}" name="installierte Leistung MW durch" dataDxfId="226" dataCellStyle="Prozent"/>
    <tableColumn id="72" xr3:uid="{6208E59A-3998-44CB-9166-A8DA677DA3D2}" name="installierte Leistung MW min" dataDxfId="225" dataCellStyle="Prozent"/>
    <tableColumn id="73" xr3:uid="{F5840475-D9D8-48B1-86FA-F6FCD9C3D3A0}" name="installierte Leistung MW max" dataDxfId="224"/>
    <tableColumn id="85" xr3:uid="{6D39EBD3-F34C-445D-8AE1-8CA06AEEA18D}" name="Aktivierungsdauer (h) pos durch" dataDxfId="223"/>
    <tableColumn id="84" xr3:uid="{6D671022-658E-4C72-A1D9-057C6BC37BCB}" name="Aktivierungsdauer (h) pos min" dataDxfId="222"/>
    <tableColumn id="11" xr3:uid="{1BD25A5A-95C2-4301-8734-EE02772AAFBE}" name="Aktivierungsdauer (h) pos max" dataDxfId="221"/>
    <tableColumn id="89" xr3:uid="{395C442F-F8CB-4002-AABD-EBBE68158BD5}" name="Aktivierungsdauer (h) neg durch" dataDxfId="220"/>
    <tableColumn id="88" xr3:uid="{DA0C4FD3-7572-4D01-9F2A-0A8616840F25}" name="Aktivierungsdauer (h) neg min" dataDxfId="219"/>
    <tableColumn id="87" xr3:uid="{98AD8273-37FC-424F-AB3F-0A2DD855A304}" name="Aktivierungsdauer (h) neg max" dataDxfId="218"/>
    <tableColumn id="86" xr3:uid="{3FF1DA92-A7EA-4CF9-8E46-B0393AA8D1B5}" name="Schaltdauer pos. (h)" dataDxfId="217"/>
    <tableColumn id="61" xr3:uid="{4EC98DC2-3B24-4F8D-9B15-ED60B8ED031A}" name="Schaltdauer pos. min (h)" dataDxfId="216"/>
    <tableColumn id="60" xr3:uid="{B238AD60-97A6-439B-8144-B606870B962F}" name="Schaltdauer pos. max (h)" dataDxfId="215"/>
    <tableColumn id="90" xr3:uid="{CE57C603-4401-4E7B-933E-389ADC198EEF}" name="Schaltdauer neg. (h)" dataDxfId="214"/>
    <tableColumn id="63" xr3:uid="{E862A055-D738-465E-AE25-4783B8AB818B}" name="Schaltdauer neg min (h)" dataDxfId="213"/>
    <tableColumn id="62" xr3:uid="{9AD5177D-9B5B-4A39-84C6-AC66C0B54E9E}" name="Schaltdauer neg. max (h)" dataDxfId="212"/>
    <tableColumn id="91" xr3:uid="{ED2F4282-7F14-4B80-9E55-C564730FD51C}" name="Verschiebedauer (h)" dataDxfId="211"/>
    <tableColumn id="42" xr3:uid="{867F55B9-CF06-43B9-B5D6-E3445C1D6AD6}" name="Verschiebedauer min. (h)" dataDxfId="210"/>
    <tableColumn id="4" xr3:uid="{45B28C7B-EE73-4CB9-9261-B2141A75A061}" name="Verschiebedauer max (h)" dataDxfId="209"/>
    <tableColumn id="13" xr3:uid="{262CD2DE-0921-4AF3-93EC-66207555112C}" name="Verschiebedauer bei sofortiger Kompensation (h)" dataDxfId="208"/>
    <tableColumn id="93" xr3:uid="{EFD7F299-BD86-4DF3-87D2-EBF8891D8AAA}" name="Verschiebedauer bei sofortiger Kompensation (h) min" dataDxfId="207"/>
    <tableColumn id="92" xr3:uid="{570ADB21-7B8F-43EB-816D-A3C5E247BEEC}" name="Verschiebedauer bei sofortiger Kompensation (h) max" dataDxfId="206"/>
    <tableColumn id="14" xr3:uid="{A0708214-E90D-4D38-8089-67C518B5F01F}" name="Regenerationsdauer (h)" dataDxfId="205"/>
    <tableColumn id="15" xr3:uid="{6AB4E7E6-1BED-4AFE-BDD0-AFBC661251DB}" name="Zeitverfügbarkeit?" dataDxfId="204"/>
    <tableColumn id="16" xr3:uid="{2166F127-9A1B-4FB6-9B54-83603DFA3EDB}" name="max. Abrufhäufigkeit pro Woche" dataDxfId="203"/>
    <tableColumn id="40" xr3:uid="{AA3187DD-25D4-4FD6-A0B9-4357059EC5D7}" name="max. Abrufhäufigkeit pro Jahr pos durch" dataDxfId="202"/>
    <tableColumn id="95" xr3:uid="{3CFCBD6A-123B-46B5-9316-FC67C0CEBC0B}" name="max. Abrufhäufigkeit pro Jahr pos min" dataDxfId="201"/>
    <tableColumn id="94" xr3:uid="{500F092D-C9F3-40B1-A5F8-5FA51617F38A}" name="max. Abrufhäufigkeit pro Jahr pos max" dataDxfId="200"/>
    <tableColumn id="96" xr3:uid="{4BB4FBD3-DF47-4526-8B0A-97A3EEB64CDC}" name="max. Abrufhäufigkeit pro Jahr pos Lastverzicht durch" dataDxfId="199"/>
    <tableColumn id="97" xr3:uid="{AE1B6893-1271-4BBB-9C42-3EBCE52462C0}" name="max. Abrufhäufigkeit pro Jahr pos Lastverzicht min" dataDxfId="198"/>
    <tableColumn id="98" xr3:uid="{B9717376-50B1-43B3-A9A4-E4EE3EAA15FE}" name="max. Abrufhäufigkeit pro Jahr pos Lastverzicht max" dataDxfId="197"/>
    <tableColumn id="99" xr3:uid="{CB3E25D7-559F-4121-8D9A-0061EF4C9301}" name="max. Abrufhäufigkeit pro Jahr neg durch" dataDxfId="196"/>
    <tableColumn id="100" xr3:uid="{442EC75B-33FB-42DE-B012-B9D985E9F5D8}" name="max. Abrufhäufigkeit pro Jahr neg min" dataDxfId="195"/>
    <tableColumn id="101" xr3:uid="{6244B367-2E83-41F9-9430-60162E7A5AD3}" name="max. Abrufhäufigkeit pro Jahr neg max" dataDxfId="194"/>
    <tableColumn id="102" xr3:uid="{72C47A40-5F40-434C-BD0A-F2189C5EF273}" name="Investitionsausgaben €_2018/kW" dataDxfId="193"/>
    <tableColumn id="57" xr3:uid="{CDD1FC1E-00D7-47BA-8607-3950F6D4160E}" name="min. Investitionsausgaben €_2018/kW" dataDxfId="192"/>
    <tableColumn id="56" xr3:uid="{0DAAADA7-2B0A-48B5-82A4-3ED941232CD2}" name="max. Investitionsausgaben €_2018/kW" dataDxfId="191"/>
    <tableColumn id="104" xr3:uid="{5CCA91B8-BC92-4F20-94A4-DF0646CD3B3D}" name="var. Kosten Lastverzicht €_2018/MWh" dataDxfId="190"/>
    <tableColumn id="59" xr3:uid="{3809DADE-E734-4832-8E4E-6D5EFC21526C}" name="var. Kosten Lastverzicht €_2018/MWh min" dataDxfId="189"/>
    <tableColumn id="58" xr3:uid="{0B2E2431-8B85-4F11-9976-C3874BBB61D2}" name="var. Kosten Lastverzicht €_2018/MWh max" dataDxfId="188"/>
    <tableColumn id="107" xr3:uid="{154DDBFF-88AF-440A-A306-3D6EF29D9506}" name="var. Kosten Lastabwurf €_2018/MWh" dataDxfId="187"/>
    <tableColumn id="106" xr3:uid="{D19FC880-69FB-4D13-A487-DAF5C723C3FF}" name="var. Kosten Lastabwurf €_2018/MWh min" dataDxfId="186"/>
    <tableColumn id="105" xr3:uid="{45D97679-0911-4002-8FFD-1A1701A53823}" name="var. Kosten Lastabwurf €_2018/MWh max" dataDxfId="185"/>
    <tableColumn id="112" xr3:uid="{9D37D8DE-BE2B-4615-A274-F7F1BABE19BF}" name="c_Ber_RL_pos durch €/MW*d" dataDxfId="184"/>
    <tableColumn id="111" xr3:uid="{C8A2EA40-9AC2-4E37-8F9C-81D8B90FB108}" name="c_Ber_RL_pos €/MW*d min" dataDxfId="183"/>
    <tableColumn id="110" xr3:uid="{B35EB89B-B09F-4C97-B6A5-1C2493B14DB3}" name="c_Ber_RL_pos €/MW*d max" dataDxfId="182"/>
    <tableColumn id="109" xr3:uid="{80044E1A-F4D5-4AF8-8065-5530D5CE5E4F}" name="c_Ber_RL_neg €/MW*d" dataDxfId="181"/>
    <tableColumn id="108" xr3:uid="{6C93DEAD-70A3-4687-8BBF-DBC9171FB479}" name="c_Ber_RL_neg €/MW*d min" dataDxfId="180"/>
    <tableColumn id="18" xr3:uid="{778B9C92-BD47-40E4-91D7-55EB8E504D1B}" name="c_Ber_RL_neg €/MW*d max" dataDxfId="179"/>
    <tableColumn id="103" xr3:uid="{4B621135-63ED-4984-9DB3-4204BC7C78E4}" name="fixe Kosten €_2018/kW*a" dataDxfId="178"/>
    <tableColumn id="64" xr3:uid="{391F51CB-B0A1-4419-BF68-2FDC0C004E17}" name="fixe Kosten €_2018/kW*a min" dataDxfId="177"/>
    <tableColumn id="19" xr3:uid="{D8148E41-A79B-41F9-A21B-F86BDDA5F987}" name="fixe Kosten €_2018/kW*a max" dataDxfId="176"/>
    <tableColumn id="48" xr3:uid="{146F43A4-4AEB-4FBB-856C-5776F9539CA7}" name="Investitionsausgaben je Anschlusspunkt (€_2018)" dataDxfId="175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74"/>
    <tableColumn id="55" xr3:uid="{30E44965-005B-44FF-B42D-8B7573827709}" name="Fundstelle Lastverschiebung" dataDxfId="173"/>
    <tableColumn id="54" xr3:uid="{4266F067-D36E-4CFC-AE87-918862E2E95E}" name="Fundstelle Lastverzicht" dataDxfId="172"/>
    <tableColumn id="138" xr3:uid="{74715E00-033C-48C2-96C2-80180EE10F96}" name="Fundstelle Lasterhöhung" dataDxfId="171"/>
    <tableColumn id="21" xr3:uid="{CCC4BB04-7584-42B7-BA11-F10C4E67F8F5}" name="Fundstelle Potenzial pos." dataDxfId="170"/>
    <tableColumn id="22" xr3:uid="{A8065E2A-D5AC-451C-9697-AA52C967B605}" name="Fundstelle Potenzial neg." dataDxfId="169"/>
    <tableColumn id="23" xr3:uid="{196FBFE6-979E-4EFF-A9B8-19598F4637AD}" name="Fundstelle Mindestleistung" dataDxfId="168"/>
    <tableColumn id="43" xr3:uid="{669AA592-F733-4CC5-8FC1-B016C09ADB63}" name="Fundstelle flexibilisierbarer Anteil" dataDxfId="167"/>
    <tableColumn id="66" xr3:uid="{7CFCCF7B-3D11-4D42-A494-432686973801}" name="Fundstelle Durchschnittsauslastung" dataDxfId="166"/>
    <tableColumn id="45" xr3:uid="{E5563A05-86B8-48ED-AA7C-8E3D062806BD}" name="Fundstelle durchschnittliche Leistung" dataDxfId="165"/>
    <tableColumn id="24" xr3:uid="{19E8AE68-2903-4ECF-AD55-903C2E57859E}" name="Fundstelle Maximalleistung" dataDxfId="164"/>
    <tableColumn id="25" xr3:uid="{2AC2C3DA-717C-4192-915D-93BCCE615089}" name="Fundstelle installierte Leistung" dataDxfId="163"/>
    <tableColumn id="39" xr3:uid="{A7570360-681E-4B2E-BCDB-693BCFE3EA0B}" name="Fundstelle Aktivierungsdauer" dataDxfId="162"/>
    <tableColumn id="26" xr3:uid="{C8693876-990A-445D-83E1-6C478EDBA2E4}" name="Fundstelle Schaltdauer" dataDxfId="161"/>
    <tableColumn id="27" xr3:uid="{2E2BEDF4-44D2-498A-9610-5EE3F8F0C811}" name="Fundstelle Verschiebedauer" dataDxfId="160"/>
    <tableColumn id="28" xr3:uid="{F767BAC8-E2B4-4FDE-A4B9-B563F3EDDB90}" name="Fundstelle Regenerationsdauer" dataDxfId="159"/>
    <tableColumn id="29" xr3:uid="{77FC9CA1-8158-4F7A-987F-235F2470B602}" name="Fundstelle Zeitverfügbarkeit" dataDxfId="158"/>
    <tableColumn id="30" xr3:uid="{4EB9E033-367E-46DF-A5A0-51DF75221305}" name="Fundstelle max. Abrufhäufigkeit" dataDxfId="157"/>
    <tableColumn id="31" xr3:uid="{74902221-EBB2-4AC4-B8FB-1D679FB311AF}" name="Fundstelle Invest" dataDxfId="156"/>
    <tableColumn id="32" xr3:uid="{01315A07-AEF9-4B88-90F0-FF87331CF923}" name="Fundstelle var. Kosten" dataDxfId="155"/>
    <tableColumn id="33" xr3:uid="{DE820D77-29ED-4D1E-975B-DAA6C8560D7C}" name="Fundstelle fixe Kosten" dataDxfId="154"/>
    <tableColumn id="49" xr3:uid="{F36FD5F7-E938-438C-BCB2-440BCC154780}" name="Fundstelle Investition je Anschlusspunkt" dataDxfId="153"/>
    <tableColumn id="34" xr3:uid="{C3F49686-5E7D-418F-AD2A-EC2B6AFB6384}" name="Fundstelle Bemerkungen" dataDxfId="152"/>
    <tableColumn id="35" xr3:uid="{2C7AB34C-28DC-4969-A46D-327462B4824A}" name="eigene Anmerkung" dataDxfId="151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50">
  <autoFilter ref="A1:D32" xr:uid="{00000000-0009-0000-0100-000020000000}"/>
  <tableColumns count="4">
    <tableColumn id="1" xr3:uid="{00000000-0010-0000-0A00-000001000000}" name="Prozess" dataDxfId="149"/>
    <tableColumn id="16" xr3:uid="{00000000-0010-0000-0A00-000010000000}" name="Sektorenzuordnung" dataDxfId="148"/>
    <tableColumn id="13" xr3:uid="{00000000-0010-0000-0A00-00000D000000}" name="Gruppenzuordnung" dataDxfId="147"/>
    <tableColumn id="7" xr3:uid="{00000000-0010-0000-0A00-000007000000}" name="Quelle" dataDxfId="146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145" dataDxfId="144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143"/>
    <tableColumn id="2" xr3:uid="{00000000-0010-0000-1C00-000002000000}" name="Kurzbeleg" dataDxfId="142"/>
    <tableColumn id="3" xr3:uid="{00000000-0010-0000-1C00-000003000000}" name="Titel" dataDxfId="141"/>
    <tableColumn id="4" xr3:uid="{00000000-0010-0000-1C00-000004000000}" name="Werte eingepflegt" dataDxfId="140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99" totalsRowShown="0" headerRowDxfId="139" dataDxfId="138">
  <autoFilter ref="A1:E99" xr:uid="{00000000-0009-0000-0100-000009000000}"/>
  <tableColumns count="5">
    <tableColumn id="1" xr3:uid="{00000000-0010-0000-1D00-000001000000}" name="Prozess" dataDxfId="137"/>
    <tableColumn id="5" xr3:uid="{00000000-0010-0000-1D00-000005000000}" name="Spezifizierung Verfahren" dataDxfId="136"/>
    <tableColumn id="2" xr3:uid="{00000000-0010-0000-1D00-000002000000}" name="Sektorenzuordnung" dataDxfId="135"/>
    <tableColumn id="3" xr3:uid="{00000000-0010-0000-1D00-000003000000}" name="binär" dataDxfId="134"/>
    <tableColumn id="4" xr3:uid="{00000000-0010-0000-1D00-000004000000}" name="Enscheidung" dataDxfId="133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132" dataDxfId="131">
  <autoFilter ref="A1:F99" xr:uid="{222969A2-424B-4D1C-97BC-4C7E13940DB0}"/>
  <tableColumns count="6">
    <tableColumn id="1" xr3:uid="{C8C8A81A-7560-4959-B391-5C9F555378F2}" name="Prozess (ursprüngliche Kategorien)" dataDxfId="130"/>
    <tableColumn id="2" xr3:uid="{C419B9E9-C634-4A69-B1A0-FBD49AA95678}" name="Prozesskategorie 1" dataDxfId="129"/>
    <tableColumn id="3" xr3:uid="{5497BC71-22C9-4BB8-B4DC-3BEB062DFE57}" name="Prozesskategorie 2" dataDxfId="128"/>
    <tableColumn id="4" xr3:uid="{94695E2C-A740-4A98-913B-CF0A63086A1F}" name="Prozesskategorie 3" dataDxfId="127"/>
    <tableColumn id="5" xr3:uid="{6BE7F5DE-7121-4923-BBBE-CB2CC17535F6}" name="Einstufung" dataDxfId="126"/>
    <tableColumn id="6" xr3:uid="{172AE78C-BFE5-4F1D-AE6E-900556E7B03D}" name="Nutzung Prozesskategorie 1" dataDxfId="125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8F6F691-696B-4706-87BE-6F0B94DAE554}" name="Tabelle93942" displayName="Tabelle93942" ref="A1:F99" totalsRowShown="0" headerRowDxfId="124" dataDxfId="123">
  <autoFilter ref="A1:F99" xr:uid="{00000000-0009-0000-0100-000009000000}"/>
  <tableColumns count="6">
    <tableColumn id="1" xr3:uid="{E3712D0D-FFF3-4ED4-BB0E-9464ACB819D3}" name="Prozess (ursprüngliche Kategorien)" dataDxfId="122"/>
    <tableColumn id="5" xr3:uid="{83219644-7F66-4A22-BAEA-46A7B3E0BF4F}" name="Prozesskategorie 1" dataDxfId="121"/>
    <tableColumn id="2" xr3:uid="{D6C81BE8-672B-4496-91C9-F929E0C30C9D}" name="Prozesskategorie 2" dataDxfId="120"/>
    <tableColumn id="3" xr3:uid="{02C2C932-6F1D-4F6C-A033-DD5925126600}" name="Prozesskategorie 3" dataDxfId="119"/>
    <tableColumn id="4" xr3:uid="{1559C907-A170-42F4-9A15-3783CA210916}" name="Einstufung" dataDxfId="118"/>
    <tableColumn id="6" xr3:uid="{A54CBD8D-5940-4EE6-B313-0856C7E294FA}" name="Nutzung Prozesskategorie 1" dataDxfId="117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B10DDE9-64FB-4441-A11B-283E4C152313}" name="Tabelle941" displayName="Tabelle941" ref="A1:B99" totalsRowShown="0" headerRowDxfId="116" dataDxfId="115">
  <autoFilter ref="A1:B99" xr:uid="{00000000-0009-0000-0100-000009000000}"/>
  <tableColumns count="2">
    <tableColumn id="1" xr3:uid="{176116C4-33EC-44FD-94A7-6095DB70CA7A}" name="Prozess" dataDxfId="114"/>
    <tableColumn id="5" xr3:uid="{CCBEFC34-AA7E-4CCF-B970-4CE747725CB0}" name="Farbe (matplotlib strings)" dataDxfId="113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112" dataDxfId="111" tableBorderDxfId="110">
  <autoFilter ref="A1:AZ2" xr:uid="{00000000-0009-0000-0100-000007000000}"/>
  <tableColumns count="52">
    <tableColumn id="1" xr3:uid="{00000000-0010-0000-1E00-000001000000}" name="Prozess" dataDxfId="109"/>
    <tableColumn id="47" xr3:uid="{00000000-0010-0000-1E00-00002F000000}" name="Sektorenzuordnung" dataDxfId="108"/>
    <tableColumn id="2" xr3:uid="{00000000-0010-0000-1E00-000002000000}" name="Jahr" dataDxfId="107"/>
    <tableColumn id="53" xr3:uid="{00000000-0010-0000-1E00-000035000000}" name="Lastverschiebung" dataDxfId="106"/>
    <tableColumn id="52" xr3:uid="{00000000-0010-0000-1E00-000034000000}" name="Lastverzicht" dataDxfId="105"/>
    <tableColumn id="3" xr3:uid="{00000000-0010-0000-1E00-000003000000}" name="Potenzial pos. min MW" dataDxfId="104"/>
    <tableColumn id="4" xr3:uid="{00000000-0010-0000-1E00-000004000000}" name="Potenzial pos. MW Durchschnitt" dataDxfId="103"/>
    <tableColumn id="38" xr3:uid="{00000000-0010-0000-1E00-000026000000}" name="Potenzial pos. max MW" dataDxfId="102"/>
    <tableColumn id="5" xr3:uid="{00000000-0010-0000-1E00-000005000000}" name="ausgewiesenes Pot. pos. MW (falls abweichend)" dataDxfId="101"/>
    <tableColumn id="37" xr3:uid="{00000000-0010-0000-1E00-000025000000}" name="Potenzial neg. min MW2" dataDxfId="100"/>
    <tableColumn id="50" xr3:uid="{00000000-0010-0000-1E00-000032000000}" name="Potenzial neg. MW Durchschnitt4" dataDxfId="99"/>
    <tableColumn id="42" xr3:uid="{00000000-0010-0000-1E00-00002A000000}" name="Potenzial neg. max MW" dataDxfId="98"/>
    <tableColumn id="41" xr3:uid="{00000000-0010-0000-1E00-000029000000}" name="Mindestleistung MW" dataDxfId="97"/>
    <tableColumn id="6" xr3:uid="{00000000-0010-0000-1E00-000006000000}" name="Mindestauslastung" dataDxfId="96" dataCellStyle="Prozent"/>
    <tableColumn id="7" xr3:uid="{00000000-0010-0000-1E00-000007000000}" name="flexibilisierbarer Anteil" dataDxfId="95" dataCellStyle="Prozent"/>
    <tableColumn id="8" xr3:uid="{00000000-0010-0000-1E00-000008000000}" name="Durchschnittliche Leistung MW" dataDxfId="94" dataCellStyle="Prozent"/>
    <tableColumn id="36" xr3:uid="{00000000-0010-0000-1E00-000024000000}" name="Maximalleistung MW" dataDxfId="93" dataCellStyle="Prozent"/>
    <tableColumn id="44" xr3:uid="{00000000-0010-0000-1E00-00002C000000}" name="Maximalauslastung" dataDxfId="92" dataCellStyle="Prozent"/>
    <tableColumn id="9" xr3:uid="{00000000-0010-0000-1E00-000009000000}" name="installierte Leistung MW" dataDxfId="91"/>
    <tableColumn id="46" xr3:uid="{00000000-0010-0000-1E00-00002E000000}" name="Aktivierungsdauer (h)" dataDxfId="90" dataCellStyle="Prozent"/>
    <tableColumn id="10" xr3:uid="{00000000-0010-0000-1E00-00000A000000}" name="Schaltdauer pos. (h)" dataDxfId="89"/>
    <tableColumn id="11" xr3:uid="{00000000-0010-0000-1E00-00000B000000}" name="Verschiebedauer (h)" dataDxfId="88"/>
    <tableColumn id="12" xr3:uid="{00000000-0010-0000-1E00-00000C000000}" name="Regenerationsdauer (h)" dataDxfId="87"/>
    <tableColumn id="51" xr3:uid="{00000000-0010-0000-1E00-000033000000}" name="Zeitverfügbarkeit?" dataDxfId="86"/>
    <tableColumn id="13" xr3:uid="{00000000-0010-0000-1E00-00000D000000}" name="max. Abrufhäufigkeit pro Woche" dataDxfId="85"/>
    <tableColumn id="14" xr3:uid="{00000000-0010-0000-1E00-00000E000000}" name="max. Abrufhäufigkeit pro Jahr" dataDxfId="84"/>
    <tableColumn id="15" xr3:uid="{00000000-0010-0000-1E00-00000F000000}" name="Investitionsausgaben €_2018/kW" dataDxfId="83"/>
    <tableColumn id="16" xr3:uid="{00000000-0010-0000-1E00-000010000000}" name="variable Kosten €_2018/kWh" dataDxfId="82"/>
    <tableColumn id="40" xr3:uid="{00000000-0010-0000-1E00-000028000000}" name="fixe Kosten €_2018/a" dataDxfId="81"/>
    <tableColumn id="17" xr3:uid="{00000000-0010-0000-1E00-000011000000}" name="Investitionsausgaben je Anschlusspunkt (€_2018)" dataDxfId="80"/>
    <tableColumn id="18" xr3:uid="{00000000-0010-0000-1E00-000012000000}" name="Bemerkungen" dataDxfId="79"/>
    <tableColumn id="19" xr3:uid="{00000000-0010-0000-1E00-000013000000}" name="Fundstelle Lastverschiebung" dataDxfId="78"/>
    <tableColumn id="48" xr3:uid="{00000000-0010-0000-1E00-000030000000}" name="Fundstelle Lastverzicht" dataDxfId="77"/>
    <tableColumn id="20" xr3:uid="{00000000-0010-0000-1E00-000014000000}" name="Fundstelle Potenzial pos." dataDxfId="76"/>
    <tableColumn id="55" xr3:uid="{00000000-0010-0000-1E00-000037000000}" name="Fundstelle Potenzial neg." dataDxfId="75"/>
    <tableColumn id="54" xr3:uid="{00000000-0010-0000-1E00-000036000000}" name="Fundstelle Mindestleistung" dataDxfId="74"/>
    <tableColumn id="21" xr3:uid="{00000000-0010-0000-1E00-000015000000}" name="Fundstelle flexibilisierbarer Anteil" dataDxfId="73"/>
    <tableColumn id="22" xr3:uid="{00000000-0010-0000-1E00-000016000000}" name="Fundstelle durchschnittliche Leistung" dataDxfId="72"/>
    <tableColumn id="23" xr3:uid="{00000000-0010-0000-1E00-000017000000}" name="Fundstelle Maximalleistung" dataDxfId="71"/>
    <tableColumn id="43" xr3:uid="{00000000-0010-0000-1E00-00002B000000}" name="Fundstelle installierte Leistung" dataDxfId="70"/>
    <tableColumn id="45" xr3:uid="{00000000-0010-0000-1E00-00002D000000}" name="Fundstelle Aktivierungsdauer" dataDxfId="69"/>
    <tableColumn id="24" xr3:uid="{00000000-0010-0000-1E00-000018000000}" name="Fundstelle Schaltdauer" dataDxfId="68"/>
    <tableColumn id="25" xr3:uid="{00000000-0010-0000-1E00-000019000000}" name="Fundstelle Verschiebedauer" dataDxfId="67"/>
    <tableColumn id="39" xr3:uid="{00000000-0010-0000-1E00-000027000000}" name="Fundstelle Regenerationsdauer" dataDxfId="66"/>
    <tableColumn id="26" xr3:uid="{00000000-0010-0000-1E00-00001A000000}" name="Fundstelle Zeitverfügbarkeit" dataDxfId="65"/>
    <tableColumn id="27" xr3:uid="{00000000-0010-0000-1E00-00001B000000}" name="Fundstelle max. Abrufhäufigkeit" dataDxfId="64"/>
    <tableColumn id="28" xr3:uid="{00000000-0010-0000-1E00-00001C000000}" name="Fundstelle Invest" dataDxfId="63"/>
    <tableColumn id="29" xr3:uid="{00000000-0010-0000-1E00-00001D000000}" name="Fundstelle var. Kosten" dataDxfId="62"/>
    <tableColumn id="30" xr3:uid="{00000000-0010-0000-1E00-00001E000000}" name="Fundstelle fixe Kosten" dataDxfId="61"/>
    <tableColumn id="31" xr3:uid="{00000000-0010-0000-1E00-00001F000000}" name="Fundstelle Investition je Anschlusspunkt" dataDxfId="60"/>
    <tableColumn id="32" xr3:uid="{00000000-0010-0000-1E00-000020000000}" name="Fundstelle Bemerkungen" dataDxfId="59"/>
    <tableColumn id="33" xr3:uid="{00000000-0010-0000-1E00-000021000000}" name="eigene Anmerkung" dataDxfId="58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7"/>
    <tableColumn id="2" xr3:uid="{00000000-0010-0000-1F00-000002000000}" name="Jahr" dataDxfId="56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55" dataDxfId="54">
  <autoFilter ref="A1:B14" xr:uid="{00000000-0009-0000-0100-000015000000}"/>
  <tableColumns count="2">
    <tableColumn id="1" xr3:uid="{00000000-0010-0000-2000-000001000000}" name="Problem" dataDxfId="53"/>
    <tableColumn id="2" xr3:uid="{00000000-0010-0000-2000-000002000000}" name="Methodischer Ansatz zur Ermittlung von Kennwerten" dataDxfId="5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C0BAED97-AB2D-413D-AD6B-149E9186FC44}">
    <text>Waschmaschin, Spülmaschine, Trockner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B1" dT="2020-01-13T10:14:22.99" personId="{71FC54F3-5E8D-460B-9FCF-F7AD63FF6B98}" id="{71F5162E-A185-4405-AC55-1222C05701A0}">
    <text>Siehe matplotlib documentation: https://matplotlib.org/3.1.0/gallery/color/named_colors.html</text>
  </threadedComment>
  <threadedComment ref="A33" dT="2019-02-16T12:37:56.21" personId="{51F1A2BF-5699-4337-B875-D53DBF6DE656}" id="{491EB1E2-BDE1-4324-922D-DB218AFA07E8}">
    <text>Waschmaschine,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Relationship Id="rId4" Type="http://schemas.microsoft.com/office/2017/10/relationships/threadedComment" Target="../threadedComments/threadedComment3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CP79"/>
  <sheetViews>
    <sheetView zoomScale="70" zoomScaleNormal="70" workbookViewId="0">
      <pane xSplit="3" ySplit="1" topLeftCell="BC2" activePane="bottomRight" state="frozen"/>
      <selection pane="topRight" activeCell="D1" sqref="D1"/>
      <selection pane="bottomLeft" activeCell="A2" sqref="A2"/>
      <selection pane="bottomRight" activeCell="BF10" sqref="BF10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28.85546875" style="1" bestFit="1" customWidth="1"/>
    <col min="15" max="15" width="34" style="1" bestFit="1" customWidth="1"/>
    <col min="16" max="16" width="34" style="1" customWidth="1"/>
    <col min="17" max="17" width="38.85546875" style="1" bestFit="1" customWidth="1"/>
    <col min="18" max="18" width="34.28515625" style="1" bestFit="1" customWidth="1"/>
    <col min="19" max="19" width="29.28515625" style="1" bestFit="1" customWidth="1"/>
    <col min="20" max="20" width="29.28515625" style="1" customWidth="1"/>
    <col min="21" max="21" width="55.7109375" style="1" bestFit="1" customWidth="1"/>
    <col min="22" max="22" width="55.7109375" style="1" customWidth="1"/>
    <col min="23" max="23" width="24.5703125" style="1" customWidth="1"/>
    <col min="24" max="24" width="33.85546875" style="1" bestFit="1" customWidth="1"/>
    <col min="25" max="25" width="31.7109375" style="1" bestFit="1" customWidth="1"/>
    <col min="26" max="26" width="24.5703125" style="1" customWidth="1"/>
    <col min="27" max="27" width="34" style="1" bestFit="1" customWidth="1"/>
    <col min="28" max="28" width="24.42578125" style="1" bestFit="1" customWidth="1"/>
    <col min="29" max="34" width="24.42578125" style="1" customWidth="1"/>
    <col min="35" max="35" width="37.7109375" style="1" bestFit="1" customWidth="1"/>
    <col min="36" max="37" width="24.7109375" style="1" customWidth="1"/>
    <col min="38" max="42" width="28.42578125" style="1" customWidth="1"/>
    <col min="43" max="43" width="27.42578125" style="1" bestFit="1" customWidth="1"/>
    <col min="44" max="47" width="27.42578125" style="1" customWidth="1"/>
    <col min="48" max="48" width="20.7109375" style="1" bestFit="1" customWidth="1"/>
    <col min="49" max="53" width="20.7109375" style="1" customWidth="1"/>
    <col min="54" max="54" width="25.85546875" style="1" bestFit="1" customWidth="1"/>
    <col min="55" max="55" width="29.7109375" style="1" bestFit="1" customWidth="1"/>
    <col min="56" max="56" width="24" style="1" bestFit="1" customWidth="1"/>
    <col min="57" max="57" width="38.28515625" style="1" bestFit="1" customWidth="1"/>
    <col min="58" max="61" width="38.28515625" style="1" customWidth="1"/>
    <col min="62" max="62" width="38.28515625" style="1" bestFit="1" customWidth="1"/>
    <col min="63" max="64" width="38.28515625" style="1" customWidth="1"/>
    <col min="65" max="65" width="33.42578125" style="1" bestFit="1" customWidth="1"/>
    <col min="66" max="66" width="33.42578125" style="1" customWidth="1"/>
    <col min="67" max="67" width="25.7109375" style="1" bestFit="1" customWidth="1"/>
    <col min="68" max="68" width="47.5703125" style="1" bestFit="1" customWidth="1"/>
    <col min="69" max="69" width="56.7109375" style="1" bestFit="1" customWidth="1"/>
    <col min="70" max="73" width="35.5703125" style="1" customWidth="1"/>
    <col min="74" max="74" width="31.7109375" style="1" bestFit="1" customWidth="1"/>
    <col min="75" max="75" width="31.5703125" style="1" bestFit="1" customWidth="1"/>
    <col min="76" max="81" width="31.5703125" style="1" customWidth="1"/>
    <col min="82" max="82" width="37.42578125" style="1" bestFit="1" customWidth="1"/>
    <col min="83" max="83" width="35.7109375" style="1" bestFit="1" customWidth="1"/>
    <col min="84" max="84" width="28.85546875" style="1" bestFit="1" customWidth="1"/>
    <col min="85" max="85" width="34" style="1" bestFit="1" customWidth="1"/>
    <col min="86" max="86" width="37.85546875" style="1" bestFit="1" customWidth="1"/>
    <col min="87" max="87" width="34.42578125" style="1" bestFit="1" customWidth="1"/>
    <col min="88" max="88" width="38.140625" style="1" bestFit="1" customWidth="1"/>
    <col min="89" max="89" width="22.85546875" style="1" bestFit="1" customWidth="1"/>
    <col min="90" max="90" width="28.5703125" style="1" bestFit="1" customWidth="1"/>
    <col min="91" max="91" width="28.28515625" style="1" bestFit="1" customWidth="1"/>
    <col min="92" max="92" width="28.28515625" style="1" customWidth="1"/>
    <col min="93" max="93" width="31" style="1" bestFit="1" customWidth="1"/>
    <col min="94" max="94" width="28.85546875" style="1" bestFit="1" customWidth="1"/>
    <col min="95" max="16384" width="11.42578125" style="1"/>
  </cols>
  <sheetData>
    <row r="1" spans="1:94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926</v>
      </c>
      <c r="H1" s="2" t="s">
        <v>1114</v>
      </c>
      <c r="I1" s="2" t="s">
        <v>897</v>
      </c>
      <c r="J1" s="2" t="s">
        <v>1115</v>
      </c>
      <c r="K1" s="2" t="s">
        <v>844</v>
      </c>
      <c r="L1" s="2" t="s">
        <v>1123</v>
      </c>
      <c r="M1" s="2" t="s">
        <v>284</v>
      </c>
      <c r="N1" s="2" t="s">
        <v>49</v>
      </c>
      <c r="O1" s="2" t="s">
        <v>290</v>
      </c>
      <c r="P1" s="2" t="s">
        <v>291</v>
      </c>
      <c r="Q1" s="2" t="s">
        <v>149</v>
      </c>
      <c r="R1" s="2" t="s">
        <v>285</v>
      </c>
      <c r="S1" s="2" t="s">
        <v>548</v>
      </c>
      <c r="T1" s="2" t="s">
        <v>1169</v>
      </c>
      <c r="U1" s="2" t="s">
        <v>97</v>
      </c>
      <c r="V1" s="2" t="s">
        <v>286</v>
      </c>
      <c r="W1" s="2" t="s">
        <v>156</v>
      </c>
      <c r="X1" s="2" t="s">
        <v>292</v>
      </c>
      <c r="Y1" s="2" t="s">
        <v>293</v>
      </c>
      <c r="Z1" s="2" t="s">
        <v>158</v>
      </c>
      <c r="AA1" s="2" t="s">
        <v>287</v>
      </c>
      <c r="AB1" s="2" t="s">
        <v>157</v>
      </c>
      <c r="AC1" s="2" t="s">
        <v>56</v>
      </c>
      <c r="AD1" s="2" t="s">
        <v>55</v>
      </c>
      <c r="AE1" s="2" t="s">
        <v>332</v>
      </c>
      <c r="AF1" s="2" t="s">
        <v>865</v>
      </c>
      <c r="AG1" s="2" t="s">
        <v>237</v>
      </c>
      <c r="AH1" s="2" t="s">
        <v>1150</v>
      </c>
      <c r="AI1" s="2" t="s">
        <v>116</v>
      </c>
      <c r="AJ1" s="2" t="s">
        <v>57</v>
      </c>
      <c r="AK1" s="2" t="s">
        <v>123</v>
      </c>
      <c r="AL1" s="2" t="s">
        <v>58</v>
      </c>
      <c r="AM1" s="2" t="s">
        <v>603</v>
      </c>
      <c r="AN1" s="2" t="s">
        <v>604</v>
      </c>
      <c r="AO1" s="2" t="s">
        <v>999</v>
      </c>
      <c r="AP1" s="2" t="s">
        <v>422</v>
      </c>
      <c r="AQ1" s="2" t="s">
        <v>9</v>
      </c>
      <c r="AR1" s="2" t="s">
        <v>1170</v>
      </c>
      <c r="AS1" s="2" t="s">
        <v>1171</v>
      </c>
      <c r="AT1" s="2" t="s">
        <v>431</v>
      </c>
      <c r="AU1" s="2" t="s">
        <v>227</v>
      </c>
      <c r="AV1" s="2" t="s">
        <v>159</v>
      </c>
      <c r="AW1" s="2" t="s">
        <v>229</v>
      </c>
      <c r="AX1" s="2" t="s">
        <v>230</v>
      </c>
      <c r="AY1" s="2" t="s">
        <v>160</v>
      </c>
      <c r="AZ1" s="2" t="s">
        <v>216</v>
      </c>
      <c r="BA1" s="2" t="s">
        <v>217</v>
      </c>
      <c r="BB1" s="2" t="s">
        <v>3</v>
      </c>
      <c r="BC1" s="2" t="s">
        <v>10</v>
      </c>
      <c r="BD1" s="2" t="s">
        <v>16</v>
      </c>
      <c r="BE1" s="2" t="s">
        <v>4</v>
      </c>
      <c r="BF1" s="2" t="s">
        <v>1121</v>
      </c>
      <c r="BG1" s="2" t="s">
        <v>1122</v>
      </c>
      <c r="BH1" s="2" t="s">
        <v>185</v>
      </c>
      <c r="BI1" s="2" t="s">
        <v>184</v>
      </c>
      <c r="BJ1" s="2" t="s">
        <v>12</v>
      </c>
      <c r="BK1" s="2" t="s">
        <v>233</v>
      </c>
      <c r="BL1" s="2" t="s">
        <v>234</v>
      </c>
      <c r="BM1" s="2" t="s">
        <v>232</v>
      </c>
      <c r="BN1" s="2" t="s">
        <v>334</v>
      </c>
      <c r="BO1" s="2" t="s">
        <v>335</v>
      </c>
      <c r="BP1" s="2" t="s">
        <v>147</v>
      </c>
      <c r="BQ1" s="2" t="s">
        <v>22</v>
      </c>
      <c r="BR1" s="2" t="s">
        <v>164</v>
      </c>
      <c r="BS1" s="2" t="s">
        <v>165</v>
      </c>
      <c r="BT1" s="2" t="s">
        <v>898</v>
      </c>
      <c r="BU1" s="2" t="s">
        <v>880</v>
      </c>
      <c r="BV1" s="2" t="s">
        <v>1</v>
      </c>
      <c r="BW1" s="2" t="s">
        <v>2</v>
      </c>
      <c r="BX1" s="2" t="s">
        <v>59</v>
      </c>
      <c r="BY1" s="2" t="s">
        <v>1161</v>
      </c>
      <c r="BZ1" s="2" t="s">
        <v>899</v>
      </c>
      <c r="CA1" s="2" t="s">
        <v>238</v>
      </c>
      <c r="CB1" s="2" t="s">
        <v>117</v>
      </c>
      <c r="CC1" s="2" t="s">
        <v>60</v>
      </c>
      <c r="CD1" s="2" t="s">
        <v>61</v>
      </c>
      <c r="CE1" s="2" t="s">
        <v>98</v>
      </c>
      <c r="CF1" s="2" t="s">
        <v>5</v>
      </c>
      <c r="CG1" s="2" t="s">
        <v>6</v>
      </c>
      <c r="CH1" s="2" t="s">
        <v>17</v>
      </c>
      <c r="CI1" s="2" t="s">
        <v>18</v>
      </c>
      <c r="CJ1" s="2" t="s">
        <v>7</v>
      </c>
      <c r="CK1" s="2" t="s">
        <v>19</v>
      </c>
      <c r="CL1" s="2" t="s">
        <v>20</v>
      </c>
      <c r="CM1" s="2" t="s">
        <v>21</v>
      </c>
      <c r="CN1" s="2" t="s">
        <v>148</v>
      </c>
      <c r="CO1" s="2" t="s">
        <v>23</v>
      </c>
      <c r="CP1" s="2" t="s">
        <v>51</v>
      </c>
    </row>
    <row r="2" spans="1:94" x14ac:dyDescent="0.2">
      <c r="A2" s="6" t="s">
        <v>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/>
      <c r="Q2" s="19"/>
      <c r="R2" s="19">
        <v>534</v>
      </c>
      <c r="S2" s="19">
        <v>637</v>
      </c>
      <c r="T2" s="19">
        <v>1000</v>
      </c>
      <c r="U2" s="19"/>
      <c r="V2" s="19"/>
      <c r="W2" s="19">
        <v>30</v>
      </c>
      <c r="X2" s="19"/>
      <c r="Y2" s="19"/>
      <c r="Z2" s="19"/>
      <c r="AA2" s="19">
        <v>35</v>
      </c>
      <c r="AB2" s="19">
        <v>50</v>
      </c>
      <c r="AC2" s="19"/>
      <c r="AD2" s="9"/>
      <c r="AE2" s="9"/>
      <c r="AF2" s="45">
        <f>Tabelle589711[[#This Row],[Durchschnittsauslastung]]*8760</f>
        <v>7000</v>
      </c>
      <c r="AG2" s="9">
        <f>7000/8760</f>
        <v>0.79908675799086759</v>
      </c>
      <c r="AH2" s="9"/>
      <c r="AI2" s="20" t="str">
        <f>IF(Tabelle589711[[#This Row],[installierte Leistung MW]]&lt;&gt;"",Tabelle589711[[#This Row],[Durchschnittsauslastung]]*Tabelle589711[[#This Row],[installierte Leistung MW]],"")</f>
        <v/>
      </c>
      <c r="AJ2" s="19" t="str">
        <f>IF(Tabelle589711[[#This Row],[installierte Leistung MW]]&lt;&gt;"",Tabelle589711[[#This Row],[installierte Leistung MW]],"")</f>
        <v/>
      </c>
      <c r="AK2" s="19"/>
      <c r="AL2" s="19"/>
      <c r="AM2" s="19"/>
      <c r="AN2" s="19"/>
      <c r="AO2" s="32">
        <f t="shared" ref="AO2:AO7" si="0">0.01/60</f>
        <v>1.6666666666666666E-4</v>
      </c>
      <c r="AP2" s="30">
        <v>0.25</v>
      </c>
      <c r="AQ2" s="30">
        <v>0.25</v>
      </c>
      <c r="AR2" s="1">
        <v>1</v>
      </c>
      <c r="AS2" s="1">
        <v>4</v>
      </c>
      <c r="BC2" s="1">
        <v>0.5</v>
      </c>
      <c r="BD2" s="1" t="s">
        <v>305</v>
      </c>
      <c r="BE2" s="1">
        <v>7</v>
      </c>
      <c r="BF2" s="1">
        <v>365</v>
      </c>
      <c r="BG2" s="1">
        <f>ROUND(Tabelle589711[[#This Row],[max. Abrufhäufigkeit pro Jahr Lastverschiebung]]/3,0)</f>
        <v>122</v>
      </c>
      <c r="BH2" s="19"/>
      <c r="BI2" s="19"/>
      <c r="BJ2" s="19"/>
      <c r="BK2" s="8"/>
      <c r="BL2" s="8"/>
      <c r="BM2" s="19"/>
      <c r="BN2" s="8"/>
      <c r="BO2" s="8"/>
      <c r="BQ2" s="1" t="s">
        <v>283</v>
      </c>
      <c r="BR2" s="13" t="s">
        <v>304</v>
      </c>
      <c r="BS2" s="13" t="s">
        <v>304</v>
      </c>
      <c r="BT2" s="13">
        <v>34</v>
      </c>
      <c r="BU2" s="13" t="s">
        <v>1116</v>
      </c>
      <c r="BV2" s="13" t="s">
        <v>1120</v>
      </c>
      <c r="BW2" s="13" t="s">
        <v>1120</v>
      </c>
      <c r="BX2" s="13"/>
      <c r="BY2" s="13"/>
      <c r="BZ2" s="13"/>
      <c r="CA2" s="13">
        <v>37</v>
      </c>
      <c r="CB2" s="13"/>
      <c r="CD2" s="13"/>
      <c r="CE2" s="13">
        <v>111</v>
      </c>
      <c r="CF2" s="1">
        <v>112</v>
      </c>
      <c r="CH2" s="1">
        <v>37</v>
      </c>
      <c r="CI2" s="1">
        <v>37</v>
      </c>
      <c r="CJ2" s="1">
        <v>37</v>
      </c>
    </row>
    <row r="3" spans="1:94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/>
      <c r="Q3" s="19"/>
      <c r="R3" s="19">
        <v>534</v>
      </c>
      <c r="S3" s="19">
        <v>637</v>
      </c>
      <c r="T3" s="19">
        <v>1000</v>
      </c>
      <c r="U3" s="19"/>
      <c r="V3" s="19"/>
      <c r="W3" s="19">
        <v>30</v>
      </c>
      <c r="X3" s="19"/>
      <c r="Y3" s="19"/>
      <c r="Z3" s="19"/>
      <c r="AA3" s="19">
        <v>35</v>
      </c>
      <c r="AB3" s="19">
        <v>50</v>
      </c>
      <c r="AC3" s="19"/>
      <c r="AD3" s="9"/>
      <c r="AE3" s="9"/>
      <c r="AF3" s="45">
        <f>Tabelle589711[[#This Row],[Durchschnittsauslastung]]*8760</f>
        <v>7000</v>
      </c>
      <c r="AG3" s="9">
        <f>7000/8760</f>
        <v>0.79908675799086759</v>
      </c>
      <c r="AH3" s="9"/>
      <c r="AI3" s="20" t="str">
        <f>IF(Tabelle589711[[#This Row],[installierte Leistung MW]]&lt;&gt;"",Tabelle589711[[#This Row],[Durchschnittsauslastung]]*Tabelle589711[[#This Row],[installierte Leistung MW]],"")</f>
        <v/>
      </c>
      <c r="AJ3" s="19" t="str">
        <f>IF(Tabelle589711[[#This Row],[installierte Leistung MW]]&lt;&gt;"",Tabelle589711[[#This Row],[installierte Leistung MW]],"")</f>
        <v/>
      </c>
      <c r="AK3" s="19"/>
      <c r="AL3" s="19"/>
      <c r="AM3" s="19"/>
      <c r="AN3" s="19"/>
      <c r="AO3" s="32">
        <f t="shared" si="0"/>
        <v>1.6666666666666666E-4</v>
      </c>
      <c r="AP3" s="30">
        <v>0.25</v>
      </c>
      <c r="AQ3" s="31">
        <v>0.25</v>
      </c>
      <c r="AR3" s="1">
        <v>1</v>
      </c>
      <c r="AS3" s="1">
        <v>4</v>
      </c>
      <c r="BC3" s="1">
        <v>0.5</v>
      </c>
      <c r="BD3" s="1" t="s">
        <v>305</v>
      </c>
      <c r="BE3" s="1">
        <v>7</v>
      </c>
      <c r="BF3" s="1">
        <v>365</v>
      </c>
      <c r="BG3" s="1">
        <f>ROUND(Tabelle589711[[#This Row],[max. Abrufhäufigkeit pro Jahr Lastverschiebung]]/3,0)</f>
        <v>122</v>
      </c>
      <c r="BH3" s="19"/>
      <c r="BI3" s="19"/>
      <c r="BJ3" s="19"/>
      <c r="BK3" s="8"/>
      <c r="BL3" s="8"/>
      <c r="BM3" s="8"/>
      <c r="BN3" s="8"/>
      <c r="BO3" s="8"/>
      <c r="BQ3" s="1" t="s">
        <v>283</v>
      </c>
      <c r="BR3" s="13" t="s">
        <v>304</v>
      </c>
      <c r="BS3" s="13" t="s">
        <v>304</v>
      </c>
      <c r="BT3" s="13">
        <v>35</v>
      </c>
      <c r="BU3" s="13" t="s">
        <v>1116</v>
      </c>
      <c r="BV3" s="13" t="s">
        <v>1120</v>
      </c>
      <c r="BW3" s="13" t="s">
        <v>1120</v>
      </c>
      <c r="BX3" s="13"/>
      <c r="BY3" s="13"/>
      <c r="BZ3" s="13"/>
      <c r="CA3" s="13">
        <v>37</v>
      </c>
      <c r="CB3" s="13"/>
      <c r="CD3" s="13"/>
      <c r="CE3" s="13">
        <v>111</v>
      </c>
      <c r="CF3" s="1">
        <v>112</v>
      </c>
      <c r="CH3" s="1">
        <v>37</v>
      </c>
      <c r="CI3" s="1">
        <v>37</v>
      </c>
      <c r="CJ3" s="1">
        <v>37</v>
      </c>
    </row>
    <row r="4" spans="1:94" x14ac:dyDescent="0.2">
      <c r="A4" s="6" t="s">
        <v>54</v>
      </c>
      <c r="B4" s="1" t="s">
        <v>129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/>
      <c r="Q4" s="19"/>
      <c r="R4" s="19">
        <v>534</v>
      </c>
      <c r="S4" s="19">
        <v>637</v>
      </c>
      <c r="T4" s="19">
        <v>1000</v>
      </c>
      <c r="U4" s="19"/>
      <c r="V4" s="19"/>
      <c r="W4" s="19">
        <v>30</v>
      </c>
      <c r="X4" s="19"/>
      <c r="Y4" s="19"/>
      <c r="Z4" s="19"/>
      <c r="AA4" s="19">
        <v>35</v>
      </c>
      <c r="AB4" s="19">
        <v>50</v>
      </c>
      <c r="AC4" s="19"/>
      <c r="AD4" s="9"/>
      <c r="AE4" s="9"/>
      <c r="AF4" s="45">
        <f>Tabelle589711[[#This Row],[Durchschnittsauslastung]]*8760</f>
        <v>7000</v>
      </c>
      <c r="AG4" s="9">
        <f>7000/8760</f>
        <v>0.79908675799086759</v>
      </c>
      <c r="AH4" s="9"/>
      <c r="AI4" s="96"/>
      <c r="AJ4" s="19" t="str">
        <f>IF(Tabelle589711[[#This Row],[installierte Leistung MW]]&lt;&gt;"",Tabelle589711[[#This Row],[installierte Leistung MW]],"")</f>
        <v/>
      </c>
      <c r="AK4" s="19"/>
      <c r="AL4" s="19"/>
      <c r="AM4" s="19"/>
      <c r="AN4" s="19"/>
      <c r="AO4" s="32">
        <f t="shared" si="0"/>
        <v>1.6666666666666666E-4</v>
      </c>
      <c r="AP4" s="30">
        <v>0.25</v>
      </c>
      <c r="AQ4" s="30">
        <v>0.25</v>
      </c>
      <c r="AR4" s="1">
        <v>1</v>
      </c>
      <c r="AS4" s="1">
        <v>4</v>
      </c>
      <c r="BC4" s="1">
        <v>0.5</v>
      </c>
      <c r="BD4" s="1" t="s">
        <v>305</v>
      </c>
      <c r="BE4" s="1">
        <v>7</v>
      </c>
      <c r="BF4" s="1">
        <v>365</v>
      </c>
      <c r="BG4" s="1">
        <f>ROUND(Tabelle589711[[#This Row],[max. Abrufhäufigkeit pro Jahr Lastverschiebung]]/3,0)</f>
        <v>122</v>
      </c>
      <c r="BH4" s="19"/>
      <c r="BI4" s="19"/>
      <c r="BJ4" s="19"/>
      <c r="BK4" s="8"/>
      <c r="BL4" s="8"/>
      <c r="BM4" s="19"/>
      <c r="BN4" s="8"/>
      <c r="BO4" s="8"/>
      <c r="BQ4" s="1" t="s">
        <v>283</v>
      </c>
      <c r="BR4" s="13" t="s">
        <v>304</v>
      </c>
      <c r="BS4" s="13" t="s">
        <v>304</v>
      </c>
      <c r="BT4" s="13">
        <v>36</v>
      </c>
      <c r="BU4" s="13" t="s">
        <v>1116</v>
      </c>
      <c r="BV4" s="13" t="s">
        <v>1120</v>
      </c>
      <c r="BW4" s="13" t="s">
        <v>1120</v>
      </c>
      <c r="BX4" s="13"/>
      <c r="BY4" s="13"/>
      <c r="BZ4" s="13"/>
      <c r="CA4" s="13">
        <v>37</v>
      </c>
      <c r="CB4" s="13"/>
      <c r="CD4" s="13"/>
      <c r="CE4" s="13">
        <v>111</v>
      </c>
      <c r="CF4" s="1">
        <v>112</v>
      </c>
      <c r="CH4" s="1">
        <v>37</v>
      </c>
      <c r="CI4" s="1">
        <v>37</v>
      </c>
      <c r="CJ4" s="1">
        <v>37</v>
      </c>
    </row>
    <row r="5" spans="1:94" x14ac:dyDescent="0.2">
      <c r="A5" s="1" t="s">
        <v>29</v>
      </c>
      <c r="B5" s="1" t="s">
        <v>129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/>
      <c r="Q5" s="19"/>
      <c r="R5" s="19">
        <v>635</v>
      </c>
      <c r="S5" s="19">
        <v>787</v>
      </c>
      <c r="T5" s="19"/>
      <c r="U5" s="19"/>
      <c r="V5" s="19"/>
      <c r="W5" s="19"/>
      <c r="X5" s="19"/>
      <c r="Y5" s="19"/>
      <c r="Z5" s="19"/>
      <c r="AA5" s="19"/>
      <c r="AB5" s="19"/>
      <c r="AC5" s="19">
        <v>303</v>
      </c>
      <c r="AD5" s="9">
        <v>0.34</v>
      </c>
      <c r="AE5" s="9"/>
      <c r="AF5" s="45">
        <v>7771</v>
      </c>
      <c r="AG5" s="9">
        <v>0.877</v>
      </c>
      <c r="AH5" s="9"/>
      <c r="AI5" s="20">
        <v>787</v>
      </c>
      <c r="AJ5" s="19"/>
      <c r="AK5" s="19"/>
      <c r="AL5" s="19">
        <v>888</v>
      </c>
      <c r="AM5" s="19"/>
      <c r="AN5" s="19"/>
      <c r="AO5" s="32">
        <f t="shared" si="0"/>
        <v>1.6666666666666666E-4</v>
      </c>
      <c r="AP5" s="30">
        <v>0.25</v>
      </c>
      <c r="AQ5" s="31">
        <f>10/60</f>
        <v>0.16666666666666666</v>
      </c>
      <c r="AR5" s="31"/>
      <c r="AS5" s="31"/>
      <c r="BC5" s="1">
        <v>3</v>
      </c>
      <c r="BH5" s="19"/>
      <c r="BI5" s="19"/>
      <c r="BJ5" s="19"/>
      <c r="BK5" s="8"/>
      <c r="BL5" s="8"/>
      <c r="BM5" s="8"/>
      <c r="BN5" s="8"/>
      <c r="BO5" s="8"/>
      <c r="BQ5" s="1" t="s">
        <v>283</v>
      </c>
      <c r="BR5" s="13" t="s">
        <v>306</v>
      </c>
      <c r="BS5" s="13" t="s">
        <v>306</v>
      </c>
      <c r="BT5" s="13" t="s">
        <v>1117</v>
      </c>
      <c r="BU5" s="13" t="s">
        <v>1118</v>
      </c>
      <c r="BV5" s="13" t="s">
        <v>306</v>
      </c>
      <c r="BW5" s="13" t="s">
        <v>306</v>
      </c>
      <c r="BX5" s="13">
        <v>41</v>
      </c>
      <c r="BY5" s="13"/>
      <c r="BZ5" s="13">
        <v>41</v>
      </c>
      <c r="CA5" s="13">
        <v>39</v>
      </c>
      <c r="CB5" s="13"/>
      <c r="CD5" s="13">
        <v>41</v>
      </c>
      <c r="CE5" s="13" t="s">
        <v>307</v>
      </c>
      <c r="CH5" s="1">
        <v>42</v>
      </c>
    </row>
    <row r="6" spans="1:94" x14ac:dyDescent="0.2">
      <c r="A6" s="1" t="s">
        <v>29</v>
      </c>
      <c r="B6" s="1" t="s">
        <v>129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/>
      <c r="Q6" s="19"/>
      <c r="R6" s="19">
        <v>635</v>
      </c>
      <c r="S6" s="19">
        <v>787</v>
      </c>
      <c r="T6" s="19"/>
      <c r="U6" s="19"/>
      <c r="V6" s="19"/>
      <c r="W6" s="19"/>
      <c r="X6" s="19"/>
      <c r="Y6" s="19"/>
      <c r="Z6" s="19"/>
      <c r="AA6" s="19"/>
      <c r="AB6" s="19"/>
      <c r="AC6" s="19">
        <v>303</v>
      </c>
      <c r="AD6" s="9">
        <v>0.34</v>
      </c>
      <c r="AE6" s="9"/>
      <c r="AF6" s="45">
        <v>7771</v>
      </c>
      <c r="AG6" s="9">
        <v>0.877</v>
      </c>
      <c r="AH6" s="9"/>
      <c r="AI6" s="20">
        <v>787</v>
      </c>
      <c r="AJ6" s="19"/>
      <c r="AK6" s="19"/>
      <c r="AL6" s="19">
        <v>888</v>
      </c>
      <c r="AM6" s="19"/>
      <c r="AN6" s="19"/>
      <c r="AO6" s="32">
        <f t="shared" si="0"/>
        <v>1.6666666666666666E-4</v>
      </c>
      <c r="AP6" s="30">
        <v>0.25</v>
      </c>
      <c r="AQ6" s="31">
        <f>10/60</f>
        <v>0.16666666666666666</v>
      </c>
      <c r="AR6" s="31"/>
      <c r="AS6" s="31"/>
      <c r="BC6" s="1">
        <v>3</v>
      </c>
      <c r="BH6" s="19"/>
      <c r="BI6" s="19"/>
      <c r="BJ6" s="19"/>
      <c r="BK6" s="8"/>
      <c r="BL6" s="8"/>
      <c r="BM6" s="8"/>
      <c r="BN6" s="8"/>
      <c r="BO6" s="8"/>
      <c r="BQ6" s="1" t="s">
        <v>283</v>
      </c>
      <c r="BR6" s="13" t="s">
        <v>306</v>
      </c>
      <c r="BS6" s="13" t="s">
        <v>306</v>
      </c>
      <c r="BT6" s="13" t="s">
        <v>1126</v>
      </c>
      <c r="BU6" s="13" t="s">
        <v>1118</v>
      </c>
      <c r="BV6" s="13" t="s">
        <v>306</v>
      </c>
      <c r="BW6" s="13" t="s">
        <v>306</v>
      </c>
      <c r="BX6" s="13">
        <v>41</v>
      </c>
      <c r="BY6" s="13"/>
      <c r="BZ6" s="13">
        <v>41</v>
      </c>
      <c r="CA6" s="13">
        <v>39</v>
      </c>
      <c r="CB6" s="13"/>
      <c r="CD6" s="13">
        <v>41</v>
      </c>
      <c r="CE6" s="13" t="s">
        <v>307</v>
      </c>
      <c r="CH6" s="1">
        <v>42</v>
      </c>
    </row>
    <row r="7" spans="1:94" x14ac:dyDescent="0.2">
      <c r="A7" s="1" t="s">
        <v>29</v>
      </c>
      <c r="B7" s="1" t="s">
        <v>129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/>
      <c r="Q7" s="19"/>
      <c r="R7" s="19">
        <v>635</v>
      </c>
      <c r="S7" s="19">
        <v>787</v>
      </c>
      <c r="T7" s="19"/>
      <c r="U7" s="19"/>
      <c r="V7" s="19"/>
      <c r="W7" s="19"/>
      <c r="X7" s="19"/>
      <c r="Y7" s="19"/>
      <c r="Z7" s="19"/>
      <c r="AA7" s="19"/>
      <c r="AB7" s="19"/>
      <c r="AC7" s="19">
        <v>303</v>
      </c>
      <c r="AD7" s="9">
        <v>0.34</v>
      </c>
      <c r="AE7" s="9"/>
      <c r="AF7" s="45">
        <v>7771</v>
      </c>
      <c r="AG7" s="9">
        <v>0.877</v>
      </c>
      <c r="AH7" s="9"/>
      <c r="AI7" s="20">
        <v>787</v>
      </c>
      <c r="AJ7" s="19"/>
      <c r="AK7" s="19"/>
      <c r="AL7" s="19">
        <v>888</v>
      </c>
      <c r="AM7" s="19"/>
      <c r="AN7" s="19"/>
      <c r="AO7" s="32">
        <f t="shared" si="0"/>
        <v>1.6666666666666666E-4</v>
      </c>
      <c r="AP7" s="30">
        <v>0.25</v>
      </c>
      <c r="AQ7" s="31">
        <f>10/60</f>
        <v>0.16666666666666666</v>
      </c>
      <c r="AR7" s="31"/>
      <c r="AS7" s="31"/>
      <c r="BC7" s="1">
        <v>3</v>
      </c>
      <c r="BH7" s="19"/>
      <c r="BI7" s="19"/>
      <c r="BJ7" s="19"/>
      <c r="BK7" s="8"/>
      <c r="BL7" s="8"/>
      <c r="BM7" s="8"/>
      <c r="BN7" s="8"/>
      <c r="BO7" s="8"/>
      <c r="BQ7" s="1" t="s">
        <v>283</v>
      </c>
      <c r="BR7" s="13" t="s">
        <v>306</v>
      </c>
      <c r="BS7" s="13" t="s">
        <v>306</v>
      </c>
      <c r="BT7" s="13" t="s">
        <v>1127</v>
      </c>
      <c r="BU7" s="13" t="s">
        <v>1118</v>
      </c>
      <c r="BV7" s="13" t="s">
        <v>306</v>
      </c>
      <c r="BW7" s="13" t="s">
        <v>306</v>
      </c>
      <c r="BX7" s="13">
        <v>41</v>
      </c>
      <c r="BY7" s="13"/>
      <c r="BZ7" s="13">
        <v>41</v>
      </c>
      <c r="CA7" s="13">
        <v>39</v>
      </c>
      <c r="CB7" s="13"/>
      <c r="CD7" s="13">
        <v>41</v>
      </c>
      <c r="CE7" s="13" t="s">
        <v>307</v>
      </c>
      <c r="CH7" s="1">
        <v>42</v>
      </c>
    </row>
    <row r="8" spans="1:94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20"/>
      <c r="AE8" s="9"/>
      <c r="AF8" s="45">
        <f>Tabelle589711[[#This Row],[Durchschnittsauslastung]]*8760</f>
        <v>6798.8059701492539</v>
      </c>
      <c r="AG8" s="9">
        <f>Tabelle589711[[#This Row],[Durchschnittliche Leistung MW]]/Tabelle589711[[#This Row],[installierte Leistung MW]]</f>
        <v>0.77611940298507465</v>
      </c>
      <c r="AH8" s="9">
        <v>0.9</v>
      </c>
      <c r="AI8" s="20">
        <v>208</v>
      </c>
      <c r="AJ8" s="19"/>
      <c r="AK8" s="19"/>
      <c r="AL8" s="19">
        <v>268</v>
      </c>
      <c r="AM8" s="19"/>
      <c r="AN8" s="19"/>
      <c r="AO8" s="19"/>
      <c r="AP8" s="19"/>
      <c r="AQ8" s="19">
        <f>5/60</f>
        <v>8.3333333333333329E-2</v>
      </c>
      <c r="AR8" s="19"/>
      <c r="AS8" s="19"/>
      <c r="BH8" s="19"/>
      <c r="BI8" s="19"/>
      <c r="BJ8" s="19"/>
      <c r="BK8" s="8"/>
      <c r="BL8" s="8"/>
      <c r="BM8" s="8"/>
      <c r="BN8" s="8"/>
      <c r="BO8" s="8"/>
      <c r="BQ8" s="1" t="s">
        <v>1124</v>
      </c>
      <c r="BR8" s="13" t="s">
        <v>308</v>
      </c>
      <c r="BS8" s="13" t="s">
        <v>308</v>
      </c>
      <c r="BT8" s="13">
        <v>46</v>
      </c>
      <c r="BU8" s="13">
        <v>46</v>
      </c>
      <c r="BV8" s="13" t="s">
        <v>308</v>
      </c>
      <c r="BX8" s="13"/>
      <c r="BY8" s="13"/>
      <c r="BZ8" s="13"/>
      <c r="CA8" s="13">
        <v>46</v>
      </c>
      <c r="CB8" s="13">
        <v>46</v>
      </c>
      <c r="CD8" s="13">
        <v>46</v>
      </c>
      <c r="CE8" s="13" t="s">
        <v>310</v>
      </c>
      <c r="CO8" s="1">
        <v>44</v>
      </c>
    </row>
    <row r="9" spans="1:94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20"/>
      <c r="AE9" s="9"/>
      <c r="AF9" s="45">
        <f>Tabelle589711[[#This Row],[Durchschnittsauslastung]]*8760</f>
        <v>6798.8059701492539</v>
      </c>
      <c r="AG9" s="9">
        <f>Tabelle589711[[#This Row],[Durchschnittliche Leistung MW]]/Tabelle589711[[#This Row],[installierte Leistung MW]]</f>
        <v>0.77611940298507465</v>
      </c>
      <c r="AH9" s="9">
        <v>0.9</v>
      </c>
      <c r="AI9" s="20">
        <v>208</v>
      </c>
      <c r="AJ9" s="19"/>
      <c r="AK9" s="19"/>
      <c r="AL9" s="19">
        <v>268</v>
      </c>
      <c r="AM9" s="19"/>
      <c r="AN9" s="19"/>
      <c r="AO9" s="19"/>
      <c r="AP9" s="19"/>
      <c r="AQ9" s="19">
        <f>5/60</f>
        <v>8.3333333333333329E-2</v>
      </c>
      <c r="AR9" s="19"/>
      <c r="AS9" s="19"/>
      <c r="BH9" s="19"/>
      <c r="BI9" s="19"/>
      <c r="BJ9" s="19"/>
      <c r="BK9" s="8"/>
      <c r="BL9" s="8"/>
      <c r="BM9" s="8"/>
      <c r="BN9" s="8"/>
      <c r="BO9" s="8"/>
      <c r="BQ9" s="1" t="s">
        <v>1124</v>
      </c>
      <c r="BR9" s="13" t="s">
        <v>308</v>
      </c>
      <c r="BS9" s="13" t="s">
        <v>308</v>
      </c>
      <c r="BT9" s="13">
        <v>46</v>
      </c>
      <c r="BU9" s="13">
        <v>46</v>
      </c>
      <c r="BV9" s="13" t="s">
        <v>308</v>
      </c>
      <c r="BX9" s="13"/>
      <c r="BY9" s="13"/>
      <c r="BZ9" s="13"/>
      <c r="CA9" s="13">
        <v>46</v>
      </c>
      <c r="CB9" s="13">
        <v>46</v>
      </c>
      <c r="CD9" s="13">
        <v>46</v>
      </c>
      <c r="CE9" s="13" t="s">
        <v>310</v>
      </c>
      <c r="CO9" s="1">
        <v>44</v>
      </c>
    </row>
    <row r="10" spans="1:94" x14ac:dyDescent="0.2">
      <c r="A10" s="1" t="s">
        <v>77</v>
      </c>
      <c r="B10" s="1" t="s">
        <v>129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20"/>
      <c r="AE10" s="9"/>
      <c r="AF10" s="45">
        <f>Tabelle589711[[#This Row],[Durchschnittsauslastung]]*8760</f>
        <v>6798.8059701492539</v>
      </c>
      <c r="AG10" s="9">
        <f>Tabelle589711[[#This Row],[Durchschnittliche Leistung MW]]/Tabelle589711[[#This Row],[installierte Leistung MW]]</f>
        <v>0.77611940298507465</v>
      </c>
      <c r="AH10" s="9">
        <v>0.9</v>
      </c>
      <c r="AI10" s="20">
        <v>208</v>
      </c>
      <c r="AJ10" s="19"/>
      <c r="AK10" s="19"/>
      <c r="AL10" s="19">
        <v>268</v>
      </c>
      <c r="AM10" s="19"/>
      <c r="AN10" s="19"/>
      <c r="AO10" s="19"/>
      <c r="AP10" s="19"/>
      <c r="AQ10" s="19">
        <f>5/60</f>
        <v>8.3333333333333329E-2</v>
      </c>
      <c r="AR10" s="19"/>
      <c r="AS10" s="19"/>
      <c r="BH10" s="19"/>
      <c r="BI10" s="19"/>
      <c r="BJ10" s="19"/>
      <c r="BK10" s="8"/>
      <c r="BL10" s="8"/>
      <c r="BM10" s="8"/>
      <c r="BN10" s="8"/>
      <c r="BO10" s="8"/>
      <c r="BQ10" s="1" t="s">
        <v>1124</v>
      </c>
      <c r="BR10" s="13" t="s">
        <v>308</v>
      </c>
      <c r="BS10" s="13" t="s">
        <v>308</v>
      </c>
      <c r="BT10" s="13">
        <v>46</v>
      </c>
      <c r="BU10" s="13">
        <v>46</v>
      </c>
      <c r="BV10" s="13" t="s">
        <v>308</v>
      </c>
      <c r="BX10" s="13"/>
      <c r="BY10" s="13"/>
      <c r="BZ10" s="13"/>
      <c r="CA10" s="13">
        <v>46</v>
      </c>
      <c r="CB10" s="13">
        <v>46</v>
      </c>
      <c r="CD10" s="13">
        <v>46</v>
      </c>
      <c r="CE10" s="13" t="s">
        <v>310</v>
      </c>
      <c r="CO10" s="1">
        <v>44</v>
      </c>
    </row>
    <row r="11" spans="1:94" x14ac:dyDescent="0.2">
      <c r="A11" s="1" t="s">
        <v>81</v>
      </c>
      <c r="B11" s="1" t="s">
        <v>129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/>
      <c r="R11" s="19"/>
      <c r="S11" s="19">
        <v>1700</v>
      </c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20"/>
      <c r="AE11" s="9"/>
      <c r="AF11" s="45">
        <f>Tabelle589711[[#This Row],[Durchschnittsauslastung]]*8760</f>
        <v>7533.5999999999995</v>
      </c>
      <c r="AG11" s="9">
        <v>0.86</v>
      </c>
      <c r="AH11" s="9"/>
      <c r="AI11" s="20">
        <f>IF(Tabelle589711[[#This Row],[installierte Leistung MW]]&lt;&gt;"",Tabelle589711[[#This Row],[Durchschnittsauslastung]]*Tabelle589711[[#This Row],[installierte Leistung MW]],"")</f>
        <v>0</v>
      </c>
      <c r="AJ11" s="19"/>
      <c r="AK11" s="19"/>
      <c r="AL11" s="19">
        <f>1/Tabelle589711[[#This Row],[Durchschnittsauslastung]]*Tabelle589711[[#This Row],[Potenzial pos. Literatur MW]]</f>
        <v>0</v>
      </c>
      <c r="AM11" s="19"/>
      <c r="AN11" s="19"/>
      <c r="AO11" s="19"/>
      <c r="AP11" s="19"/>
      <c r="AQ11" s="19">
        <f>120/60</f>
        <v>2</v>
      </c>
      <c r="AR11" s="19"/>
      <c r="AS11" s="19"/>
      <c r="AV11" s="1">
        <v>2</v>
      </c>
      <c r="BD11" s="1" t="s">
        <v>311</v>
      </c>
      <c r="BH11" s="19"/>
      <c r="BI11" s="19"/>
      <c r="BJ11" s="19"/>
      <c r="BK11" s="8"/>
      <c r="BL11" s="8"/>
      <c r="BM11" s="8"/>
      <c r="BN11" s="8"/>
      <c r="BO11" s="8"/>
      <c r="BR11" s="13" t="s">
        <v>309</v>
      </c>
      <c r="BS11" s="13" t="s">
        <v>309</v>
      </c>
      <c r="BT11" s="13">
        <v>43</v>
      </c>
      <c r="BU11" s="13">
        <v>43</v>
      </c>
      <c r="BV11" s="13" t="s">
        <v>309</v>
      </c>
      <c r="BX11" s="13"/>
      <c r="BY11" s="13"/>
      <c r="BZ11" s="13"/>
      <c r="CA11" s="13">
        <v>47</v>
      </c>
      <c r="CB11" s="13">
        <v>47</v>
      </c>
      <c r="CD11" s="13">
        <v>47</v>
      </c>
      <c r="CE11" s="13" t="s">
        <v>310</v>
      </c>
    </row>
    <row r="12" spans="1:94" x14ac:dyDescent="0.2">
      <c r="A12" s="1" t="s">
        <v>81</v>
      </c>
      <c r="B12" s="1" t="s">
        <v>129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/>
      <c r="R12" s="19"/>
      <c r="S12" s="19">
        <v>1700</v>
      </c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20"/>
      <c r="AE12" s="9"/>
      <c r="AF12" s="45">
        <f>Tabelle589711[[#This Row],[Durchschnittsauslastung]]*8760</f>
        <v>7533.5999999999995</v>
      </c>
      <c r="AG12" s="9">
        <v>0.86</v>
      </c>
      <c r="AH12" s="9"/>
      <c r="AI12" s="20">
        <f>IF(Tabelle589711[[#This Row],[installierte Leistung MW]]&lt;&gt;"",Tabelle589711[[#This Row],[Durchschnittsauslastung]]*Tabelle589711[[#This Row],[installierte Leistung MW]],"")</f>
        <v>0</v>
      </c>
      <c r="AJ12" s="19"/>
      <c r="AK12" s="19"/>
      <c r="AL12" s="19">
        <f>1/Tabelle589711[[#This Row],[Durchschnittsauslastung]]*Tabelle589711[[#This Row],[Potenzial pos. Literatur MW]]</f>
        <v>0</v>
      </c>
      <c r="AM12" s="19"/>
      <c r="AN12" s="19"/>
      <c r="AO12" s="19"/>
      <c r="AP12" s="19"/>
      <c r="AQ12" s="19">
        <f>120/60</f>
        <v>2</v>
      </c>
      <c r="AR12" s="19"/>
      <c r="AS12" s="19"/>
      <c r="AV12" s="1">
        <v>2</v>
      </c>
      <c r="BD12" s="1" t="s">
        <v>311</v>
      </c>
      <c r="BH12" s="19"/>
      <c r="BI12" s="19"/>
      <c r="BJ12" s="19"/>
      <c r="BK12" s="8"/>
      <c r="BL12" s="8"/>
      <c r="BM12" s="8"/>
      <c r="BN12" s="8"/>
      <c r="BO12" s="8"/>
      <c r="BR12" s="13" t="s">
        <v>309</v>
      </c>
      <c r="BS12" s="13" t="s">
        <v>309</v>
      </c>
      <c r="BT12" s="13">
        <v>43</v>
      </c>
      <c r="BU12" s="13">
        <v>43</v>
      </c>
      <c r="BV12" s="13" t="s">
        <v>309</v>
      </c>
      <c r="BX12" s="13"/>
      <c r="BY12" s="13"/>
      <c r="BZ12" s="13"/>
      <c r="CA12" s="13">
        <v>47</v>
      </c>
      <c r="CB12" s="13">
        <v>47</v>
      </c>
      <c r="CD12" s="13">
        <v>47</v>
      </c>
      <c r="CE12" s="13" t="s">
        <v>310</v>
      </c>
    </row>
    <row r="13" spans="1:94" x14ac:dyDescent="0.2">
      <c r="A13" s="1" t="s">
        <v>81</v>
      </c>
      <c r="B13" s="1" t="s">
        <v>129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/>
      <c r="R13" s="19"/>
      <c r="S13" s="19">
        <v>1700</v>
      </c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20"/>
      <c r="AE13" s="9"/>
      <c r="AF13" s="45">
        <f>Tabelle589711[[#This Row],[Durchschnittsauslastung]]*8760</f>
        <v>7533.5999999999995</v>
      </c>
      <c r="AG13" s="9">
        <v>0.86</v>
      </c>
      <c r="AH13" s="9"/>
      <c r="AI13" s="20">
        <f>IF(Tabelle589711[[#This Row],[installierte Leistung MW]]&lt;&gt;"",Tabelle589711[[#This Row],[Durchschnittsauslastung]]*Tabelle589711[[#This Row],[installierte Leistung MW]],"")</f>
        <v>0</v>
      </c>
      <c r="AJ13" s="19"/>
      <c r="AK13" s="19"/>
      <c r="AL13" s="19">
        <f>1/Tabelle589711[[#This Row],[Durchschnittsauslastung]]*Tabelle589711[[#This Row],[Potenzial pos. Literatur MW]]</f>
        <v>0</v>
      </c>
      <c r="AM13" s="19"/>
      <c r="AN13" s="19"/>
      <c r="AO13" s="19"/>
      <c r="AP13" s="19"/>
      <c r="AQ13" s="19">
        <f>120/60</f>
        <v>2</v>
      </c>
      <c r="AR13" s="19"/>
      <c r="AS13" s="19"/>
      <c r="AV13" s="1">
        <v>2</v>
      </c>
      <c r="BD13" s="1" t="s">
        <v>311</v>
      </c>
      <c r="BH13" s="19"/>
      <c r="BI13" s="19"/>
      <c r="BJ13" s="19"/>
      <c r="BK13" s="8"/>
      <c r="BL13" s="8"/>
      <c r="BM13" s="8"/>
      <c r="BN13" s="8"/>
      <c r="BO13" s="8"/>
      <c r="BR13" s="13" t="s">
        <v>309</v>
      </c>
      <c r="BS13" s="13" t="s">
        <v>309</v>
      </c>
      <c r="BT13" s="13">
        <v>43</v>
      </c>
      <c r="BU13" s="13">
        <v>43</v>
      </c>
      <c r="BV13" s="13" t="s">
        <v>309</v>
      </c>
      <c r="BX13" s="13"/>
      <c r="BY13" s="13"/>
      <c r="BZ13" s="13"/>
      <c r="CA13" s="13">
        <v>47</v>
      </c>
      <c r="CB13" s="13">
        <v>47</v>
      </c>
      <c r="CD13" s="13">
        <v>47</v>
      </c>
      <c r="CE13" s="13" t="s">
        <v>310</v>
      </c>
    </row>
    <row r="14" spans="1:94" x14ac:dyDescent="0.2">
      <c r="A14" s="1" t="s">
        <v>84</v>
      </c>
      <c r="B14" s="1" t="s">
        <v>129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/>
      <c r="R14" s="19"/>
      <c r="S14" s="19">
        <v>741</v>
      </c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20"/>
      <c r="AE14" s="9"/>
      <c r="AF14" s="45">
        <v>4151</v>
      </c>
      <c r="AG14" s="9">
        <f>Tabelle589711[[#This Row],[Vollbenutzungsstunden h/a]]/8760</f>
        <v>0.47385844748858447</v>
      </c>
      <c r="AH14" s="9"/>
      <c r="AI14" s="20">
        <f>IF(Tabelle589711[[#This Row],[installierte Leistung MW]]&lt;&gt;"",Tabelle589711[[#This Row],[Durchschnittsauslastung]]*Tabelle589711[[#This Row],[installierte Leistung MW]],"")</f>
        <v>742.06232876712329</v>
      </c>
      <c r="AJ14" s="19"/>
      <c r="AK14" s="19"/>
      <c r="AL14" s="19">
        <v>1566</v>
      </c>
      <c r="AM14" s="19"/>
      <c r="AN14" s="19"/>
      <c r="AO14" s="19"/>
      <c r="AP14" s="19"/>
      <c r="AQ14" s="30">
        <f>100/60</f>
        <v>1.6666666666666667</v>
      </c>
      <c r="AR14" s="30"/>
      <c r="AS14" s="30"/>
      <c r="BD14" s="1" t="s">
        <v>313</v>
      </c>
      <c r="BH14" s="19"/>
      <c r="BI14" s="19"/>
      <c r="BJ14" s="19"/>
      <c r="BK14" s="8"/>
      <c r="BL14" s="8"/>
      <c r="BM14" s="8"/>
      <c r="BN14" s="8"/>
      <c r="BO14" s="8"/>
      <c r="BQ14" s="1" t="s">
        <v>1125</v>
      </c>
      <c r="BR14" s="13" t="s">
        <v>312</v>
      </c>
      <c r="BS14" s="13" t="s">
        <v>312</v>
      </c>
      <c r="BT14" s="13">
        <v>49</v>
      </c>
      <c r="BU14" s="13">
        <v>49</v>
      </c>
      <c r="BV14" s="13" t="s">
        <v>312</v>
      </c>
      <c r="BX14" s="13"/>
      <c r="BY14" s="13"/>
      <c r="BZ14" s="13">
        <v>49</v>
      </c>
      <c r="CA14" s="13">
        <v>49</v>
      </c>
      <c r="CB14" s="13"/>
      <c r="CD14" s="13"/>
      <c r="CE14" s="13">
        <v>111</v>
      </c>
      <c r="CI14" s="1">
        <v>50</v>
      </c>
      <c r="CO14" s="1">
        <v>49</v>
      </c>
    </row>
    <row r="15" spans="1:94" x14ac:dyDescent="0.2">
      <c r="A15" s="1" t="s">
        <v>84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/>
      <c r="R15" s="19"/>
      <c r="S15" s="19">
        <v>741</v>
      </c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20"/>
      <c r="AE15" s="9"/>
      <c r="AF15" s="45">
        <v>4151</v>
      </c>
      <c r="AG15" s="9">
        <f>Tabelle589711[[#This Row],[Vollbenutzungsstunden h/a]]/8760</f>
        <v>0.47385844748858447</v>
      </c>
      <c r="AH15" s="9"/>
      <c r="AI15" s="20">
        <f>IF(Tabelle589711[[#This Row],[installierte Leistung MW]]&lt;&gt;"",Tabelle589711[[#This Row],[Durchschnittsauslastung]]*Tabelle589711[[#This Row],[installierte Leistung MW]],"")</f>
        <v>742.06232876712329</v>
      </c>
      <c r="AJ15" s="19"/>
      <c r="AK15" s="19"/>
      <c r="AL15" s="19">
        <v>1566</v>
      </c>
      <c r="AM15" s="19"/>
      <c r="AN15" s="19"/>
      <c r="AO15" s="19"/>
      <c r="AP15" s="19"/>
      <c r="AQ15" s="30">
        <f>100/60</f>
        <v>1.6666666666666667</v>
      </c>
      <c r="AR15" s="30"/>
      <c r="AS15" s="30"/>
      <c r="BD15" s="1" t="s">
        <v>313</v>
      </c>
      <c r="BH15" s="19"/>
      <c r="BI15" s="19"/>
      <c r="BJ15" s="19"/>
      <c r="BK15" s="8"/>
      <c r="BL15" s="8"/>
      <c r="BM15" s="8"/>
      <c r="BN15" s="8"/>
      <c r="BO15" s="8"/>
      <c r="BQ15" s="1" t="s">
        <v>1125</v>
      </c>
      <c r="BR15" s="13" t="s">
        <v>312</v>
      </c>
      <c r="BS15" s="13" t="s">
        <v>312</v>
      </c>
      <c r="BT15" s="13">
        <v>49</v>
      </c>
      <c r="BU15" s="13">
        <v>49</v>
      </c>
      <c r="BV15" s="13" t="s">
        <v>312</v>
      </c>
      <c r="BX15" s="13"/>
      <c r="BY15" s="13"/>
      <c r="BZ15" s="13">
        <v>49</v>
      </c>
      <c r="CA15" s="13">
        <v>49</v>
      </c>
      <c r="CB15" s="13"/>
      <c r="CD15" s="13"/>
      <c r="CE15" s="13">
        <v>111</v>
      </c>
      <c r="CI15" s="1">
        <v>50</v>
      </c>
      <c r="CO15" s="1">
        <v>49</v>
      </c>
    </row>
    <row r="16" spans="1:94" x14ac:dyDescent="0.2">
      <c r="A16" s="1" t="s">
        <v>84</v>
      </c>
      <c r="B16" s="1" t="s">
        <v>129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/>
      <c r="R16" s="19"/>
      <c r="S16" s="19">
        <v>741</v>
      </c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20"/>
      <c r="AE16" s="9"/>
      <c r="AF16" s="45">
        <v>4151</v>
      </c>
      <c r="AG16" s="9">
        <f>Tabelle589711[[#This Row],[Vollbenutzungsstunden h/a]]/8760</f>
        <v>0.47385844748858447</v>
      </c>
      <c r="AH16" s="9"/>
      <c r="AI16" s="20">
        <f>IF(Tabelle589711[[#This Row],[installierte Leistung MW]]&lt;&gt;"",Tabelle589711[[#This Row],[Durchschnittsauslastung]]*Tabelle589711[[#This Row],[installierte Leistung MW]],"")</f>
        <v>742.06232876712329</v>
      </c>
      <c r="AJ16" s="19"/>
      <c r="AK16" s="19"/>
      <c r="AL16" s="19">
        <v>1566</v>
      </c>
      <c r="AM16" s="19"/>
      <c r="AN16" s="19"/>
      <c r="AO16" s="19"/>
      <c r="AP16" s="19"/>
      <c r="AQ16" s="30">
        <f>100/60</f>
        <v>1.6666666666666667</v>
      </c>
      <c r="AR16" s="30"/>
      <c r="AS16" s="30"/>
      <c r="BD16" s="1" t="s">
        <v>313</v>
      </c>
      <c r="BH16" s="19"/>
      <c r="BI16" s="19"/>
      <c r="BJ16" s="19"/>
      <c r="BK16" s="8"/>
      <c r="BL16" s="8"/>
      <c r="BM16" s="8"/>
      <c r="BN16" s="8"/>
      <c r="BO16" s="8"/>
      <c r="BQ16" s="1" t="s">
        <v>1125</v>
      </c>
      <c r="BR16" s="13" t="s">
        <v>312</v>
      </c>
      <c r="BS16" s="13" t="s">
        <v>312</v>
      </c>
      <c r="BT16" s="13">
        <v>49</v>
      </c>
      <c r="BU16" s="13">
        <v>49</v>
      </c>
      <c r="BV16" s="13" t="s">
        <v>312</v>
      </c>
      <c r="BX16" s="13"/>
      <c r="BY16" s="13"/>
      <c r="BZ16" s="13">
        <v>49</v>
      </c>
      <c r="CA16" s="13">
        <v>49</v>
      </c>
      <c r="CB16" s="13"/>
      <c r="CD16" s="13"/>
      <c r="CE16" s="13">
        <v>111</v>
      </c>
      <c r="CI16" s="1">
        <v>50</v>
      </c>
      <c r="CO16" s="1">
        <v>49</v>
      </c>
    </row>
    <row r="17" spans="1:93" x14ac:dyDescent="0.2">
      <c r="A17" s="1" t="s">
        <v>953</v>
      </c>
      <c r="B17" s="1" t="s">
        <v>129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/>
      <c r="Q17" s="19"/>
      <c r="R17" s="19">
        <v>313</v>
      </c>
      <c r="S17" s="19"/>
      <c r="T17" s="19"/>
      <c r="U17" s="19"/>
      <c r="V17" s="19">
        <v>313</v>
      </c>
      <c r="W17" s="19"/>
      <c r="X17" s="19"/>
      <c r="Y17" s="19"/>
      <c r="Z17" s="19"/>
      <c r="AA17" s="19">
        <v>500</v>
      </c>
      <c r="AB17" s="19"/>
      <c r="AC17" s="19"/>
      <c r="AD17" s="20"/>
      <c r="AE17" s="9"/>
      <c r="AF17" s="45">
        <f>Tabelle589711[[#This Row],[Durchschnittsauslastung]]*8760</f>
        <v>6482.4</v>
      </c>
      <c r="AG17" s="9">
        <v>0.74</v>
      </c>
      <c r="AH17" s="9"/>
      <c r="AI17" s="20" t="str">
        <f>IF(Tabelle589711[[#This Row],[installierte Leistung MW]]&lt;&gt;"",Tabelle589711[[#This Row],[Durchschnittsauslastung]]*Tabelle589711[[#This Row],[installierte Leistung MW]],"")</f>
        <v/>
      </c>
      <c r="AJ17" s="19" t="str">
        <f>IF(Tabelle589711[[#This Row],[installierte Leistung MW]]&lt;&gt;"",Tabelle589711[[#This Row],[installierte Leistung MW]],"")</f>
        <v/>
      </c>
      <c r="AK17" s="19"/>
      <c r="AL17" s="19"/>
      <c r="AM17" s="19"/>
      <c r="AN17" s="19"/>
      <c r="AO17" s="19">
        <v>0.25</v>
      </c>
      <c r="AP17" s="19">
        <v>0.5</v>
      </c>
      <c r="AQ17" s="30">
        <v>0.25</v>
      </c>
      <c r="AR17" s="30"/>
      <c r="AS17" s="30"/>
      <c r="AT17" s="1">
        <v>1</v>
      </c>
      <c r="AU17" s="1">
        <v>2</v>
      </c>
      <c r="BD17" s="1" t="s">
        <v>1128</v>
      </c>
      <c r="BE17" s="1">
        <f>2*7</f>
        <v>14</v>
      </c>
      <c r="BF17" s="1">
        <f>Tabelle589711[[#This Row],[max. Abrufhäufigkeit pro Woche]]*52</f>
        <v>728</v>
      </c>
      <c r="BH17" s="19"/>
      <c r="BI17" s="19"/>
      <c r="BJ17" s="19"/>
      <c r="BK17" s="8"/>
      <c r="BL17" s="8"/>
      <c r="BM17" s="8"/>
      <c r="BN17" s="8"/>
      <c r="BO17" s="8"/>
      <c r="BQ17" s="1" t="s">
        <v>1129</v>
      </c>
      <c r="BR17" s="13" t="s">
        <v>317</v>
      </c>
      <c r="BS17" s="13" t="s">
        <v>317</v>
      </c>
      <c r="BT17" s="13">
        <v>53</v>
      </c>
      <c r="BU17" s="13">
        <v>53</v>
      </c>
      <c r="BV17" s="13" t="s">
        <v>317</v>
      </c>
      <c r="BW17" s="1">
        <v>57</v>
      </c>
      <c r="BX17" s="13"/>
      <c r="BY17" s="13"/>
      <c r="BZ17" s="13"/>
      <c r="CA17" s="13"/>
      <c r="CB17" s="13"/>
      <c r="CD17" s="13"/>
      <c r="CE17" s="13">
        <v>111</v>
      </c>
      <c r="CF17" s="1">
        <v>58</v>
      </c>
      <c r="CI17" s="1">
        <v>57</v>
      </c>
      <c r="CJ17" s="1">
        <v>57</v>
      </c>
      <c r="CO17" s="1">
        <v>57</v>
      </c>
    </row>
    <row r="18" spans="1:93" x14ac:dyDescent="0.2">
      <c r="A18" s="1" t="s">
        <v>953</v>
      </c>
      <c r="B18" s="1" t="s">
        <v>129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/>
      <c r="Q18" s="19"/>
      <c r="R18" s="19">
        <v>313</v>
      </c>
      <c r="S18" s="19"/>
      <c r="T18" s="19"/>
      <c r="U18" s="19"/>
      <c r="V18" s="19">
        <v>313</v>
      </c>
      <c r="W18" s="19"/>
      <c r="X18" s="19"/>
      <c r="Y18" s="19"/>
      <c r="Z18" s="19"/>
      <c r="AA18" s="19">
        <v>500</v>
      </c>
      <c r="AB18" s="19"/>
      <c r="AC18" s="19"/>
      <c r="AD18" s="20"/>
      <c r="AE18" s="9"/>
      <c r="AF18" s="45">
        <f>Tabelle589711[[#This Row],[Durchschnittsauslastung]]*8760</f>
        <v>6482.4</v>
      </c>
      <c r="AG18" s="9">
        <v>0.74</v>
      </c>
      <c r="AH18" s="9"/>
      <c r="AI18" s="20" t="str">
        <f>IF(Tabelle589711[[#This Row],[installierte Leistung MW]]&lt;&gt;"",Tabelle589711[[#This Row],[Durchschnittsauslastung]]*Tabelle589711[[#This Row],[installierte Leistung MW]],"")</f>
        <v/>
      </c>
      <c r="AJ18" s="19" t="str">
        <f>IF(Tabelle589711[[#This Row],[installierte Leistung MW]]&lt;&gt;"",Tabelle589711[[#This Row],[installierte Leistung MW]],"")</f>
        <v/>
      </c>
      <c r="AK18" s="19"/>
      <c r="AL18" s="19"/>
      <c r="AM18" s="19"/>
      <c r="AN18" s="19"/>
      <c r="AO18" s="19">
        <v>0.25</v>
      </c>
      <c r="AP18" s="19">
        <v>0.5</v>
      </c>
      <c r="AQ18" s="30">
        <v>0.25</v>
      </c>
      <c r="AR18" s="30"/>
      <c r="AS18" s="30"/>
      <c r="AT18" s="1">
        <v>1</v>
      </c>
      <c r="AU18" s="1">
        <v>2</v>
      </c>
      <c r="BD18" s="1" t="s">
        <v>1128</v>
      </c>
      <c r="BE18" s="1">
        <f>2*7</f>
        <v>14</v>
      </c>
      <c r="BH18" s="19"/>
      <c r="BI18" s="19"/>
      <c r="BJ18" s="19"/>
      <c r="BK18" s="8"/>
      <c r="BL18" s="8"/>
      <c r="BM18" s="8"/>
      <c r="BN18" s="8"/>
      <c r="BO18" s="8"/>
      <c r="BQ18" s="1" t="s">
        <v>1129</v>
      </c>
      <c r="BR18" s="13" t="s">
        <v>317</v>
      </c>
      <c r="BS18" s="13" t="s">
        <v>317</v>
      </c>
      <c r="BT18" s="13">
        <v>53</v>
      </c>
      <c r="BU18" s="13">
        <v>53</v>
      </c>
      <c r="BV18" s="13" t="s">
        <v>317</v>
      </c>
      <c r="BW18" s="1">
        <v>57</v>
      </c>
      <c r="BX18" s="13"/>
      <c r="BY18" s="13"/>
      <c r="BZ18" s="13"/>
      <c r="CA18" s="13"/>
      <c r="CB18" s="13"/>
      <c r="CD18" s="13"/>
      <c r="CE18" s="13">
        <v>111</v>
      </c>
      <c r="CF18" s="1">
        <v>58</v>
      </c>
      <c r="CI18" s="1">
        <v>57</v>
      </c>
      <c r="CJ18" s="1">
        <v>57</v>
      </c>
      <c r="CO18" s="1">
        <v>57</v>
      </c>
    </row>
    <row r="19" spans="1:93" x14ac:dyDescent="0.2">
      <c r="A19" s="1" t="s">
        <v>953</v>
      </c>
      <c r="B19" s="1" t="s">
        <v>129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/>
      <c r="Q19" s="19"/>
      <c r="R19" s="19">
        <v>313</v>
      </c>
      <c r="S19" s="19"/>
      <c r="T19" s="19"/>
      <c r="U19" s="19"/>
      <c r="V19" s="19">
        <v>313</v>
      </c>
      <c r="W19" s="19"/>
      <c r="X19" s="19"/>
      <c r="Y19" s="19"/>
      <c r="Z19" s="19"/>
      <c r="AA19" s="19">
        <v>500</v>
      </c>
      <c r="AB19" s="19"/>
      <c r="AC19" s="19"/>
      <c r="AD19" s="20"/>
      <c r="AE19" s="9"/>
      <c r="AF19" s="45">
        <f>Tabelle589711[[#This Row],[Durchschnittsauslastung]]*8760</f>
        <v>6482.4</v>
      </c>
      <c r="AG19" s="9">
        <v>0.74</v>
      </c>
      <c r="AH19" s="9"/>
      <c r="AI19" s="20" t="str">
        <f>IF(Tabelle589711[[#This Row],[installierte Leistung MW]]&lt;&gt;"",Tabelle589711[[#This Row],[Durchschnittsauslastung]]*Tabelle589711[[#This Row],[installierte Leistung MW]],"")</f>
        <v/>
      </c>
      <c r="AJ19" s="19" t="str">
        <f>IF(Tabelle589711[[#This Row],[installierte Leistung MW]]&lt;&gt;"",Tabelle589711[[#This Row],[installierte Leistung MW]],"")</f>
        <v/>
      </c>
      <c r="AK19" s="19"/>
      <c r="AL19" s="19"/>
      <c r="AM19" s="19"/>
      <c r="AN19" s="19"/>
      <c r="AO19" s="19">
        <v>0.25</v>
      </c>
      <c r="AP19" s="19">
        <v>0.5</v>
      </c>
      <c r="AQ19" s="30">
        <v>0.25</v>
      </c>
      <c r="AR19" s="30"/>
      <c r="AS19" s="30"/>
      <c r="AT19" s="1">
        <v>1</v>
      </c>
      <c r="AU19" s="1">
        <v>2</v>
      </c>
      <c r="BD19" s="1" t="s">
        <v>1128</v>
      </c>
      <c r="BE19" s="1">
        <f>2*7</f>
        <v>14</v>
      </c>
      <c r="BH19" s="19"/>
      <c r="BI19" s="19"/>
      <c r="BJ19" s="19"/>
      <c r="BK19" s="8"/>
      <c r="BL19" s="8"/>
      <c r="BM19" s="8"/>
      <c r="BN19" s="8"/>
      <c r="BO19" s="8"/>
      <c r="BQ19" s="1" t="s">
        <v>1129</v>
      </c>
      <c r="BR19" s="13" t="s">
        <v>317</v>
      </c>
      <c r="BS19" s="13" t="s">
        <v>317</v>
      </c>
      <c r="BT19" s="13">
        <v>53</v>
      </c>
      <c r="BU19" s="13">
        <v>53</v>
      </c>
      <c r="BV19" s="13" t="s">
        <v>317</v>
      </c>
      <c r="BW19" s="1">
        <v>57</v>
      </c>
      <c r="BX19" s="13"/>
      <c r="BY19" s="13"/>
      <c r="BZ19" s="13"/>
      <c r="CA19" s="13"/>
      <c r="CB19" s="13"/>
      <c r="CD19" s="13"/>
      <c r="CE19" s="13">
        <v>111</v>
      </c>
      <c r="CF19" s="1">
        <v>58</v>
      </c>
      <c r="CI19" s="1">
        <v>57</v>
      </c>
      <c r="CJ19" s="1">
        <v>57</v>
      </c>
      <c r="CO19" s="1">
        <v>57</v>
      </c>
    </row>
    <row r="20" spans="1:93" x14ac:dyDescent="0.2">
      <c r="A20" s="1" t="s">
        <v>314</v>
      </c>
      <c r="B20" s="1" t="s">
        <v>129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/>
      <c r="Q20" s="19"/>
      <c r="R20" s="19">
        <f>Tabelle589711[[#This Row],[Stromverbrauch in TWh]]*10^6/Tabelle589711[[#This Row],[Potenzial neg. Lastverschiebung MW]]</f>
        <v>5500</v>
      </c>
      <c r="S20" s="19"/>
      <c r="T20" s="19"/>
      <c r="U20" s="19"/>
      <c r="V20" s="19">
        <v>200</v>
      </c>
      <c r="W20" s="19"/>
      <c r="X20" s="19"/>
      <c r="Y20" s="19"/>
      <c r="Z20" s="19"/>
      <c r="AA20" s="19"/>
      <c r="AB20" s="19"/>
      <c r="AC20" s="19"/>
      <c r="AD20" s="20"/>
      <c r="AE20" s="9"/>
      <c r="AF20" s="45"/>
      <c r="AG20" s="9"/>
      <c r="AH20" s="9"/>
      <c r="AI20" s="20" t="str">
        <f>IF(Tabelle589711[[#This Row],[installierte Leistung MW]]&lt;&gt;"",Tabelle589711[[#This Row],[Durchschnittsauslastung]]*Tabelle589711[[#This Row],[installierte Leistung MW]],"")</f>
        <v/>
      </c>
      <c r="AJ20" s="19" t="str">
        <f>IF(Tabelle589711[[#This Row],[installierte Leistung MW]]&lt;&gt;"",Tabelle589711[[#This Row],[installierte Leistung MW]],"")</f>
        <v/>
      </c>
      <c r="AK20" s="19"/>
      <c r="AL20" s="19"/>
      <c r="AM20" s="19"/>
      <c r="AN20" s="19"/>
      <c r="AO20" s="19"/>
      <c r="AP20" s="31"/>
      <c r="AQ20" s="31">
        <f t="shared" ref="AQ20:AQ51" si="2">0.1/60</f>
        <v>1.6666666666666668E-3</v>
      </c>
      <c r="AR20" s="31"/>
      <c r="AS20" s="31"/>
      <c r="AY20" s="1">
        <v>6</v>
      </c>
      <c r="BH20" s="19"/>
      <c r="BI20" s="19"/>
      <c r="BJ20" s="19"/>
      <c r="BK20" s="8"/>
      <c r="BL20" s="8"/>
      <c r="BM20" s="8"/>
      <c r="BN20" s="8"/>
      <c r="BO20" s="8"/>
      <c r="BQ20" s="1" t="s">
        <v>316</v>
      </c>
      <c r="BR20" s="13">
        <v>113</v>
      </c>
      <c r="BS20" s="13">
        <v>113</v>
      </c>
      <c r="BT20" s="13"/>
      <c r="BU20" s="13">
        <v>52</v>
      </c>
      <c r="BV20" s="13">
        <v>113</v>
      </c>
      <c r="BW20" s="1">
        <v>52</v>
      </c>
      <c r="BX20" s="13"/>
      <c r="BY20" s="13"/>
      <c r="BZ20" s="13"/>
      <c r="CA20" s="13"/>
      <c r="CB20" s="13"/>
      <c r="CD20" s="13"/>
      <c r="CE20" s="13">
        <v>111</v>
      </c>
      <c r="CF20" s="1">
        <v>52</v>
      </c>
    </row>
    <row r="21" spans="1:93" x14ac:dyDescent="0.2">
      <c r="A21" s="1" t="s">
        <v>314</v>
      </c>
      <c r="B21" s="1" t="s">
        <v>129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/>
      <c r="Q21" s="19"/>
      <c r="R21" s="19">
        <f>Tabelle589711[[#This Row],[Stromverbrauch in TWh]]*10^6/Tabelle589711[[#This Row],[Potenzial neg. Lastverschiebung MW]]</f>
        <v>5500</v>
      </c>
      <c r="S21" s="19"/>
      <c r="T21" s="19"/>
      <c r="U21" s="19"/>
      <c r="V21" s="19">
        <v>200</v>
      </c>
      <c r="W21" s="19"/>
      <c r="X21" s="19"/>
      <c r="Y21" s="19"/>
      <c r="Z21" s="19"/>
      <c r="AA21" s="19"/>
      <c r="AB21" s="19"/>
      <c r="AC21" s="19"/>
      <c r="AD21" s="20"/>
      <c r="AE21" s="9"/>
      <c r="AF21" s="45"/>
      <c r="AG21" s="9"/>
      <c r="AH21" s="9"/>
      <c r="AI21" s="20" t="str">
        <f>IF(Tabelle589711[[#This Row],[installierte Leistung MW]]&lt;&gt;"",Tabelle589711[[#This Row],[Durchschnittsauslastung]]*Tabelle589711[[#This Row],[installierte Leistung MW]],"")</f>
        <v/>
      </c>
      <c r="AJ21" s="19" t="str">
        <f>IF(Tabelle589711[[#This Row],[installierte Leistung MW]]&lt;&gt;"",Tabelle589711[[#This Row],[installierte Leistung MW]],"")</f>
        <v/>
      </c>
      <c r="AK21" s="19"/>
      <c r="AL21" s="19"/>
      <c r="AM21" s="19"/>
      <c r="AN21" s="19"/>
      <c r="AO21" s="19"/>
      <c r="AP21" s="31"/>
      <c r="AQ21" s="31">
        <f t="shared" si="2"/>
        <v>1.6666666666666668E-3</v>
      </c>
      <c r="AR21" s="31"/>
      <c r="AS21" s="31"/>
      <c r="AY21" s="1">
        <v>6</v>
      </c>
      <c r="BH21" s="19"/>
      <c r="BI21" s="19"/>
      <c r="BJ21" s="19"/>
      <c r="BK21" s="8"/>
      <c r="BL21" s="8"/>
      <c r="BM21" s="8"/>
      <c r="BN21" s="8"/>
      <c r="BO21" s="8"/>
      <c r="BQ21" s="1" t="s">
        <v>316</v>
      </c>
      <c r="BR21" s="13">
        <v>113</v>
      </c>
      <c r="BS21" s="13">
        <v>113</v>
      </c>
      <c r="BT21" s="13"/>
      <c r="BU21" s="13">
        <v>52</v>
      </c>
      <c r="BV21" s="13">
        <v>113</v>
      </c>
      <c r="BW21" s="1">
        <v>52</v>
      </c>
      <c r="BX21" s="13"/>
      <c r="BY21" s="13"/>
      <c r="BZ21" s="13"/>
      <c r="CA21" s="13"/>
      <c r="CB21" s="13"/>
      <c r="CD21" s="13"/>
      <c r="CE21" s="13">
        <v>111</v>
      </c>
      <c r="CF21" s="1">
        <v>52</v>
      </c>
    </row>
    <row r="22" spans="1:93" x14ac:dyDescent="0.2">
      <c r="A22" s="1" t="s">
        <v>314</v>
      </c>
      <c r="B22" s="1" t="s">
        <v>129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/>
      <c r="Q22" s="19"/>
      <c r="R22" s="19">
        <f>Tabelle589711[[#This Row],[Stromverbrauch in TWh]]*10^6/Tabelle589711[[#This Row],[Potenzial neg. Lastverschiebung MW]]</f>
        <v>5500</v>
      </c>
      <c r="S22" s="19"/>
      <c r="T22" s="19"/>
      <c r="U22" s="19"/>
      <c r="V22" s="19">
        <v>200</v>
      </c>
      <c r="W22" s="19"/>
      <c r="X22" s="19"/>
      <c r="Y22" s="19"/>
      <c r="Z22" s="19"/>
      <c r="AA22" s="19"/>
      <c r="AB22" s="19"/>
      <c r="AC22" s="19"/>
      <c r="AD22" s="20"/>
      <c r="AE22" s="9"/>
      <c r="AF22" s="45"/>
      <c r="AG22" s="9"/>
      <c r="AH22" s="9"/>
      <c r="AI22" s="20" t="str">
        <f>IF(Tabelle589711[[#This Row],[installierte Leistung MW]]&lt;&gt;"",Tabelle589711[[#This Row],[Durchschnittsauslastung]]*Tabelle589711[[#This Row],[installierte Leistung MW]],"")</f>
        <v/>
      </c>
      <c r="AJ22" s="19" t="str">
        <f>IF(Tabelle589711[[#This Row],[installierte Leistung MW]]&lt;&gt;"",Tabelle589711[[#This Row],[installierte Leistung MW]],"")</f>
        <v/>
      </c>
      <c r="AK22" s="19"/>
      <c r="AL22" s="19"/>
      <c r="AM22" s="19"/>
      <c r="AN22" s="19"/>
      <c r="AO22" s="19"/>
      <c r="AP22" s="31"/>
      <c r="AQ22" s="31">
        <f t="shared" si="2"/>
        <v>1.6666666666666668E-3</v>
      </c>
      <c r="AR22" s="31"/>
      <c r="AS22" s="31"/>
      <c r="AY22" s="1">
        <v>6</v>
      </c>
      <c r="BH22" s="19"/>
      <c r="BI22" s="19"/>
      <c r="BJ22" s="19"/>
      <c r="BK22" s="8"/>
      <c r="BL22" s="8"/>
      <c r="BM22" s="8"/>
      <c r="BN22" s="8"/>
      <c r="BO22" s="8"/>
      <c r="BQ22" s="1" t="s">
        <v>316</v>
      </c>
      <c r="BR22" s="13">
        <v>113</v>
      </c>
      <c r="BS22" s="13">
        <v>113</v>
      </c>
      <c r="BT22" s="13"/>
      <c r="BU22" s="13">
        <v>52</v>
      </c>
      <c r="BV22" s="13">
        <v>113</v>
      </c>
      <c r="BW22" s="1">
        <v>52</v>
      </c>
      <c r="BX22" s="13"/>
      <c r="BY22" s="13"/>
      <c r="BZ22" s="13"/>
      <c r="CA22" s="13"/>
      <c r="CB22" s="13"/>
      <c r="CD22" s="13"/>
      <c r="CE22" s="13">
        <v>111</v>
      </c>
      <c r="CF22" s="1">
        <v>52</v>
      </c>
    </row>
    <row r="23" spans="1:93" x14ac:dyDescent="0.2">
      <c r="A23" s="1" t="s">
        <v>135</v>
      </c>
      <c r="B23" s="1" t="s">
        <v>142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9"/>
      <c r="O23" s="11">
        <v>820</v>
      </c>
      <c r="P23" s="11">
        <v>820</v>
      </c>
      <c r="Q23" s="19"/>
      <c r="R23" s="19"/>
      <c r="S23" s="19"/>
      <c r="T23" s="19"/>
      <c r="U23" s="19"/>
      <c r="V23" s="19"/>
      <c r="W23" s="19"/>
      <c r="X23" s="11">
        <v>820</v>
      </c>
      <c r="Y23" s="11">
        <v>820</v>
      </c>
      <c r="Z23" s="19"/>
      <c r="AA23" s="19"/>
      <c r="AB23" s="19"/>
      <c r="AC23" s="19"/>
      <c r="AD23" s="20"/>
      <c r="AE23" s="9"/>
      <c r="AF23" s="45"/>
      <c r="AG23" s="9"/>
      <c r="AH23" s="9"/>
      <c r="AI23" s="20" t="str">
        <f>IF(Tabelle589711[[#This Row],[installierte Leistung MW]]&lt;&gt;"",Tabelle589711[[#This Row],[Durchschnittsauslastung]]*Tabelle589711[[#This Row],[installierte Leistung MW]],"")</f>
        <v/>
      </c>
      <c r="AJ23" s="19" t="str">
        <f>IF(Tabelle589711[[#This Row],[installierte Leistung MW]]&lt;&gt;"",Tabelle589711[[#This Row],[installierte Leistung MW]],"")</f>
        <v/>
      </c>
      <c r="AK23" s="19"/>
      <c r="AL23" s="19"/>
      <c r="AM23" s="19"/>
      <c r="AN23" s="19"/>
      <c r="AO23" s="19">
        <f t="shared" ref="AO23:AO54" si="3">0.01/60</f>
        <v>1.6666666666666666E-4</v>
      </c>
      <c r="AP23" s="19"/>
      <c r="AQ23" s="31">
        <f t="shared" si="2"/>
        <v>1.6666666666666668E-3</v>
      </c>
      <c r="AR23" s="31"/>
      <c r="AS23" s="31"/>
      <c r="BH23" s="19"/>
      <c r="BI23" s="19"/>
      <c r="BJ23" s="19"/>
      <c r="BK23" s="8"/>
      <c r="BL23" s="8"/>
      <c r="BM23" s="8"/>
      <c r="BN23" s="8"/>
      <c r="BO23" s="8"/>
      <c r="BV23" s="13" t="s">
        <v>303</v>
      </c>
      <c r="BW23" s="13" t="s">
        <v>303</v>
      </c>
      <c r="BX23" s="13"/>
      <c r="BY23" s="13"/>
      <c r="BZ23" s="13"/>
      <c r="CA23" s="13"/>
      <c r="CB23" s="13"/>
      <c r="CD23" s="13"/>
      <c r="CE23" s="13"/>
    </row>
    <row r="24" spans="1:93" x14ac:dyDescent="0.2">
      <c r="A24" s="1" t="s">
        <v>135</v>
      </c>
      <c r="B24" s="1" t="s">
        <v>142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9"/>
      <c r="O24" s="11">
        <v>900</v>
      </c>
      <c r="P24" s="11">
        <v>900</v>
      </c>
      <c r="Q24" s="19"/>
      <c r="R24" s="19"/>
      <c r="S24" s="19"/>
      <c r="T24" s="19"/>
      <c r="U24" s="19"/>
      <c r="V24" s="19"/>
      <c r="W24" s="19"/>
      <c r="X24" s="11">
        <v>900</v>
      </c>
      <c r="Y24" s="11">
        <v>900</v>
      </c>
      <c r="Z24" s="19"/>
      <c r="AA24" s="19"/>
      <c r="AB24" s="19"/>
      <c r="AC24" s="19"/>
      <c r="AD24" s="20"/>
      <c r="AE24" s="9"/>
      <c r="AF24" s="45"/>
      <c r="AG24" s="9"/>
      <c r="AH24" s="9"/>
      <c r="AI24" s="20" t="str">
        <f>IF(Tabelle589711[[#This Row],[installierte Leistung MW]]&lt;&gt;"",Tabelle589711[[#This Row],[Durchschnittsauslastung]]*Tabelle589711[[#This Row],[installierte Leistung MW]],"")</f>
        <v/>
      </c>
      <c r="AJ24" s="19" t="str">
        <f>IF(Tabelle589711[[#This Row],[installierte Leistung MW]]&lt;&gt;"",Tabelle589711[[#This Row],[installierte Leistung MW]],"")</f>
        <v/>
      </c>
      <c r="AK24" s="19"/>
      <c r="AL24" s="19"/>
      <c r="AM24" s="19"/>
      <c r="AN24" s="19"/>
      <c r="AO24" s="19">
        <f t="shared" si="3"/>
        <v>1.6666666666666666E-4</v>
      </c>
      <c r="AP24" s="19"/>
      <c r="AQ24" s="31">
        <f t="shared" si="2"/>
        <v>1.6666666666666668E-3</v>
      </c>
      <c r="AR24" s="31"/>
      <c r="AS24" s="31"/>
      <c r="BH24" s="19"/>
      <c r="BI24" s="19"/>
      <c r="BJ24" s="19"/>
      <c r="BK24" s="8"/>
      <c r="BL24" s="8"/>
      <c r="BM24" s="8"/>
      <c r="BN24" s="8"/>
      <c r="BO24" s="8"/>
      <c r="BV24" s="13" t="s">
        <v>303</v>
      </c>
      <c r="BW24" s="13" t="s">
        <v>303</v>
      </c>
      <c r="BX24" s="13"/>
      <c r="BY24" s="13"/>
      <c r="BZ24" s="13"/>
      <c r="CA24" s="13"/>
      <c r="CB24" s="13"/>
      <c r="CD24" s="13"/>
      <c r="CE24" s="13"/>
    </row>
    <row r="25" spans="1:93" x14ac:dyDescent="0.2">
      <c r="A25" s="1" t="s">
        <v>135</v>
      </c>
      <c r="B25" s="1" t="s">
        <v>142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9"/>
      <c r="O25" s="11">
        <v>950</v>
      </c>
      <c r="P25" s="11">
        <v>950</v>
      </c>
      <c r="Q25" s="19"/>
      <c r="R25" s="19"/>
      <c r="S25" s="19"/>
      <c r="T25" s="19"/>
      <c r="U25" s="19"/>
      <c r="V25" s="19"/>
      <c r="W25" s="19"/>
      <c r="X25" s="11">
        <v>950</v>
      </c>
      <c r="Y25" s="11">
        <v>950</v>
      </c>
      <c r="Z25" s="19"/>
      <c r="AA25" s="19"/>
      <c r="AB25" s="19"/>
      <c r="AC25" s="19"/>
      <c r="AD25" s="20"/>
      <c r="AE25" s="9"/>
      <c r="AF25" s="45"/>
      <c r="AG25" s="9"/>
      <c r="AH25" s="9"/>
      <c r="AI25" s="20" t="str">
        <f>IF(Tabelle589711[[#This Row],[installierte Leistung MW]]&lt;&gt;"",Tabelle589711[[#This Row],[Durchschnittsauslastung]]*Tabelle589711[[#This Row],[installierte Leistung MW]],"")</f>
        <v/>
      </c>
      <c r="AJ25" s="19" t="str">
        <f>IF(Tabelle589711[[#This Row],[installierte Leistung MW]]&lt;&gt;"",Tabelle589711[[#This Row],[installierte Leistung MW]],"")</f>
        <v/>
      </c>
      <c r="AK25" s="19"/>
      <c r="AL25" s="19"/>
      <c r="AM25" s="19"/>
      <c r="AN25" s="19"/>
      <c r="AO25" s="19">
        <f t="shared" si="3"/>
        <v>1.6666666666666666E-4</v>
      </c>
      <c r="AP25" s="19"/>
      <c r="AQ25" s="31">
        <f t="shared" si="2"/>
        <v>1.6666666666666668E-3</v>
      </c>
      <c r="AR25" s="31"/>
      <c r="AS25" s="31"/>
      <c r="BH25" s="19"/>
      <c r="BI25" s="19"/>
      <c r="BJ25" s="19"/>
      <c r="BK25" s="8"/>
      <c r="BL25" s="8"/>
      <c r="BM25" s="8"/>
      <c r="BN25" s="8"/>
      <c r="BO25" s="8"/>
      <c r="BV25" s="13" t="s">
        <v>303</v>
      </c>
      <c r="BW25" s="13" t="s">
        <v>303</v>
      </c>
      <c r="BX25" s="13"/>
      <c r="BY25" s="13"/>
      <c r="BZ25" s="13"/>
      <c r="CA25" s="13"/>
      <c r="CB25" s="13"/>
      <c r="CD25" s="13"/>
      <c r="CE25" s="13"/>
    </row>
    <row r="26" spans="1:93" x14ac:dyDescent="0.2">
      <c r="A26" s="1" t="s">
        <v>288</v>
      </c>
      <c r="B26" s="1" t="s">
        <v>142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9"/>
      <c r="O26" s="11">
        <v>1020</v>
      </c>
      <c r="P26" s="11">
        <v>1020</v>
      </c>
      <c r="Q26" s="19"/>
      <c r="R26" s="19"/>
      <c r="S26" s="19"/>
      <c r="T26" s="19"/>
      <c r="U26" s="19"/>
      <c r="V26" s="19"/>
      <c r="W26" s="19"/>
      <c r="X26" s="11">
        <v>1020</v>
      </c>
      <c r="Y26" s="11">
        <v>1020</v>
      </c>
      <c r="Z26" s="19"/>
      <c r="AA26" s="19"/>
      <c r="AB26" s="19"/>
      <c r="AC26" s="19"/>
      <c r="AD26" s="20"/>
      <c r="AE26" s="9"/>
      <c r="AF26" s="45"/>
      <c r="AG26" s="9"/>
      <c r="AH26" s="9"/>
      <c r="AI26" s="20" t="str">
        <f>IF(Tabelle589711[[#This Row],[installierte Leistung MW]]&lt;&gt;"",Tabelle589711[[#This Row],[Durchschnittsauslastung]]*Tabelle589711[[#This Row],[installierte Leistung MW]],"")</f>
        <v/>
      </c>
      <c r="AJ26" s="19" t="str">
        <f>IF(Tabelle589711[[#This Row],[installierte Leistung MW]]&lt;&gt;"",Tabelle589711[[#This Row],[installierte Leistung MW]],"")</f>
        <v/>
      </c>
      <c r="AK26" s="19"/>
      <c r="AL26" s="19"/>
      <c r="AM26" s="19"/>
      <c r="AN26" s="19"/>
      <c r="AO26" s="19">
        <f t="shared" si="3"/>
        <v>1.6666666666666666E-4</v>
      </c>
      <c r="AP26" s="19"/>
      <c r="AQ26" s="31">
        <f t="shared" si="2"/>
        <v>1.6666666666666668E-3</v>
      </c>
      <c r="AR26" s="31"/>
      <c r="AS26" s="31"/>
      <c r="AU26" s="1">
        <v>2.25</v>
      </c>
      <c r="AX26" s="1">
        <v>2.25</v>
      </c>
      <c r="BB26" s="1">
        <v>24</v>
      </c>
      <c r="BD26" s="1" t="s">
        <v>320</v>
      </c>
      <c r="BF26" s="1">
        <v>198</v>
      </c>
      <c r="BH26" s="19"/>
      <c r="BI26" s="19"/>
      <c r="BJ26" s="19"/>
      <c r="BK26" s="8"/>
      <c r="BL26" s="8"/>
      <c r="BM26" s="8"/>
      <c r="BN26" s="8"/>
      <c r="BO26" s="8"/>
      <c r="BV26" s="13" t="s">
        <v>303</v>
      </c>
      <c r="BW26" s="13" t="s">
        <v>303</v>
      </c>
      <c r="BX26" s="13"/>
      <c r="BY26" s="13"/>
      <c r="BZ26" s="13"/>
      <c r="CA26" s="13"/>
      <c r="CB26" s="13"/>
      <c r="CD26" s="13"/>
      <c r="CE26" s="13"/>
      <c r="CF26" s="1">
        <v>62</v>
      </c>
      <c r="CI26" s="1">
        <v>62</v>
      </c>
    </row>
    <row r="27" spans="1:93" x14ac:dyDescent="0.2">
      <c r="A27" s="1" t="s">
        <v>288</v>
      </c>
      <c r="B27" s="1" t="s">
        <v>142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9"/>
      <c r="O27" s="11">
        <v>980</v>
      </c>
      <c r="P27" s="11">
        <v>980</v>
      </c>
      <c r="Q27" s="19"/>
      <c r="R27" s="19"/>
      <c r="S27" s="19"/>
      <c r="T27" s="19"/>
      <c r="U27" s="19"/>
      <c r="V27" s="19"/>
      <c r="W27" s="19"/>
      <c r="X27" s="11">
        <v>980</v>
      </c>
      <c r="Y27" s="11">
        <v>980</v>
      </c>
      <c r="Z27" s="19"/>
      <c r="AA27" s="19"/>
      <c r="AB27" s="19"/>
      <c r="AC27" s="19"/>
      <c r="AD27" s="20"/>
      <c r="AE27" s="9"/>
      <c r="AF27" s="45"/>
      <c r="AG27" s="9"/>
      <c r="AH27" s="9"/>
      <c r="AI27" s="20" t="str">
        <f>IF(Tabelle589711[[#This Row],[installierte Leistung MW]]&lt;&gt;"",Tabelle589711[[#This Row],[Durchschnittsauslastung]]*Tabelle589711[[#This Row],[installierte Leistung MW]],"")</f>
        <v/>
      </c>
      <c r="AJ27" s="19" t="str">
        <f>IF(Tabelle589711[[#This Row],[installierte Leistung MW]]&lt;&gt;"",Tabelle589711[[#This Row],[installierte Leistung MW]],"")</f>
        <v/>
      </c>
      <c r="AK27" s="19"/>
      <c r="AL27" s="19"/>
      <c r="AM27" s="19"/>
      <c r="AN27" s="19"/>
      <c r="AO27" s="19">
        <f t="shared" si="3"/>
        <v>1.6666666666666666E-4</v>
      </c>
      <c r="AP27" s="19"/>
      <c r="AQ27" s="31">
        <f t="shared" si="2"/>
        <v>1.6666666666666668E-3</v>
      </c>
      <c r="AR27" s="31"/>
      <c r="AS27" s="31"/>
      <c r="AU27" s="1">
        <v>2.25</v>
      </c>
      <c r="AX27" s="1">
        <v>2.25</v>
      </c>
      <c r="BB27" s="1">
        <v>24</v>
      </c>
      <c r="BD27" s="1" t="s">
        <v>320</v>
      </c>
      <c r="BF27" s="1">
        <v>198</v>
      </c>
      <c r="BH27" s="19"/>
      <c r="BI27" s="19"/>
      <c r="BJ27" s="19"/>
      <c r="BK27" s="8"/>
      <c r="BL27" s="8"/>
      <c r="BM27" s="8"/>
      <c r="BN27" s="8"/>
      <c r="BO27" s="8"/>
      <c r="BV27" s="13" t="s">
        <v>303</v>
      </c>
      <c r="BW27" s="13" t="s">
        <v>303</v>
      </c>
      <c r="BX27" s="13"/>
      <c r="BY27" s="13"/>
      <c r="BZ27" s="13"/>
      <c r="CA27" s="13"/>
      <c r="CB27" s="13"/>
      <c r="CD27" s="13"/>
      <c r="CE27" s="13"/>
    </row>
    <row r="28" spans="1:93" x14ac:dyDescent="0.2">
      <c r="A28" s="1" t="s">
        <v>288</v>
      </c>
      <c r="B28" s="1" t="s">
        <v>142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9"/>
      <c r="O28" s="11">
        <v>980</v>
      </c>
      <c r="P28" s="11">
        <v>980</v>
      </c>
      <c r="Q28" s="19"/>
      <c r="R28" s="19"/>
      <c r="S28" s="19"/>
      <c r="T28" s="19"/>
      <c r="U28" s="19"/>
      <c r="V28" s="19"/>
      <c r="W28" s="19"/>
      <c r="X28" s="11">
        <v>980</v>
      </c>
      <c r="Y28" s="11">
        <v>980</v>
      </c>
      <c r="Z28" s="19"/>
      <c r="AA28" s="19"/>
      <c r="AB28" s="19"/>
      <c r="AC28" s="19"/>
      <c r="AD28" s="20"/>
      <c r="AE28" s="9"/>
      <c r="AF28" s="45"/>
      <c r="AG28" s="9"/>
      <c r="AH28" s="9"/>
      <c r="AI28" s="20" t="str">
        <f>IF(Tabelle589711[[#This Row],[installierte Leistung MW]]&lt;&gt;"",Tabelle589711[[#This Row],[Durchschnittsauslastung]]*Tabelle589711[[#This Row],[installierte Leistung MW]],"")</f>
        <v/>
      </c>
      <c r="AJ28" s="19" t="str">
        <f>IF(Tabelle589711[[#This Row],[installierte Leistung MW]]&lt;&gt;"",Tabelle589711[[#This Row],[installierte Leistung MW]],"")</f>
        <v/>
      </c>
      <c r="AK28" s="19"/>
      <c r="AL28" s="19"/>
      <c r="AM28" s="19"/>
      <c r="AN28" s="19"/>
      <c r="AO28" s="19">
        <f t="shared" si="3"/>
        <v>1.6666666666666666E-4</v>
      </c>
      <c r="AP28" s="19"/>
      <c r="AQ28" s="31">
        <f t="shared" si="2"/>
        <v>1.6666666666666668E-3</v>
      </c>
      <c r="AR28" s="31"/>
      <c r="AS28" s="31"/>
      <c r="AU28" s="1">
        <v>2.25</v>
      </c>
      <c r="AX28" s="1">
        <v>2.25</v>
      </c>
      <c r="BB28" s="1">
        <v>24</v>
      </c>
      <c r="BD28" s="1" t="s">
        <v>320</v>
      </c>
      <c r="BF28" s="1">
        <v>198</v>
      </c>
      <c r="BH28" s="19"/>
      <c r="BI28" s="19"/>
      <c r="BJ28" s="19"/>
      <c r="BK28" s="8"/>
      <c r="BL28" s="8"/>
      <c r="BM28" s="8"/>
      <c r="BN28" s="8"/>
      <c r="BO28" s="8"/>
      <c r="BV28" s="13" t="s">
        <v>303</v>
      </c>
      <c r="BW28" s="13" t="s">
        <v>303</v>
      </c>
      <c r="BX28" s="13"/>
      <c r="BY28" s="13"/>
      <c r="BZ28" s="13"/>
      <c r="CA28" s="13"/>
      <c r="CB28" s="13"/>
      <c r="CD28" s="13"/>
      <c r="CE28" s="13"/>
    </row>
    <row r="29" spans="1:93" x14ac:dyDescent="0.2">
      <c r="A29" s="1" t="s">
        <v>133</v>
      </c>
      <c r="B29" s="1" t="s">
        <v>142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9"/>
      <c r="O29" s="11">
        <v>1440</v>
      </c>
      <c r="P29" s="11">
        <v>1440</v>
      </c>
      <c r="Q29" s="19"/>
      <c r="R29" s="19"/>
      <c r="S29" s="19"/>
      <c r="T29" s="19"/>
      <c r="U29" s="19"/>
      <c r="V29" s="19"/>
      <c r="W29" s="19"/>
      <c r="X29" s="11">
        <v>1440</v>
      </c>
      <c r="Y29" s="11">
        <v>1440</v>
      </c>
      <c r="Z29" s="19"/>
      <c r="AA29" s="19"/>
      <c r="AB29" s="19"/>
      <c r="AC29" s="19"/>
      <c r="AD29" s="20"/>
      <c r="AE29" s="9"/>
      <c r="AF29" s="45"/>
      <c r="AG29" s="9"/>
      <c r="AH29" s="9"/>
      <c r="AI29" s="20" t="str">
        <f>IF(Tabelle589711[[#This Row],[installierte Leistung MW]]&lt;&gt;"",Tabelle589711[[#This Row],[Durchschnittsauslastung]]*Tabelle589711[[#This Row],[installierte Leistung MW]],"")</f>
        <v/>
      </c>
      <c r="AJ29" s="19" t="str">
        <f>IF(Tabelle589711[[#This Row],[installierte Leistung MW]]&lt;&gt;"",Tabelle589711[[#This Row],[installierte Leistung MW]],"")</f>
        <v/>
      </c>
      <c r="AK29" s="19"/>
      <c r="AL29" s="19"/>
      <c r="AM29" s="19"/>
      <c r="AN29" s="19"/>
      <c r="AO29" s="19">
        <f t="shared" si="3"/>
        <v>1.6666666666666666E-4</v>
      </c>
      <c r="AP29" s="19"/>
      <c r="AQ29" s="31">
        <f t="shared" si="2"/>
        <v>1.6666666666666668E-3</v>
      </c>
      <c r="AR29" s="31"/>
      <c r="AS29" s="31"/>
      <c r="AU29" s="1">
        <v>1.75</v>
      </c>
      <c r="AX29" s="1">
        <v>1.75</v>
      </c>
      <c r="BF29" s="1">
        <v>116</v>
      </c>
      <c r="BH29" s="19"/>
      <c r="BI29" s="19"/>
      <c r="BJ29" s="19"/>
      <c r="BK29" s="8"/>
      <c r="BL29" s="8"/>
      <c r="BM29" s="8"/>
      <c r="BN29" s="8"/>
      <c r="BO29" s="8"/>
      <c r="BV29" s="13" t="s">
        <v>303</v>
      </c>
      <c r="BW29" s="13" t="s">
        <v>303</v>
      </c>
      <c r="BX29" s="13"/>
      <c r="BY29" s="13"/>
      <c r="BZ29" s="13"/>
      <c r="CA29" s="13"/>
      <c r="CB29" s="13"/>
      <c r="CD29" s="13"/>
      <c r="CE29" s="13"/>
      <c r="CF29" s="1">
        <v>63</v>
      </c>
      <c r="CJ29" s="1">
        <v>62</v>
      </c>
    </row>
    <row r="30" spans="1:93" x14ac:dyDescent="0.2">
      <c r="A30" s="1" t="s">
        <v>133</v>
      </c>
      <c r="B30" s="1" t="s">
        <v>142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9"/>
      <c r="O30" s="11">
        <v>1600</v>
      </c>
      <c r="P30" s="11">
        <v>1600</v>
      </c>
      <c r="Q30" s="19"/>
      <c r="R30" s="19"/>
      <c r="S30" s="19"/>
      <c r="T30" s="19"/>
      <c r="U30" s="19"/>
      <c r="V30" s="19"/>
      <c r="W30" s="19"/>
      <c r="X30" s="11">
        <v>1600</v>
      </c>
      <c r="Y30" s="11">
        <v>1600</v>
      </c>
      <c r="Z30" s="19"/>
      <c r="AA30" s="19"/>
      <c r="AB30" s="19"/>
      <c r="AC30" s="19"/>
      <c r="AD30" s="20"/>
      <c r="AE30" s="9"/>
      <c r="AF30" s="45"/>
      <c r="AG30" s="9"/>
      <c r="AH30" s="9"/>
      <c r="AI30" s="20" t="str">
        <f>IF(Tabelle589711[[#This Row],[installierte Leistung MW]]&lt;&gt;"",Tabelle589711[[#This Row],[Durchschnittsauslastung]]*Tabelle589711[[#This Row],[installierte Leistung MW]],"")</f>
        <v/>
      </c>
      <c r="AJ30" s="19" t="str">
        <f>IF(Tabelle589711[[#This Row],[installierte Leistung MW]]&lt;&gt;"",Tabelle589711[[#This Row],[installierte Leistung MW]],"")</f>
        <v/>
      </c>
      <c r="AK30" s="19"/>
      <c r="AL30" s="19"/>
      <c r="AM30" s="19"/>
      <c r="AN30" s="19"/>
      <c r="AO30" s="19">
        <f t="shared" si="3"/>
        <v>1.6666666666666666E-4</v>
      </c>
      <c r="AP30" s="19"/>
      <c r="AQ30" s="31">
        <f t="shared" si="2"/>
        <v>1.6666666666666668E-3</v>
      </c>
      <c r="AR30" s="31"/>
      <c r="AS30" s="31"/>
      <c r="AU30" s="1">
        <v>1.75</v>
      </c>
      <c r="AX30" s="1">
        <v>1.75</v>
      </c>
      <c r="BF30" s="1">
        <v>116</v>
      </c>
      <c r="BH30" s="19"/>
      <c r="BI30" s="19"/>
      <c r="BJ30" s="19"/>
      <c r="BK30" s="8"/>
      <c r="BL30" s="8"/>
      <c r="BM30" s="8"/>
      <c r="BN30" s="8"/>
      <c r="BO30" s="8"/>
      <c r="BV30" s="13" t="s">
        <v>303</v>
      </c>
      <c r="BW30" s="13" t="s">
        <v>303</v>
      </c>
      <c r="BX30" s="13"/>
      <c r="BY30" s="13"/>
      <c r="BZ30" s="13"/>
      <c r="CA30" s="13"/>
      <c r="CB30" s="13"/>
      <c r="CD30" s="13"/>
      <c r="CE30" s="13"/>
    </row>
    <row r="31" spans="1:93" x14ac:dyDescent="0.2">
      <c r="A31" s="1" t="s">
        <v>133</v>
      </c>
      <c r="B31" s="1" t="s">
        <v>142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9"/>
      <c r="O31" s="11">
        <v>1600</v>
      </c>
      <c r="P31" s="11">
        <v>1600</v>
      </c>
      <c r="Q31" s="19"/>
      <c r="R31" s="19"/>
      <c r="S31" s="19"/>
      <c r="T31" s="19"/>
      <c r="U31" s="19"/>
      <c r="V31" s="19"/>
      <c r="W31" s="19"/>
      <c r="X31" s="11">
        <v>1600</v>
      </c>
      <c r="Y31" s="11">
        <v>1600</v>
      </c>
      <c r="Z31" s="19"/>
      <c r="AA31" s="19"/>
      <c r="AB31" s="19"/>
      <c r="AC31" s="19"/>
      <c r="AD31" s="20"/>
      <c r="AE31" s="9"/>
      <c r="AF31" s="45"/>
      <c r="AG31" s="9"/>
      <c r="AH31" s="9"/>
      <c r="AI31" s="20" t="str">
        <f>IF(Tabelle589711[[#This Row],[installierte Leistung MW]]&lt;&gt;"",Tabelle589711[[#This Row],[Durchschnittsauslastung]]*Tabelle589711[[#This Row],[installierte Leistung MW]],"")</f>
        <v/>
      </c>
      <c r="AJ31" s="19" t="str">
        <f>IF(Tabelle589711[[#This Row],[installierte Leistung MW]]&lt;&gt;"",Tabelle589711[[#This Row],[installierte Leistung MW]],"")</f>
        <v/>
      </c>
      <c r="AK31" s="19"/>
      <c r="AL31" s="19"/>
      <c r="AM31" s="19"/>
      <c r="AN31" s="19"/>
      <c r="AO31" s="19">
        <f t="shared" si="3"/>
        <v>1.6666666666666666E-4</v>
      </c>
      <c r="AP31" s="19"/>
      <c r="AQ31" s="31">
        <f t="shared" si="2"/>
        <v>1.6666666666666668E-3</v>
      </c>
      <c r="AR31" s="31"/>
      <c r="AS31" s="31"/>
      <c r="AU31" s="1">
        <v>1.75</v>
      </c>
      <c r="AX31" s="1">
        <v>1.75</v>
      </c>
      <c r="BF31" s="1">
        <v>116</v>
      </c>
      <c r="BH31" s="19"/>
      <c r="BI31" s="19"/>
      <c r="BJ31" s="19"/>
      <c r="BK31" s="8"/>
      <c r="BL31" s="8"/>
      <c r="BM31" s="8"/>
      <c r="BN31" s="8"/>
      <c r="BO31" s="8"/>
      <c r="BV31" s="13" t="s">
        <v>303</v>
      </c>
      <c r="BW31" s="13" t="s">
        <v>303</v>
      </c>
      <c r="BX31" s="13"/>
      <c r="BY31" s="13"/>
      <c r="BZ31" s="13"/>
      <c r="CA31" s="13"/>
      <c r="CB31" s="13"/>
      <c r="CD31" s="13"/>
      <c r="CE31" s="13"/>
    </row>
    <row r="32" spans="1:93" x14ac:dyDescent="0.2">
      <c r="A32" s="1" t="s">
        <v>132</v>
      </c>
      <c r="B32" s="1" t="s">
        <v>142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9"/>
      <c r="O32" s="11">
        <v>900</v>
      </c>
      <c r="P32" s="11">
        <v>900</v>
      </c>
      <c r="Q32" s="19"/>
      <c r="R32" s="19"/>
      <c r="S32" s="19"/>
      <c r="T32" s="19"/>
      <c r="U32" s="19"/>
      <c r="V32" s="19"/>
      <c r="W32" s="19"/>
      <c r="X32" s="11">
        <v>900</v>
      </c>
      <c r="Y32" s="11">
        <v>900</v>
      </c>
      <c r="Z32" s="19"/>
      <c r="AA32" s="19"/>
      <c r="AB32" s="19"/>
      <c r="AC32" s="19"/>
      <c r="AD32" s="20"/>
      <c r="AE32" s="9"/>
      <c r="AF32" s="45"/>
      <c r="AG32" s="9"/>
      <c r="AH32" s="9"/>
      <c r="AI32" s="20" t="str">
        <f>IF(Tabelle589711[[#This Row],[installierte Leistung MW]]&lt;&gt;"",Tabelle589711[[#This Row],[Durchschnittsauslastung]]*Tabelle589711[[#This Row],[installierte Leistung MW]],"")</f>
        <v/>
      </c>
      <c r="AJ32" s="19" t="str">
        <f>IF(Tabelle589711[[#This Row],[installierte Leistung MW]]&lt;&gt;"",Tabelle589711[[#This Row],[installierte Leistung MW]],"")</f>
        <v/>
      </c>
      <c r="AK32" s="19"/>
      <c r="AL32" s="19"/>
      <c r="AM32" s="19"/>
      <c r="AN32" s="19"/>
      <c r="AO32" s="19">
        <f t="shared" si="3"/>
        <v>1.6666666666666666E-4</v>
      </c>
      <c r="AP32" s="19"/>
      <c r="AQ32" s="31">
        <f t="shared" si="2"/>
        <v>1.6666666666666668E-3</v>
      </c>
      <c r="AR32" s="31"/>
      <c r="AS32" s="31"/>
      <c r="AU32" s="1">
        <v>2</v>
      </c>
      <c r="AX32" s="1">
        <v>2</v>
      </c>
      <c r="BD32" s="1" t="s">
        <v>318</v>
      </c>
      <c r="BH32" s="19"/>
      <c r="BI32" s="19"/>
      <c r="BJ32" s="19"/>
      <c r="BK32" s="8"/>
      <c r="BL32" s="8"/>
      <c r="BM32" s="8"/>
      <c r="BN32" s="8"/>
      <c r="BO32" s="8"/>
      <c r="BV32" s="13" t="s">
        <v>303</v>
      </c>
      <c r="BW32" s="13" t="s">
        <v>303</v>
      </c>
      <c r="BX32" s="13"/>
      <c r="BY32" s="13"/>
      <c r="BZ32" s="13"/>
      <c r="CA32" s="13"/>
      <c r="CB32" s="13"/>
      <c r="CD32" s="13"/>
      <c r="CE32" s="13"/>
      <c r="CF32" s="1">
        <v>61</v>
      </c>
      <c r="CI32" s="1" t="s">
        <v>319</v>
      </c>
    </row>
    <row r="33" spans="1:93" x14ac:dyDescent="0.2">
      <c r="A33" s="1" t="s">
        <v>132</v>
      </c>
      <c r="B33" s="1" t="s">
        <v>142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9"/>
      <c r="O33" s="11">
        <v>1000</v>
      </c>
      <c r="P33" s="11">
        <v>1000</v>
      </c>
      <c r="Q33" s="19"/>
      <c r="R33" s="19"/>
      <c r="S33" s="19"/>
      <c r="T33" s="19"/>
      <c r="U33" s="19"/>
      <c r="V33" s="19"/>
      <c r="W33" s="19"/>
      <c r="X33" s="11">
        <v>1000</v>
      </c>
      <c r="Y33" s="11">
        <v>1000</v>
      </c>
      <c r="Z33" s="19"/>
      <c r="AA33" s="19"/>
      <c r="AB33" s="19"/>
      <c r="AC33" s="19"/>
      <c r="AD33" s="20"/>
      <c r="AE33" s="9"/>
      <c r="AF33" s="45"/>
      <c r="AG33" s="9"/>
      <c r="AH33" s="9"/>
      <c r="AI33" s="20" t="str">
        <f>IF(Tabelle589711[[#This Row],[installierte Leistung MW]]&lt;&gt;"",Tabelle589711[[#This Row],[Durchschnittsauslastung]]*Tabelle589711[[#This Row],[installierte Leistung MW]],"")</f>
        <v/>
      </c>
      <c r="AJ33" s="19" t="str">
        <f>IF(Tabelle589711[[#This Row],[installierte Leistung MW]]&lt;&gt;"",Tabelle589711[[#This Row],[installierte Leistung MW]],"")</f>
        <v/>
      </c>
      <c r="AK33" s="19"/>
      <c r="AL33" s="19"/>
      <c r="AM33" s="19"/>
      <c r="AN33" s="19"/>
      <c r="AO33" s="19">
        <f t="shared" si="3"/>
        <v>1.6666666666666666E-4</v>
      </c>
      <c r="AP33" s="19"/>
      <c r="AQ33" s="31">
        <f t="shared" si="2"/>
        <v>1.6666666666666668E-3</v>
      </c>
      <c r="AR33" s="31"/>
      <c r="AS33" s="31"/>
      <c r="AU33" s="1">
        <v>2</v>
      </c>
      <c r="AX33" s="1">
        <v>2</v>
      </c>
      <c r="BD33" s="1" t="s">
        <v>318</v>
      </c>
      <c r="BH33" s="19"/>
      <c r="BI33" s="19"/>
      <c r="BJ33" s="19"/>
      <c r="BK33" s="8"/>
      <c r="BL33" s="8"/>
      <c r="BM33" s="8"/>
      <c r="BN33" s="8"/>
      <c r="BO33" s="8"/>
      <c r="BV33" s="13" t="s">
        <v>303</v>
      </c>
      <c r="BW33" s="13" t="s">
        <v>303</v>
      </c>
      <c r="BX33" s="13"/>
      <c r="BY33" s="13"/>
      <c r="BZ33" s="13"/>
      <c r="CA33" s="13"/>
      <c r="CB33" s="13"/>
      <c r="CD33" s="13"/>
      <c r="CE33" s="13"/>
    </row>
    <row r="34" spans="1:93" x14ac:dyDescent="0.2">
      <c r="A34" s="1" t="s">
        <v>132</v>
      </c>
      <c r="B34" s="1" t="s">
        <v>142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9"/>
      <c r="O34" s="11">
        <v>1000</v>
      </c>
      <c r="P34" s="11">
        <v>1000</v>
      </c>
      <c r="Q34" s="19"/>
      <c r="R34" s="19"/>
      <c r="S34" s="19"/>
      <c r="T34" s="19"/>
      <c r="U34" s="19"/>
      <c r="V34" s="19"/>
      <c r="W34" s="19"/>
      <c r="X34" s="11">
        <v>1000</v>
      </c>
      <c r="Y34" s="11">
        <v>1000</v>
      </c>
      <c r="Z34" s="19"/>
      <c r="AA34" s="19"/>
      <c r="AB34" s="19"/>
      <c r="AC34" s="19"/>
      <c r="AD34" s="20"/>
      <c r="AE34" s="9"/>
      <c r="AF34" s="45"/>
      <c r="AG34" s="9"/>
      <c r="AH34" s="9"/>
      <c r="AI34" s="20" t="str">
        <f>IF(Tabelle589711[[#This Row],[installierte Leistung MW]]&lt;&gt;"",Tabelle589711[[#This Row],[Durchschnittsauslastung]]*Tabelle589711[[#This Row],[installierte Leistung MW]],"")</f>
        <v/>
      </c>
      <c r="AJ34" s="19" t="str">
        <f>IF(Tabelle589711[[#This Row],[installierte Leistung MW]]&lt;&gt;"",Tabelle589711[[#This Row],[installierte Leistung MW]],"")</f>
        <v/>
      </c>
      <c r="AK34" s="19"/>
      <c r="AL34" s="19"/>
      <c r="AM34" s="19"/>
      <c r="AN34" s="19"/>
      <c r="AO34" s="19">
        <f t="shared" si="3"/>
        <v>1.6666666666666666E-4</v>
      </c>
      <c r="AP34" s="19"/>
      <c r="AQ34" s="31">
        <f t="shared" si="2"/>
        <v>1.6666666666666668E-3</v>
      </c>
      <c r="AR34" s="31"/>
      <c r="AS34" s="31"/>
      <c r="AU34" s="1">
        <v>2</v>
      </c>
      <c r="AX34" s="1">
        <v>2</v>
      </c>
      <c r="BD34" s="1" t="s">
        <v>318</v>
      </c>
      <c r="BH34" s="19"/>
      <c r="BI34" s="19"/>
      <c r="BJ34" s="19"/>
      <c r="BK34" s="8"/>
      <c r="BL34" s="8"/>
      <c r="BM34" s="8"/>
      <c r="BN34" s="8"/>
      <c r="BO34" s="8"/>
      <c r="BV34" s="13" t="s">
        <v>303</v>
      </c>
      <c r="BW34" s="13" t="s">
        <v>303</v>
      </c>
      <c r="BX34" s="13"/>
      <c r="BY34" s="13"/>
      <c r="BZ34" s="13"/>
      <c r="CA34" s="13"/>
      <c r="CB34" s="13"/>
      <c r="CD34" s="13"/>
      <c r="CE34" s="13"/>
    </row>
    <row r="35" spans="1:93" x14ac:dyDescent="0.2">
      <c r="A35" s="1" t="s">
        <v>367</v>
      </c>
      <c r="B35" s="1" t="s">
        <v>142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9"/>
      <c r="O35" s="11">
        <v>2620</v>
      </c>
      <c r="P35" s="11">
        <v>0</v>
      </c>
      <c r="Q35" s="19"/>
      <c r="R35" s="19"/>
      <c r="S35" s="19"/>
      <c r="T35" s="19"/>
      <c r="U35" s="19"/>
      <c r="V35" s="19"/>
      <c r="W35" s="19"/>
      <c r="X35" s="11">
        <v>2620</v>
      </c>
      <c r="Y35" s="11">
        <v>0</v>
      </c>
      <c r="Z35" s="19"/>
      <c r="AA35" s="19"/>
      <c r="AB35" s="19"/>
      <c r="AC35" s="19"/>
      <c r="AD35" s="20"/>
      <c r="AE35" s="9"/>
      <c r="AF35" s="45">
        <f>Tabelle589711[[#This Row],[Durchschnittsauslastung]]*8760</f>
        <v>450</v>
      </c>
      <c r="AG35" s="9">
        <f>450/8760</f>
        <v>5.1369863013698627E-2</v>
      </c>
      <c r="AH35" s="9"/>
      <c r="AI35" s="20" t="str">
        <f>IF(Tabelle589711[[#This Row],[installierte Leistung MW]]&lt;&gt;"",Tabelle589711[[#This Row],[Durchschnittsauslastung]]*Tabelle589711[[#This Row],[installierte Leistung MW]],"")</f>
        <v/>
      </c>
      <c r="AJ35" s="19" t="str">
        <f>IF(Tabelle589711[[#This Row],[installierte Leistung MW]]&lt;&gt;"",Tabelle589711[[#This Row],[installierte Leistung MW]],"")</f>
        <v/>
      </c>
      <c r="AK35" s="19"/>
      <c r="AL35" s="19"/>
      <c r="AM35" s="19"/>
      <c r="AN35" s="19"/>
      <c r="AO35" s="19">
        <f t="shared" si="3"/>
        <v>1.6666666666666666E-4</v>
      </c>
      <c r="AP35" s="19"/>
      <c r="AQ35" s="31">
        <f t="shared" si="2"/>
        <v>1.6666666666666668E-3</v>
      </c>
      <c r="AR35" s="31"/>
      <c r="AS35" s="31"/>
      <c r="BH35" s="19"/>
      <c r="BI35" s="19"/>
      <c r="BJ35" s="19"/>
      <c r="BK35" s="8"/>
      <c r="BL35" s="8"/>
      <c r="BM35" s="8"/>
      <c r="BN35" s="8"/>
      <c r="BO35" s="8"/>
      <c r="BV35" s="13" t="s">
        <v>303</v>
      </c>
      <c r="BW35" s="13" t="s">
        <v>303</v>
      </c>
      <c r="BX35" s="13"/>
      <c r="BY35" s="13"/>
      <c r="BZ35" s="13"/>
      <c r="CA35" s="13"/>
      <c r="CB35" s="13"/>
      <c r="CD35" s="13"/>
      <c r="CE35" s="13"/>
    </row>
    <row r="36" spans="1:93" x14ac:dyDescent="0.2">
      <c r="A36" s="1" t="s">
        <v>367</v>
      </c>
      <c r="B36" s="1" t="s">
        <v>142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9"/>
      <c r="O36" s="11">
        <v>7800</v>
      </c>
      <c r="P36" s="11">
        <v>0</v>
      </c>
      <c r="Q36" s="19"/>
      <c r="R36" s="19"/>
      <c r="S36" s="19"/>
      <c r="T36" s="19"/>
      <c r="U36" s="19"/>
      <c r="V36" s="19"/>
      <c r="W36" s="19"/>
      <c r="X36" s="11">
        <v>7800</v>
      </c>
      <c r="Y36" s="11">
        <v>0</v>
      </c>
      <c r="Z36" s="19"/>
      <c r="AA36" s="19"/>
      <c r="AB36" s="19"/>
      <c r="AC36" s="19"/>
      <c r="AD36" s="20"/>
      <c r="AE36" s="9"/>
      <c r="AF36" s="45">
        <f>Tabelle589711[[#This Row],[Durchschnittsauslastung]]*8760</f>
        <v>450</v>
      </c>
      <c r="AG36" s="9">
        <f>450/8760</f>
        <v>5.1369863013698627E-2</v>
      </c>
      <c r="AH36" s="9"/>
      <c r="AI36" s="20" t="str">
        <f>IF(Tabelle589711[[#This Row],[installierte Leistung MW]]&lt;&gt;"",Tabelle589711[[#This Row],[Durchschnittsauslastung]]*Tabelle589711[[#This Row],[installierte Leistung MW]],"")</f>
        <v/>
      </c>
      <c r="AJ36" s="19" t="str">
        <f>IF(Tabelle589711[[#This Row],[installierte Leistung MW]]&lt;&gt;"",Tabelle589711[[#This Row],[installierte Leistung MW]],"")</f>
        <v/>
      </c>
      <c r="AK36" s="19"/>
      <c r="AL36" s="19"/>
      <c r="AM36" s="19"/>
      <c r="AN36" s="19"/>
      <c r="AO36" s="19">
        <f t="shared" si="3"/>
        <v>1.6666666666666666E-4</v>
      </c>
      <c r="AP36" s="19"/>
      <c r="AQ36" s="31">
        <f t="shared" si="2"/>
        <v>1.6666666666666668E-3</v>
      </c>
      <c r="AR36" s="31"/>
      <c r="AS36" s="31"/>
      <c r="BH36" s="19"/>
      <c r="BI36" s="19"/>
      <c r="BJ36" s="19"/>
      <c r="BK36" s="8"/>
      <c r="BL36" s="8"/>
      <c r="BM36" s="8"/>
      <c r="BN36" s="8"/>
      <c r="BO36" s="8"/>
      <c r="BV36" s="13" t="s">
        <v>303</v>
      </c>
      <c r="BW36" s="13" t="s">
        <v>303</v>
      </c>
      <c r="BX36" s="13"/>
      <c r="BY36" s="13"/>
      <c r="BZ36" s="13"/>
      <c r="CA36" s="13"/>
      <c r="CB36" s="13"/>
      <c r="CD36" s="13"/>
      <c r="CE36" s="13"/>
    </row>
    <row r="37" spans="1:93" x14ac:dyDescent="0.2">
      <c r="A37" s="1" t="s">
        <v>367</v>
      </c>
      <c r="B37" s="1" t="s">
        <v>142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9"/>
      <c r="O37" s="11">
        <v>11420</v>
      </c>
      <c r="P37" s="11">
        <v>0</v>
      </c>
      <c r="Q37" s="19"/>
      <c r="R37" s="19"/>
      <c r="S37" s="19"/>
      <c r="T37" s="19"/>
      <c r="U37" s="19"/>
      <c r="V37" s="19"/>
      <c r="W37" s="19"/>
      <c r="X37" s="11">
        <v>11420</v>
      </c>
      <c r="Y37" s="11">
        <v>0</v>
      </c>
      <c r="Z37" s="19"/>
      <c r="AA37" s="19"/>
      <c r="AB37" s="19"/>
      <c r="AC37" s="19"/>
      <c r="AD37" s="20"/>
      <c r="AE37" s="9"/>
      <c r="AF37" s="45">
        <f>Tabelle589711[[#This Row],[Durchschnittsauslastung]]*8760</f>
        <v>450</v>
      </c>
      <c r="AG37" s="9">
        <f>450/8760</f>
        <v>5.1369863013698627E-2</v>
      </c>
      <c r="AH37" s="9"/>
      <c r="AI37" s="20" t="str">
        <f>IF(Tabelle589711[[#This Row],[installierte Leistung MW]]&lt;&gt;"",Tabelle589711[[#This Row],[Durchschnittsauslastung]]*Tabelle589711[[#This Row],[installierte Leistung MW]],"")</f>
        <v/>
      </c>
      <c r="AJ37" s="19" t="str">
        <f>IF(Tabelle589711[[#This Row],[installierte Leistung MW]]&lt;&gt;"",Tabelle589711[[#This Row],[installierte Leistung MW]],"")</f>
        <v/>
      </c>
      <c r="AK37" s="19"/>
      <c r="AL37" s="19"/>
      <c r="AM37" s="19"/>
      <c r="AN37" s="19"/>
      <c r="AO37" s="19">
        <f t="shared" si="3"/>
        <v>1.6666666666666666E-4</v>
      </c>
      <c r="AP37" s="19"/>
      <c r="AQ37" s="31">
        <f t="shared" si="2"/>
        <v>1.6666666666666668E-3</v>
      </c>
      <c r="AR37" s="31"/>
      <c r="AS37" s="31"/>
      <c r="BH37" s="19"/>
      <c r="BI37" s="19"/>
      <c r="BJ37" s="19"/>
      <c r="BK37" s="8"/>
      <c r="BL37" s="8"/>
      <c r="BM37" s="8"/>
      <c r="BN37" s="8"/>
      <c r="BO37" s="8"/>
      <c r="BV37" s="13" t="s">
        <v>303</v>
      </c>
      <c r="BW37" s="13" t="s">
        <v>303</v>
      </c>
      <c r="BX37" s="13"/>
      <c r="BY37" s="13"/>
      <c r="BZ37" s="13"/>
      <c r="CA37" s="13"/>
      <c r="CB37" s="13"/>
      <c r="CD37" s="13"/>
      <c r="CE37" s="13"/>
    </row>
    <row r="38" spans="1:93" x14ac:dyDescent="0.2">
      <c r="A38" s="1" t="s">
        <v>137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9"/>
      <c r="O38" s="11">
        <v>0</v>
      </c>
      <c r="P38" s="11">
        <v>380</v>
      </c>
      <c r="Q38" s="19"/>
      <c r="R38" s="19"/>
      <c r="S38" s="19"/>
      <c r="T38" s="19"/>
      <c r="U38" s="19"/>
      <c r="V38" s="19"/>
      <c r="W38" s="19"/>
      <c r="X38" s="11">
        <v>0</v>
      </c>
      <c r="Y38" s="11">
        <v>380</v>
      </c>
      <c r="Z38" s="19"/>
      <c r="AA38" s="19"/>
      <c r="AB38" s="19"/>
      <c r="AC38" s="19"/>
      <c r="AD38" s="20"/>
      <c r="AE38" s="9"/>
      <c r="AF38" s="45">
        <f>Tabelle589711[[#This Row],[Durchschnittsauslastung]]*8760</f>
        <v>1950</v>
      </c>
      <c r="AG38" s="9">
        <f>1950/8760</f>
        <v>0.2226027397260274</v>
      </c>
      <c r="AH38" s="9"/>
      <c r="AI38" s="20">
        <f>IF(Tabelle589711[[#This Row],[installierte Leistung MW]]&lt;&gt;"",Tabelle589711[[#This Row],[Durchschnittsauslastung]]*Tabelle589711[[#This Row],[installierte Leistung MW]],"")</f>
        <v>342.8082191780822</v>
      </c>
      <c r="AJ38" s="19"/>
      <c r="AK38" s="19"/>
      <c r="AL38" s="19">
        <v>1540</v>
      </c>
      <c r="AM38" s="19"/>
      <c r="AN38" s="19"/>
      <c r="AO38" s="19">
        <f t="shared" si="3"/>
        <v>1.6666666666666666E-4</v>
      </c>
      <c r="AP38" s="19"/>
      <c r="AQ38" s="31">
        <f t="shared" si="2"/>
        <v>1.6666666666666668E-3</v>
      </c>
      <c r="AR38" s="31"/>
      <c r="AS38" s="31"/>
      <c r="BD38" s="1" t="s">
        <v>321</v>
      </c>
      <c r="BH38" s="19"/>
      <c r="BI38" s="19"/>
      <c r="BJ38" s="19"/>
      <c r="BK38" s="8"/>
      <c r="BL38" s="8"/>
      <c r="BM38" s="8"/>
      <c r="BN38" s="8"/>
      <c r="BO38" s="8"/>
      <c r="BV38" s="13" t="s">
        <v>303</v>
      </c>
      <c r="BW38" s="13" t="s">
        <v>303</v>
      </c>
      <c r="BX38" s="13"/>
      <c r="BY38" s="13"/>
      <c r="BZ38" s="13"/>
      <c r="CA38" s="13">
        <v>73</v>
      </c>
      <c r="CB38" s="13"/>
      <c r="CD38" s="13">
        <v>73</v>
      </c>
      <c r="CE38" s="13"/>
    </row>
    <row r="39" spans="1:93" x14ac:dyDescent="0.2">
      <c r="A39" s="1" t="s">
        <v>137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9"/>
      <c r="O39" s="11">
        <v>0</v>
      </c>
      <c r="P39" s="11">
        <v>5950</v>
      </c>
      <c r="Q39" s="19"/>
      <c r="R39" s="19"/>
      <c r="S39" s="19"/>
      <c r="T39" s="19"/>
      <c r="U39" s="19"/>
      <c r="V39" s="19"/>
      <c r="W39" s="19"/>
      <c r="X39" s="11">
        <v>0</v>
      </c>
      <c r="Y39" s="11">
        <v>5950</v>
      </c>
      <c r="Z39" s="19"/>
      <c r="AA39" s="19"/>
      <c r="AB39" s="19"/>
      <c r="AC39" s="19"/>
      <c r="AD39" s="20"/>
      <c r="AE39" s="9"/>
      <c r="AF39" s="45">
        <f>Tabelle589711[[#This Row],[Durchschnittsauslastung]]*8760</f>
        <v>1900</v>
      </c>
      <c r="AG39" s="9">
        <f>1900/8760</f>
        <v>0.21689497716894976</v>
      </c>
      <c r="AH39" s="9"/>
      <c r="AI39" s="20" t="str">
        <f>IF(Tabelle589711[[#This Row],[installierte Leistung MW]]&lt;&gt;"",Tabelle589711[[#This Row],[Durchschnittsauslastung]]*Tabelle589711[[#This Row],[installierte Leistung MW]],"")</f>
        <v/>
      </c>
      <c r="AJ39" s="19" t="str">
        <f>IF(Tabelle589711[[#This Row],[installierte Leistung MW]]&lt;&gt;"",Tabelle589711[[#This Row],[installierte Leistung MW]],"")</f>
        <v/>
      </c>
      <c r="AK39" s="19"/>
      <c r="AL39" s="19"/>
      <c r="AM39" s="19">
        <v>3630</v>
      </c>
      <c r="AN39" s="19">
        <v>4580</v>
      </c>
      <c r="AO39" s="19">
        <f t="shared" si="3"/>
        <v>1.6666666666666666E-4</v>
      </c>
      <c r="AP39" s="19"/>
      <c r="AQ39" s="31">
        <f t="shared" si="2"/>
        <v>1.6666666666666668E-3</v>
      </c>
      <c r="AR39" s="31"/>
      <c r="AS39" s="31"/>
      <c r="BD39" s="1" t="s">
        <v>321</v>
      </c>
      <c r="BH39" s="19"/>
      <c r="BI39" s="19"/>
      <c r="BJ39" s="19"/>
      <c r="BK39" s="8"/>
      <c r="BL39" s="8"/>
      <c r="BM39" s="8"/>
      <c r="BN39" s="8"/>
      <c r="BO39" s="8"/>
      <c r="BV39" s="13" t="s">
        <v>303</v>
      </c>
      <c r="BW39" s="13" t="s">
        <v>303</v>
      </c>
      <c r="BX39" s="13"/>
      <c r="BY39" s="13"/>
      <c r="BZ39" s="13"/>
      <c r="CA39" s="13">
        <v>73</v>
      </c>
      <c r="CB39" s="13"/>
      <c r="CD39" s="13"/>
      <c r="CE39" s="13"/>
    </row>
    <row r="40" spans="1:93" x14ac:dyDescent="0.2">
      <c r="A40" s="1" t="s">
        <v>137</v>
      </c>
      <c r="B40" s="1" t="s">
        <v>142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9"/>
      <c r="O40" s="11">
        <v>0</v>
      </c>
      <c r="P40" s="11">
        <v>8200</v>
      </c>
      <c r="Q40" s="19"/>
      <c r="R40" s="19"/>
      <c r="S40" s="19"/>
      <c r="T40" s="19"/>
      <c r="U40" s="19"/>
      <c r="V40" s="19"/>
      <c r="W40" s="19"/>
      <c r="X40" s="11">
        <v>0</v>
      </c>
      <c r="Y40" s="11">
        <v>8200</v>
      </c>
      <c r="Z40" s="19"/>
      <c r="AA40" s="19"/>
      <c r="AB40" s="19"/>
      <c r="AC40" s="19"/>
      <c r="AD40" s="20"/>
      <c r="AE40" s="9"/>
      <c r="AF40" s="45">
        <f>Tabelle589711[[#This Row],[Durchschnittsauslastung]]*8760</f>
        <v>1850</v>
      </c>
      <c r="AG40" s="9">
        <f>1850/8760</f>
        <v>0.21118721461187215</v>
      </c>
      <c r="AH40" s="9"/>
      <c r="AI40" s="20" t="str">
        <f>IF(Tabelle589711[[#This Row],[installierte Leistung MW]]&lt;&gt;"",Tabelle589711[[#This Row],[Durchschnittsauslastung]]*Tabelle589711[[#This Row],[installierte Leistung MW]],"")</f>
        <v/>
      </c>
      <c r="AJ40" s="19" t="str">
        <f>IF(Tabelle589711[[#This Row],[installierte Leistung MW]]&lt;&gt;"",Tabelle589711[[#This Row],[installierte Leistung MW]],"")</f>
        <v/>
      </c>
      <c r="AK40" s="19"/>
      <c r="AL40" s="19"/>
      <c r="AM40" s="19">
        <v>5100</v>
      </c>
      <c r="AN40" s="19">
        <v>9100</v>
      </c>
      <c r="AO40" s="19">
        <f t="shared" si="3"/>
        <v>1.6666666666666666E-4</v>
      </c>
      <c r="AP40" s="19"/>
      <c r="AQ40" s="31">
        <f t="shared" si="2"/>
        <v>1.6666666666666668E-3</v>
      </c>
      <c r="AR40" s="31"/>
      <c r="AS40" s="31"/>
      <c r="BD40" s="1" t="s">
        <v>321</v>
      </c>
      <c r="BH40" s="19"/>
      <c r="BI40" s="19"/>
      <c r="BJ40" s="19"/>
      <c r="BK40" s="8"/>
      <c r="BL40" s="8"/>
      <c r="BM40" s="8"/>
      <c r="BN40" s="8"/>
      <c r="BO40" s="8"/>
      <c r="BV40" s="13" t="s">
        <v>303</v>
      </c>
      <c r="BW40" s="13" t="s">
        <v>303</v>
      </c>
      <c r="BX40" s="13"/>
      <c r="BY40" s="13"/>
      <c r="BZ40" s="13"/>
      <c r="CA40" s="13">
        <v>73</v>
      </c>
      <c r="CB40" s="13"/>
      <c r="CD40" s="13"/>
      <c r="CE40" s="13"/>
    </row>
    <row r="41" spans="1:93" x14ac:dyDescent="0.2">
      <c r="A41" s="1" t="s">
        <v>141</v>
      </c>
      <c r="B41" s="1" t="s">
        <v>142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9"/>
      <c r="O41" s="11">
        <v>0</v>
      </c>
      <c r="P41" s="11">
        <v>2430</v>
      </c>
      <c r="Q41" s="19"/>
      <c r="R41" s="19"/>
      <c r="S41" s="19"/>
      <c r="T41" s="19"/>
      <c r="U41" s="19"/>
      <c r="V41" s="19"/>
      <c r="W41" s="19"/>
      <c r="X41" s="11">
        <v>0</v>
      </c>
      <c r="Y41" s="11">
        <v>2430</v>
      </c>
      <c r="Z41" s="19"/>
      <c r="AA41" s="19"/>
      <c r="AB41" s="19"/>
      <c r="AC41" s="19"/>
      <c r="AD41" s="20"/>
      <c r="AE41" s="9"/>
      <c r="AF41" s="45"/>
      <c r="AG41" s="9"/>
      <c r="AH41" s="9"/>
      <c r="AI41" s="20" t="str">
        <f>IF(Tabelle589711[[#This Row],[installierte Leistung MW]]&lt;&gt;"",Tabelle589711[[#This Row],[Durchschnittsauslastung]]*Tabelle589711[[#This Row],[installierte Leistung MW]],"")</f>
        <v/>
      </c>
      <c r="AJ41" s="19" t="str">
        <f>IF(Tabelle589711[[#This Row],[installierte Leistung MW]]&lt;&gt;"",Tabelle589711[[#This Row],[installierte Leistung MW]],"")</f>
        <v/>
      </c>
      <c r="AK41" s="19"/>
      <c r="AL41" s="19"/>
      <c r="AM41" s="19"/>
      <c r="AN41" s="19"/>
      <c r="AO41" s="19">
        <f t="shared" si="3"/>
        <v>1.6666666666666666E-4</v>
      </c>
      <c r="AP41" s="19"/>
      <c r="AQ41" s="31">
        <f t="shared" si="2"/>
        <v>1.6666666666666668E-3</v>
      </c>
      <c r="AR41" s="31"/>
      <c r="AS41" s="31"/>
      <c r="BB41" s="1">
        <v>24</v>
      </c>
      <c r="BH41" s="19"/>
      <c r="BI41" s="19"/>
      <c r="BJ41" s="19"/>
      <c r="BK41" s="8"/>
      <c r="BL41" s="8"/>
      <c r="BM41" s="8"/>
      <c r="BN41" s="8"/>
      <c r="BO41" s="8"/>
      <c r="BV41" s="13" t="s">
        <v>303</v>
      </c>
      <c r="BW41" s="13" t="s">
        <v>303</v>
      </c>
      <c r="BX41" s="13"/>
      <c r="BY41" s="13"/>
      <c r="BZ41" s="13"/>
      <c r="CA41" s="13"/>
      <c r="CB41" s="13"/>
      <c r="CD41" s="13"/>
      <c r="CE41" s="13"/>
      <c r="CF41" s="1">
        <v>71</v>
      </c>
    </row>
    <row r="42" spans="1:93" x14ac:dyDescent="0.2">
      <c r="A42" s="1" t="s">
        <v>141</v>
      </c>
      <c r="B42" s="1" t="s">
        <v>142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9"/>
      <c r="O42" s="11">
        <v>0</v>
      </c>
      <c r="P42" s="11">
        <v>1200</v>
      </c>
      <c r="Q42" s="19"/>
      <c r="R42" s="19"/>
      <c r="S42" s="19"/>
      <c r="T42" s="19"/>
      <c r="U42" s="19"/>
      <c r="V42" s="19"/>
      <c r="W42" s="19"/>
      <c r="X42" s="11">
        <v>0</v>
      </c>
      <c r="Y42" s="11">
        <v>1200</v>
      </c>
      <c r="Z42" s="19"/>
      <c r="AA42" s="19"/>
      <c r="AB42" s="19"/>
      <c r="AC42" s="19"/>
      <c r="AD42" s="20"/>
      <c r="AE42" s="9"/>
      <c r="AF42" s="45"/>
      <c r="AG42" s="9"/>
      <c r="AH42" s="9"/>
      <c r="AI42" s="20" t="str">
        <f>IF(Tabelle589711[[#This Row],[installierte Leistung MW]]&lt;&gt;"",Tabelle589711[[#This Row],[Durchschnittsauslastung]]*Tabelle589711[[#This Row],[installierte Leistung MW]],"")</f>
        <v/>
      </c>
      <c r="AJ42" s="19" t="str">
        <f>IF(Tabelle589711[[#This Row],[installierte Leistung MW]]&lt;&gt;"",Tabelle589711[[#This Row],[installierte Leistung MW]],"")</f>
        <v/>
      </c>
      <c r="AK42" s="19"/>
      <c r="AL42" s="19"/>
      <c r="AM42" s="19"/>
      <c r="AN42" s="19"/>
      <c r="AO42" s="19">
        <f t="shared" si="3"/>
        <v>1.6666666666666666E-4</v>
      </c>
      <c r="AP42" s="19"/>
      <c r="AQ42" s="31">
        <f t="shared" si="2"/>
        <v>1.6666666666666668E-3</v>
      </c>
      <c r="AR42" s="31"/>
      <c r="AS42" s="31"/>
      <c r="BB42" s="1">
        <v>24</v>
      </c>
      <c r="BH42" s="19"/>
      <c r="BI42" s="19"/>
      <c r="BJ42" s="19"/>
      <c r="BK42" s="8"/>
      <c r="BL42" s="8"/>
      <c r="BM42" s="8"/>
      <c r="BN42" s="8"/>
      <c r="BO42" s="8"/>
      <c r="BV42" s="13" t="s">
        <v>303</v>
      </c>
      <c r="BW42" s="13" t="s">
        <v>303</v>
      </c>
      <c r="BX42" s="13"/>
      <c r="BY42" s="13"/>
      <c r="BZ42" s="13"/>
      <c r="CA42" s="13"/>
      <c r="CB42" s="13"/>
      <c r="CD42" s="13"/>
      <c r="CE42" s="13"/>
    </row>
    <row r="43" spans="1:93" x14ac:dyDescent="0.2">
      <c r="A43" s="1" t="s">
        <v>141</v>
      </c>
      <c r="B43" s="1" t="s">
        <v>142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9"/>
      <c r="O43" s="11">
        <v>0</v>
      </c>
      <c r="P43" s="11">
        <v>0</v>
      </c>
      <c r="Q43" s="19"/>
      <c r="R43" s="19"/>
      <c r="S43" s="19"/>
      <c r="T43" s="19"/>
      <c r="U43" s="19"/>
      <c r="V43" s="19"/>
      <c r="W43" s="19"/>
      <c r="X43" s="11">
        <v>0</v>
      </c>
      <c r="Y43" s="11">
        <v>0</v>
      </c>
      <c r="Z43" s="19"/>
      <c r="AA43" s="19"/>
      <c r="AB43" s="19"/>
      <c r="AC43" s="19"/>
      <c r="AD43" s="20"/>
      <c r="AE43" s="9"/>
      <c r="AF43" s="45"/>
      <c r="AG43" s="9"/>
      <c r="AH43" s="9"/>
      <c r="AI43" s="20" t="str">
        <f>IF(Tabelle589711[[#This Row],[installierte Leistung MW]]&lt;&gt;"",Tabelle589711[[#This Row],[Durchschnittsauslastung]]*Tabelle589711[[#This Row],[installierte Leistung MW]],"")</f>
        <v/>
      </c>
      <c r="AJ43" s="19" t="str">
        <f>IF(Tabelle589711[[#This Row],[installierte Leistung MW]]&lt;&gt;"",Tabelle589711[[#This Row],[installierte Leistung MW]],"")</f>
        <v/>
      </c>
      <c r="AK43" s="19"/>
      <c r="AL43" s="19"/>
      <c r="AM43" s="19"/>
      <c r="AN43" s="19"/>
      <c r="AO43" s="19">
        <f t="shared" si="3"/>
        <v>1.6666666666666666E-4</v>
      </c>
      <c r="AP43" s="19"/>
      <c r="AQ43" s="31">
        <f t="shared" si="2"/>
        <v>1.6666666666666668E-3</v>
      </c>
      <c r="AR43" s="31"/>
      <c r="AS43" s="31"/>
      <c r="BB43" s="1">
        <v>24</v>
      </c>
      <c r="BH43" s="19"/>
      <c r="BI43" s="19"/>
      <c r="BJ43" s="19"/>
      <c r="BK43" s="8"/>
      <c r="BL43" s="8"/>
      <c r="BM43" s="8"/>
      <c r="BN43" s="8"/>
      <c r="BO43" s="8"/>
      <c r="BV43" s="13" t="s">
        <v>303</v>
      </c>
      <c r="BW43" s="13" t="s">
        <v>303</v>
      </c>
      <c r="BX43" s="13"/>
      <c r="BY43" s="13"/>
      <c r="BZ43" s="13"/>
      <c r="CA43" s="13"/>
      <c r="CB43" s="13"/>
      <c r="CD43" s="13"/>
      <c r="CE43" s="13"/>
    </row>
    <row r="44" spans="1:93" x14ac:dyDescent="0.2">
      <c r="A44" s="1" t="s">
        <v>289</v>
      </c>
      <c r="B44" s="1" t="s">
        <v>142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9"/>
      <c r="O44" s="11">
        <v>980</v>
      </c>
      <c r="P44" s="11">
        <v>980</v>
      </c>
      <c r="Q44" s="19"/>
      <c r="R44" s="19"/>
      <c r="S44" s="19"/>
      <c r="T44" s="19"/>
      <c r="U44" s="19"/>
      <c r="V44" s="19"/>
      <c r="W44" s="19"/>
      <c r="X44" s="11">
        <v>980</v>
      </c>
      <c r="Y44" s="11">
        <v>980</v>
      </c>
      <c r="Z44" s="19"/>
      <c r="AA44" s="19"/>
      <c r="AB44" s="19"/>
      <c r="AC44" s="19"/>
      <c r="AD44" s="20"/>
      <c r="AE44" s="9"/>
      <c r="AF44" s="45"/>
      <c r="AG44" s="9"/>
      <c r="AH44" s="9"/>
      <c r="AI44" s="20" t="str">
        <f>IF(Tabelle589711[[#This Row],[installierte Leistung MW]]&lt;&gt;"",Tabelle589711[[#This Row],[Durchschnittsauslastung]]*Tabelle589711[[#This Row],[installierte Leistung MW]],"")</f>
        <v/>
      </c>
      <c r="AJ44" s="19" t="str">
        <f>IF(Tabelle589711[[#This Row],[installierte Leistung MW]]&lt;&gt;"",Tabelle589711[[#This Row],[installierte Leistung MW]],"")</f>
        <v/>
      </c>
      <c r="AK44" s="19"/>
      <c r="AL44" s="19"/>
      <c r="AM44" s="19"/>
      <c r="AN44" s="19"/>
      <c r="AO44" s="19">
        <f t="shared" si="3"/>
        <v>1.6666666666666666E-4</v>
      </c>
      <c r="AP44" s="19"/>
      <c r="AQ44" s="31">
        <f t="shared" si="2"/>
        <v>1.6666666666666668E-3</v>
      </c>
      <c r="AR44" s="31"/>
      <c r="AS44" s="31"/>
      <c r="BH44" s="19"/>
      <c r="BI44" s="19"/>
      <c r="BJ44" s="19"/>
      <c r="BK44" s="8"/>
      <c r="BL44" s="8"/>
      <c r="BM44" s="8"/>
      <c r="BN44" s="8"/>
      <c r="BO44" s="8"/>
      <c r="BV44" s="13" t="s">
        <v>303</v>
      </c>
      <c r="BW44" s="13" t="s">
        <v>303</v>
      </c>
      <c r="BX44" s="13"/>
      <c r="BY44" s="13"/>
      <c r="BZ44" s="13"/>
      <c r="CA44" s="13"/>
      <c r="CB44" s="13"/>
      <c r="CD44" s="13"/>
      <c r="CE44" s="13"/>
    </row>
    <row r="45" spans="1:93" x14ac:dyDescent="0.2">
      <c r="A45" s="1" t="s">
        <v>289</v>
      </c>
      <c r="B45" s="1" t="s">
        <v>142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9"/>
      <c r="O45" s="11">
        <v>980</v>
      </c>
      <c r="P45" s="11">
        <v>980</v>
      </c>
      <c r="Q45" s="19"/>
      <c r="R45" s="19"/>
      <c r="S45" s="19"/>
      <c r="T45" s="19"/>
      <c r="U45" s="19"/>
      <c r="V45" s="19"/>
      <c r="W45" s="19"/>
      <c r="X45" s="11">
        <v>980</v>
      </c>
      <c r="Y45" s="11">
        <v>980</v>
      </c>
      <c r="Z45" s="19"/>
      <c r="AA45" s="19"/>
      <c r="AB45" s="19"/>
      <c r="AC45" s="19"/>
      <c r="AD45" s="20"/>
      <c r="AE45" s="9"/>
      <c r="AF45" s="45"/>
      <c r="AG45" s="9"/>
      <c r="AH45" s="9"/>
      <c r="AI45" s="20" t="str">
        <f>IF(Tabelle589711[[#This Row],[installierte Leistung MW]]&lt;&gt;"",Tabelle589711[[#This Row],[Durchschnittsauslastung]]*Tabelle589711[[#This Row],[installierte Leistung MW]],"")</f>
        <v/>
      </c>
      <c r="AJ45" s="19" t="str">
        <f>IF(Tabelle589711[[#This Row],[installierte Leistung MW]]&lt;&gt;"",Tabelle589711[[#This Row],[installierte Leistung MW]],"")</f>
        <v/>
      </c>
      <c r="AK45" s="19"/>
      <c r="AL45" s="19"/>
      <c r="AM45" s="19"/>
      <c r="AN45" s="19"/>
      <c r="AO45" s="19">
        <f t="shared" si="3"/>
        <v>1.6666666666666666E-4</v>
      </c>
      <c r="AP45" s="19"/>
      <c r="AQ45" s="31">
        <f t="shared" si="2"/>
        <v>1.6666666666666668E-3</v>
      </c>
      <c r="AR45" s="31"/>
      <c r="AS45" s="31"/>
      <c r="BH45" s="19"/>
      <c r="BI45" s="19"/>
      <c r="BJ45" s="19"/>
      <c r="BK45" s="8"/>
      <c r="BL45" s="8"/>
      <c r="BM45" s="8"/>
      <c r="BN45" s="8"/>
      <c r="BO45" s="8"/>
      <c r="BV45" s="13" t="s">
        <v>303</v>
      </c>
      <c r="BW45" s="13" t="s">
        <v>303</v>
      </c>
      <c r="BX45" s="13"/>
      <c r="BY45" s="13"/>
      <c r="BZ45" s="13"/>
      <c r="CA45" s="13"/>
      <c r="CB45" s="13"/>
      <c r="CD45" s="13"/>
      <c r="CE45" s="13"/>
    </row>
    <row r="46" spans="1:93" x14ac:dyDescent="0.2">
      <c r="A46" s="1" t="s">
        <v>289</v>
      </c>
      <c r="B46" s="1" t="s">
        <v>142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9"/>
      <c r="O46" s="11">
        <v>1000</v>
      </c>
      <c r="P46" s="11">
        <v>1000</v>
      </c>
      <c r="Q46" s="19"/>
      <c r="R46" s="19"/>
      <c r="S46" s="19"/>
      <c r="T46" s="19"/>
      <c r="U46" s="19"/>
      <c r="V46" s="19"/>
      <c r="W46" s="19"/>
      <c r="X46" s="11">
        <v>1000</v>
      </c>
      <c r="Y46" s="11">
        <v>1000</v>
      </c>
      <c r="Z46" s="19"/>
      <c r="AA46" s="19"/>
      <c r="AB46" s="19"/>
      <c r="AC46" s="19"/>
      <c r="AD46" s="20"/>
      <c r="AE46" s="9"/>
      <c r="AF46" s="45"/>
      <c r="AG46" s="9"/>
      <c r="AH46" s="9"/>
      <c r="AI46" s="20" t="str">
        <f>IF(Tabelle589711[[#This Row],[installierte Leistung MW]]&lt;&gt;"",Tabelle589711[[#This Row],[Durchschnittsauslastung]]*Tabelle589711[[#This Row],[installierte Leistung MW]],"")</f>
        <v/>
      </c>
      <c r="AJ46" s="19" t="str">
        <f>IF(Tabelle589711[[#This Row],[installierte Leistung MW]]&lt;&gt;"",Tabelle589711[[#This Row],[installierte Leistung MW]],"")</f>
        <v/>
      </c>
      <c r="AK46" s="19"/>
      <c r="AL46" s="19"/>
      <c r="AM46" s="19"/>
      <c r="AN46" s="19"/>
      <c r="AO46" s="19">
        <f t="shared" si="3"/>
        <v>1.6666666666666666E-4</v>
      </c>
      <c r="AP46" s="19"/>
      <c r="AQ46" s="31">
        <f t="shared" si="2"/>
        <v>1.6666666666666668E-3</v>
      </c>
      <c r="AR46" s="31"/>
      <c r="AS46" s="31"/>
      <c r="BH46" s="19"/>
      <c r="BI46" s="19"/>
      <c r="BJ46" s="19"/>
      <c r="BK46" s="8"/>
      <c r="BL46" s="8"/>
      <c r="BM46" s="8"/>
      <c r="BN46" s="8"/>
      <c r="BO46" s="8"/>
      <c r="BV46" s="13" t="s">
        <v>303</v>
      </c>
      <c r="BW46" s="13" t="s">
        <v>303</v>
      </c>
      <c r="BX46" s="13"/>
      <c r="BY46" s="13"/>
      <c r="BZ46" s="13"/>
      <c r="CA46" s="13"/>
      <c r="CB46" s="13"/>
      <c r="CD46" s="13"/>
      <c r="CE46" s="13"/>
    </row>
    <row r="47" spans="1:93" x14ac:dyDescent="0.2">
      <c r="A47" s="1" t="s">
        <v>138</v>
      </c>
      <c r="B47" s="1" t="s">
        <v>142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9"/>
      <c r="O47" s="11">
        <v>3020</v>
      </c>
      <c r="P47" s="11">
        <v>4520</v>
      </c>
      <c r="Q47" s="19"/>
      <c r="R47" s="19"/>
      <c r="S47" s="19"/>
      <c r="T47" s="19"/>
      <c r="U47" s="19"/>
      <c r="V47" s="19"/>
      <c r="W47" s="19"/>
      <c r="X47" s="11">
        <v>3020</v>
      </c>
      <c r="Y47" s="11">
        <v>4520</v>
      </c>
      <c r="Z47" s="19"/>
      <c r="AA47" s="19"/>
      <c r="AB47" s="19"/>
      <c r="AC47" s="19"/>
      <c r="AD47" s="20"/>
      <c r="AE47" s="9"/>
      <c r="AF47" s="45"/>
      <c r="AG47" s="9"/>
      <c r="AH47" s="9"/>
      <c r="AI47" s="20" t="str">
        <f>IF(Tabelle589711[[#This Row],[installierte Leistung MW]]&lt;&gt;"",Tabelle589711[[#This Row],[Durchschnittsauslastung]]*Tabelle589711[[#This Row],[installierte Leistung MW]],"")</f>
        <v/>
      </c>
      <c r="AJ47" s="19" t="str">
        <f>IF(Tabelle589711[[#This Row],[installierte Leistung MW]]&lt;&gt;"",Tabelle589711[[#This Row],[installierte Leistung MW]],"")</f>
        <v/>
      </c>
      <c r="AK47" s="19"/>
      <c r="AL47" s="19"/>
      <c r="AM47" s="19"/>
      <c r="AN47" s="19"/>
      <c r="AO47" s="19">
        <f t="shared" si="3"/>
        <v>1.6666666666666666E-4</v>
      </c>
      <c r="AP47" s="19"/>
      <c r="AQ47" s="31">
        <f t="shared" si="2"/>
        <v>1.6666666666666668E-3</v>
      </c>
      <c r="AR47" s="31"/>
      <c r="AS47" s="31"/>
      <c r="BB47" s="1">
        <v>24</v>
      </c>
      <c r="BH47" s="19"/>
      <c r="BI47" s="19"/>
      <c r="BJ47" s="19"/>
      <c r="BK47" s="8"/>
      <c r="BL47" s="8"/>
      <c r="BM47" s="8"/>
      <c r="BN47" s="8"/>
      <c r="BO47" s="8"/>
      <c r="BQ47" s="1" t="s">
        <v>1130</v>
      </c>
      <c r="BV47" s="13" t="s">
        <v>303</v>
      </c>
      <c r="BW47" s="13" t="s">
        <v>303</v>
      </c>
      <c r="BX47" s="13"/>
      <c r="BY47" s="13"/>
      <c r="BZ47" s="13"/>
      <c r="CA47" s="13"/>
      <c r="CB47" s="13"/>
      <c r="CD47" s="13"/>
      <c r="CE47" s="13"/>
      <c r="CG47" s="1">
        <v>69</v>
      </c>
      <c r="CO47" s="1">
        <v>68</v>
      </c>
    </row>
    <row r="48" spans="1:93" x14ac:dyDescent="0.2">
      <c r="A48" s="1" t="s">
        <v>138</v>
      </c>
      <c r="B48" s="1" t="s">
        <v>142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9"/>
      <c r="O48" s="11">
        <v>3000</v>
      </c>
      <c r="P48" s="11">
        <v>4420</v>
      </c>
      <c r="Q48" s="19"/>
      <c r="R48" s="19"/>
      <c r="S48" s="19"/>
      <c r="T48" s="19"/>
      <c r="U48" s="19"/>
      <c r="V48" s="19"/>
      <c r="W48" s="19"/>
      <c r="X48" s="11">
        <v>3000</v>
      </c>
      <c r="Y48" s="11">
        <v>4420</v>
      </c>
      <c r="Z48" s="19"/>
      <c r="AA48" s="19"/>
      <c r="AB48" s="19"/>
      <c r="AC48" s="19"/>
      <c r="AD48" s="20"/>
      <c r="AE48" s="9"/>
      <c r="AF48" s="45"/>
      <c r="AG48" s="9"/>
      <c r="AH48" s="9"/>
      <c r="AI48" s="20" t="str">
        <f>IF(Tabelle589711[[#This Row],[installierte Leistung MW]]&lt;&gt;"",Tabelle589711[[#This Row],[Durchschnittsauslastung]]*Tabelle589711[[#This Row],[installierte Leistung MW]],"")</f>
        <v/>
      </c>
      <c r="AJ48" s="19" t="str">
        <f>IF(Tabelle589711[[#This Row],[installierte Leistung MW]]&lt;&gt;"",Tabelle589711[[#This Row],[installierte Leistung MW]],"")</f>
        <v/>
      </c>
      <c r="AK48" s="19"/>
      <c r="AL48" s="19"/>
      <c r="AM48" s="19"/>
      <c r="AN48" s="19"/>
      <c r="AO48" s="19">
        <f t="shared" si="3"/>
        <v>1.6666666666666666E-4</v>
      </c>
      <c r="AP48" s="19"/>
      <c r="AQ48" s="31">
        <f t="shared" si="2"/>
        <v>1.6666666666666668E-3</v>
      </c>
      <c r="AR48" s="31"/>
      <c r="AS48" s="31"/>
      <c r="BB48" s="1">
        <v>24</v>
      </c>
      <c r="BH48" s="19"/>
      <c r="BI48" s="19"/>
      <c r="BJ48" s="19"/>
      <c r="BK48" s="8"/>
      <c r="BL48" s="8"/>
      <c r="BM48" s="8"/>
      <c r="BN48" s="8"/>
      <c r="BO48" s="8"/>
      <c r="BQ48" s="1" t="s">
        <v>1130</v>
      </c>
      <c r="BV48" s="13" t="s">
        <v>303</v>
      </c>
      <c r="BW48" s="13" t="s">
        <v>303</v>
      </c>
      <c r="BX48" s="13"/>
      <c r="BY48" s="13"/>
      <c r="BZ48" s="13"/>
      <c r="CA48" s="13"/>
      <c r="CB48" s="13"/>
      <c r="CD48" s="13"/>
      <c r="CE48" s="13"/>
      <c r="CG48" s="1">
        <v>69</v>
      </c>
      <c r="CO48" s="1">
        <v>68</v>
      </c>
    </row>
    <row r="49" spans="1:93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9"/>
      <c r="O49" s="11">
        <v>2980</v>
      </c>
      <c r="P49" s="11">
        <v>4420</v>
      </c>
      <c r="Q49" s="19"/>
      <c r="R49" s="19"/>
      <c r="S49" s="19"/>
      <c r="T49" s="19"/>
      <c r="U49" s="19"/>
      <c r="V49" s="19"/>
      <c r="W49" s="19"/>
      <c r="X49" s="11">
        <v>2980</v>
      </c>
      <c r="Y49" s="11">
        <v>4420</v>
      </c>
      <c r="Z49" s="19"/>
      <c r="AA49" s="19"/>
      <c r="AB49" s="19"/>
      <c r="AC49" s="19"/>
      <c r="AD49" s="20"/>
      <c r="AE49" s="9"/>
      <c r="AF49" s="45"/>
      <c r="AG49" s="9"/>
      <c r="AH49" s="9"/>
      <c r="AI49" s="20" t="str">
        <f>IF(Tabelle589711[[#This Row],[installierte Leistung MW]]&lt;&gt;"",Tabelle589711[[#This Row],[Durchschnittsauslastung]]*Tabelle589711[[#This Row],[installierte Leistung MW]],"")</f>
        <v/>
      </c>
      <c r="AJ49" s="19" t="str">
        <f>IF(Tabelle589711[[#This Row],[installierte Leistung MW]]&lt;&gt;"",Tabelle589711[[#This Row],[installierte Leistung MW]],"")</f>
        <v/>
      </c>
      <c r="AK49" s="19"/>
      <c r="AL49" s="19"/>
      <c r="AM49" s="19"/>
      <c r="AN49" s="19"/>
      <c r="AO49" s="19">
        <f t="shared" si="3"/>
        <v>1.6666666666666666E-4</v>
      </c>
      <c r="AP49" s="19"/>
      <c r="AQ49" s="31">
        <f t="shared" si="2"/>
        <v>1.6666666666666668E-3</v>
      </c>
      <c r="AR49" s="31"/>
      <c r="AS49" s="31"/>
      <c r="BB49" s="1">
        <v>24</v>
      </c>
      <c r="BH49" s="19"/>
      <c r="BI49" s="19"/>
      <c r="BJ49" s="19"/>
      <c r="BK49" s="8"/>
      <c r="BL49" s="8"/>
      <c r="BM49" s="8"/>
      <c r="BN49" s="8"/>
      <c r="BO49" s="8"/>
      <c r="BQ49" s="1" t="s">
        <v>1130</v>
      </c>
      <c r="BV49" s="13" t="s">
        <v>303</v>
      </c>
      <c r="BW49" s="13" t="s">
        <v>303</v>
      </c>
      <c r="BX49" s="13"/>
      <c r="BY49" s="13"/>
      <c r="BZ49" s="13"/>
      <c r="CA49" s="13"/>
      <c r="CB49" s="13"/>
      <c r="CD49" s="13"/>
      <c r="CE49" s="13"/>
      <c r="CG49" s="1">
        <v>69</v>
      </c>
      <c r="CO49" s="1">
        <v>68</v>
      </c>
    </row>
    <row r="50" spans="1:93" x14ac:dyDescent="0.2">
      <c r="A50" s="1" t="s">
        <v>136</v>
      </c>
      <c r="B50" s="1" t="s">
        <v>142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9"/>
      <c r="O50" s="11">
        <v>420</v>
      </c>
      <c r="P50" s="11">
        <v>420</v>
      </c>
      <c r="Q50" s="19"/>
      <c r="R50" s="19"/>
      <c r="S50" s="19"/>
      <c r="T50" s="19"/>
      <c r="U50" s="19"/>
      <c r="V50" s="19"/>
      <c r="W50" s="19"/>
      <c r="X50" s="11">
        <v>420</v>
      </c>
      <c r="Y50" s="11">
        <v>420</v>
      </c>
      <c r="Z50" s="19"/>
      <c r="AA50" s="19"/>
      <c r="AB50" s="19"/>
      <c r="AC50" s="19"/>
      <c r="AD50" s="20"/>
      <c r="AE50" s="9"/>
      <c r="AF50" s="45"/>
      <c r="AG50" s="9"/>
      <c r="AH50" s="9"/>
      <c r="AI50" s="20" t="str">
        <f>IF(Tabelle589711[[#This Row],[installierte Leistung MW]]&lt;&gt;"",Tabelle589711[[#This Row],[Durchschnittsauslastung]]*Tabelle589711[[#This Row],[installierte Leistung MW]],"")</f>
        <v/>
      </c>
      <c r="AJ50" s="19" t="str">
        <f>IF(Tabelle589711[[#This Row],[installierte Leistung MW]]&lt;&gt;"",Tabelle589711[[#This Row],[installierte Leistung MW]],"")</f>
        <v/>
      </c>
      <c r="AK50" s="19"/>
      <c r="AL50" s="19"/>
      <c r="AM50" s="19"/>
      <c r="AN50" s="19"/>
      <c r="AO50" s="19">
        <f t="shared" si="3"/>
        <v>1.6666666666666666E-4</v>
      </c>
      <c r="AP50" s="19"/>
      <c r="AQ50" s="31">
        <f t="shared" si="2"/>
        <v>1.6666666666666668E-3</v>
      </c>
      <c r="AR50" s="31"/>
      <c r="AS50" s="31"/>
      <c r="BH50" s="19"/>
      <c r="BI50" s="19"/>
      <c r="BJ50" s="19"/>
      <c r="BK50" s="8"/>
      <c r="BL50" s="8"/>
      <c r="BM50" s="8"/>
      <c r="BN50" s="8"/>
      <c r="BO50" s="8"/>
      <c r="BV50" s="13" t="s">
        <v>303</v>
      </c>
      <c r="BW50" s="13" t="s">
        <v>303</v>
      </c>
      <c r="BX50" s="13"/>
      <c r="BY50" s="13"/>
      <c r="BZ50" s="13"/>
      <c r="CA50" s="13"/>
      <c r="CB50" s="13"/>
      <c r="CD50" s="13"/>
      <c r="CE50" s="13"/>
    </row>
    <row r="51" spans="1:93" x14ac:dyDescent="0.2">
      <c r="A51" s="1" t="s">
        <v>136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9"/>
      <c r="O51" s="11">
        <v>390</v>
      </c>
      <c r="P51" s="11">
        <v>390</v>
      </c>
      <c r="Q51" s="19"/>
      <c r="R51" s="19"/>
      <c r="S51" s="19"/>
      <c r="T51" s="19"/>
      <c r="U51" s="19"/>
      <c r="V51" s="19"/>
      <c r="W51" s="19"/>
      <c r="X51" s="11">
        <v>390</v>
      </c>
      <c r="Y51" s="11">
        <v>390</v>
      </c>
      <c r="Z51" s="19"/>
      <c r="AA51" s="19"/>
      <c r="AB51" s="19"/>
      <c r="AC51" s="19"/>
      <c r="AD51" s="20"/>
      <c r="AE51" s="9"/>
      <c r="AF51" s="45"/>
      <c r="AG51" s="9"/>
      <c r="AH51" s="9"/>
      <c r="AI51" s="20" t="str">
        <f>IF(Tabelle589711[[#This Row],[installierte Leistung MW]]&lt;&gt;"",Tabelle589711[[#This Row],[Durchschnittsauslastung]]*Tabelle589711[[#This Row],[installierte Leistung MW]],"")</f>
        <v/>
      </c>
      <c r="AJ51" s="19" t="str">
        <f>IF(Tabelle589711[[#This Row],[installierte Leistung MW]]&lt;&gt;"",Tabelle589711[[#This Row],[installierte Leistung MW]],"")</f>
        <v/>
      </c>
      <c r="AK51" s="19"/>
      <c r="AL51" s="19"/>
      <c r="AM51" s="19"/>
      <c r="AN51" s="19"/>
      <c r="AO51" s="19">
        <f t="shared" si="3"/>
        <v>1.6666666666666666E-4</v>
      </c>
      <c r="AP51" s="19"/>
      <c r="AQ51" s="31">
        <f t="shared" si="2"/>
        <v>1.6666666666666668E-3</v>
      </c>
      <c r="AR51" s="31"/>
      <c r="AS51" s="31"/>
      <c r="BH51" s="19"/>
      <c r="BI51" s="19"/>
      <c r="BJ51" s="19"/>
      <c r="BK51" s="8"/>
      <c r="BL51" s="8"/>
      <c r="BM51" s="8"/>
      <c r="BN51" s="8"/>
      <c r="BO51" s="8"/>
      <c r="BV51" s="13" t="s">
        <v>303</v>
      </c>
      <c r="BW51" s="13" t="s">
        <v>303</v>
      </c>
      <c r="BX51" s="13"/>
      <c r="BY51" s="13"/>
      <c r="BZ51" s="13"/>
      <c r="CA51" s="13"/>
      <c r="CB51" s="13"/>
      <c r="CD51" s="13"/>
      <c r="CE51" s="13"/>
    </row>
    <row r="52" spans="1:93" x14ac:dyDescent="0.2">
      <c r="A52" s="1" t="s">
        <v>136</v>
      </c>
      <c r="B52" s="1" t="s">
        <v>142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9"/>
      <c r="O52" s="11">
        <v>330</v>
      </c>
      <c r="P52" s="11">
        <v>330</v>
      </c>
      <c r="Q52" s="19"/>
      <c r="R52" s="19"/>
      <c r="S52" s="19"/>
      <c r="T52" s="19"/>
      <c r="U52" s="19"/>
      <c r="V52" s="19"/>
      <c r="W52" s="19"/>
      <c r="X52" s="11">
        <v>330</v>
      </c>
      <c r="Y52" s="11">
        <v>330</v>
      </c>
      <c r="Z52" s="19"/>
      <c r="AA52" s="19"/>
      <c r="AB52" s="19"/>
      <c r="AC52" s="19"/>
      <c r="AD52" s="20"/>
      <c r="AE52" s="9"/>
      <c r="AF52" s="45"/>
      <c r="AG52" s="9"/>
      <c r="AH52" s="9"/>
      <c r="AI52" s="20" t="str">
        <f>IF(Tabelle589711[[#This Row],[installierte Leistung MW]]&lt;&gt;"",Tabelle589711[[#This Row],[Durchschnittsauslastung]]*Tabelle589711[[#This Row],[installierte Leistung MW]],"")</f>
        <v/>
      </c>
      <c r="AJ52" s="19" t="str">
        <f>IF(Tabelle589711[[#This Row],[installierte Leistung MW]]&lt;&gt;"",Tabelle589711[[#This Row],[installierte Leistung MW]],"")</f>
        <v/>
      </c>
      <c r="AK52" s="19"/>
      <c r="AL52" s="19"/>
      <c r="AM52" s="19"/>
      <c r="AN52" s="19"/>
      <c r="AO52" s="19">
        <f t="shared" si="3"/>
        <v>1.6666666666666666E-4</v>
      </c>
      <c r="AP52" s="19"/>
      <c r="AQ52" s="31">
        <f t="shared" ref="AQ52:AQ79" si="4">0.1/60</f>
        <v>1.6666666666666668E-3</v>
      </c>
      <c r="AR52" s="31"/>
      <c r="AS52" s="31"/>
      <c r="BH52" s="19"/>
      <c r="BI52" s="19"/>
      <c r="BJ52" s="19"/>
      <c r="BK52" s="8"/>
      <c r="BL52" s="8"/>
      <c r="BM52" s="8"/>
      <c r="BN52" s="8"/>
      <c r="BO52" s="8"/>
      <c r="BV52" s="13" t="s">
        <v>303</v>
      </c>
      <c r="BW52" s="13" t="s">
        <v>303</v>
      </c>
      <c r="BX52" s="13"/>
      <c r="BY52" s="13"/>
      <c r="BZ52" s="13"/>
      <c r="CA52" s="13"/>
      <c r="CB52" s="13"/>
      <c r="CD52" s="13"/>
      <c r="CE52" s="13"/>
    </row>
    <row r="53" spans="1:93" x14ac:dyDescent="0.2">
      <c r="A53" s="1" t="s">
        <v>294</v>
      </c>
      <c r="B53" s="1" t="s">
        <v>130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9"/>
      <c r="O53" s="11">
        <v>1790</v>
      </c>
      <c r="P53" s="11">
        <v>1800</v>
      </c>
      <c r="Q53" s="19"/>
      <c r="R53" s="19"/>
      <c r="S53" s="19"/>
      <c r="T53" s="19"/>
      <c r="U53" s="19"/>
      <c r="V53" s="19"/>
      <c r="W53" s="19"/>
      <c r="X53" s="11">
        <v>1790</v>
      </c>
      <c r="Y53" s="11">
        <v>1800</v>
      </c>
      <c r="Z53" s="19"/>
      <c r="AA53" s="19"/>
      <c r="AB53" s="19"/>
      <c r="AC53" s="19"/>
      <c r="AD53" s="20"/>
      <c r="AE53" s="9"/>
      <c r="AF53" s="45"/>
      <c r="AG53" s="9"/>
      <c r="AH53" s="9"/>
      <c r="AI53" s="20" t="str">
        <f>IF(Tabelle589711[[#This Row],[installierte Leistung MW]]&lt;&gt;"",Tabelle589711[[#This Row],[Durchschnittsauslastung]]*Tabelle589711[[#This Row],[installierte Leistung MW]],"")</f>
        <v/>
      </c>
      <c r="AJ53" s="19" t="str">
        <f>IF(Tabelle589711[[#This Row],[installierte Leistung MW]]&lt;&gt;"",Tabelle589711[[#This Row],[installierte Leistung MW]],"")</f>
        <v/>
      </c>
      <c r="AK53" s="19"/>
      <c r="AL53" s="19"/>
      <c r="AM53" s="19"/>
      <c r="AN53" s="19"/>
      <c r="AO53" s="19">
        <f t="shared" si="3"/>
        <v>1.6666666666666666E-4</v>
      </c>
      <c r="AP53" s="19"/>
      <c r="AQ53" s="31">
        <f t="shared" si="4"/>
        <v>1.6666666666666668E-3</v>
      </c>
      <c r="AR53" s="31"/>
      <c r="AS53" s="31"/>
      <c r="BH53" s="19"/>
      <c r="BI53" s="19"/>
      <c r="BJ53" s="19"/>
      <c r="BK53" s="8"/>
      <c r="BL53" s="8"/>
      <c r="BM53" s="8"/>
      <c r="BN53" s="8"/>
      <c r="BO53" s="8"/>
      <c r="BV53" s="13">
        <v>99</v>
      </c>
      <c r="BW53" s="1">
        <v>99</v>
      </c>
      <c r="BX53" s="13"/>
      <c r="BY53" s="13"/>
      <c r="BZ53" s="13"/>
      <c r="CA53" s="13"/>
      <c r="CB53" s="13"/>
      <c r="CD53" s="13"/>
      <c r="CE53" s="13"/>
    </row>
    <row r="54" spans="1:93" x14ac:dyDescent="0.2">
      <c r="A54" s="1" t="s">
        <v>294</v>
      </c>
      <c r="B54" s="1" t="s">
        <v>130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9"/>
      <c r="O54" s="11">
        <v>1920</v>
      </c>
      <c r="P54" s="11">
        <v>3180</v>
      </c>
      <c r="Q54" s="19"/>
      <c r="R54" s="19"/>
      <c r="S54" s="19"/>
      <c r="T54" s="19"/>
      <c r="U54" s="19"/>
      <c r="V54" s="19"/>
      <c r="W54" s="19"/>
      <c r="X54" s="11">
        <v>1920</v>
      </c>
      <c r="Y54" s="11">
        <v>3180</v>
      </c>
      <c r="Z54" s="19"/>
      <c r="AA54" s="19"/>
      <c r="AB54" s="19"/>
      <c r="AC54" s="19"/>
      <c r="AD54" s="20"/>
      <c r="AE54" s="9"/>
      <c r="AF54" s="45"/>
      <c r="AG54" s="9"/>
      <c r="AH54" s="9"/>
      <c r="AI54" s="20" t="str">
        <f>IF(Tabelle589711[[#This Row],[installierte Leistung MW]]&lt;&gt;"",Tabelle589711[[#This Row],[Durchschnittsauslastung]]*Tabelle589711[[#This Row],[installierte Leistung MW]],"")</f>
        <v/>
      </c>
      <c r="AJ54" s="19" t="str">
        <f>IF(Tabelle589711[[#This Row],[installierte Leistung MW]]&lt;&gt;"",Tabelle589711[[#This Row],[installierte Leistung MW]],"")</f>
        <v/>
      </c>
      <c r="AK54" s="19"/>
      <c r="AL54" s="19"/>
      <c r="AM54" s="19"/>
      <c r="AN54" s="19"/>
      <c r="AO54" s="19">
        <f t="shared" si="3"/>
        <v>1.6666666666666666E-4</v>
      </c>
      <c r="AP54" s="19"/>
      <c r="AQ54" s="31">
        <f t="shared" si="4"/>
        <v>1.6666666666666668E-3</v>
      </c>
      <c r="AR54" s="31"/>
      <c r="AS54" s="31"/>
      <c r="BH54" s="19"/>
      <c r="BI54" s="19"/>
      <c r="BJ54" s="19"/>
      <c r="BK54" s="8"/>
      <c r="BL54" s="8"/>
      <c r="BM54" s="8"/>
      <c r="BN54" s="8"/>
      <c r="BO54" s="8"/>
      <c r="BV54" s="13">
        <v>99</v>
      </c>
      <c r="BW54" s="1">
        <v>99</v>
      </c>
      <c r="BX54" s="13"/>
      <c r="BY54" s="13"/>
      <c r="BZ54" s="13"/>
      <c r="CA54" s="13"/>
      <c r="CB54" s="13"/>
      <c r="CD54" s="13"/>
      <c r="CE54" s="13"/>
    </row>
    <row r="55" spans="1:93" x14ac:dyDescent="0.2">
      <c r="A55" s="1" t="s">
        <v>294</v>
      </c>
      <c r="B55" s="1" t="s">
        <v>130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9"/>
      <c r="O55" s="11">
        <v>1720</v>
      </c>
      <c r="P55" s="11">
        <v>2930</v>
      </c>
      <c r="Q55" s="19"/>
      <c r="R55" s="19"/>
      <c r="S55" s="19"/>
      <c r="T55" s="19"/>
      <c r="U55" s="19"/>
      <c r="V55" s="19"/>
      <c r="W55" s="19"/>
      <c r="X55" s="11">
        <v>1720</v>
      </c>
      <c r="Y55" s="11">
        <v>2930</v>
      </c>
      <c r="Z55" s="19"/>
      <c r="AA55" s="19"/>
      <c r="AB55" s="19"/>
      <c r="AC55" s="19"/>
      <c r="AD55" s="20"/>
      <c r="AE55" s="9"/>
      <c r="AF55" s="45"/>
      <c r="AG55" s="9"/>
      <c r="AH55" s="9"/>
      <c r="AI55" s="20" t="str">
        <f>IF(Tabelle589711[[#This Row],[installierte Leistung MW]]&lt;&gt;"",Tabelle589711[[#This Row],[Durchschnittsauslastung]]*Tabelle589711[[#This Row],[installierte Leistung MW]],"")</f>
        <v/>
      </c>
      <c r="AJ55" s="19" t="str">
        <f>IF(Tabelle589711[[#This Row],[installierte Leistung MW]]&lt;&gt;"",Tabelle589711[[#This Row],[installierte Leistung MW]],"")</f>
        <v/>
      </c>
      <c r="AK55" s="19"/>
      <c r="AL55" s="19"/>
      <c r="AM55" s="19"/>
      <c r="AN55" s="19"/>
      <c r="AO55" s="19">
        <f t="shared" ref="AO55:AO79" si="5">0.01/60</f>
        <v>1.6666666666666666E-4</v>
      </c>
      <c r="AP55" s="19"/>
      <c r="AQ55" s="31">
        <f t="shared" si="4"/>
        <v>1.6666666666666668E-3</v>
      </c>
      <c r="AR55" s="31"/>
      <c r="AS55" s="31"/>
      <c r="BH55" s="19"/>
      <c r="BI55" s="19"/>
      <c r="BJ55" s="19"/>
      <c r="BK55" s="8"/>
      <c r="BL55" s="8"/>
      <c r="BM55" s="8"/>
      <c r="BN55" s="8"/>
      <c r="BO55" s="8"/>
      <c r="BV55" s="13">
        <v>99</v>
      </c>
      <c r="BW55" s="1">
        <v>99</v>
      </c>
      <c r="BX55" s="13"/>
      <c r="BY55" s="13"/>
      <c r="BZ55" s="13"/>
      <c r="CA55" s="13"/>
      <c r="CB55" s="13"/>
      <c r="CD55" s="13"/>
      <c r="CE55" s="13"/>
    </row>
    <row r="56" spans="1:93" x14ac:dyDescent="0.2">
      <c r="A56" s="1" t="s">
        <v>295</v>
      </c>
      <c r="B56" s="1" t="s">
        <v>130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9"/>
      <c r="O56" s="11">
        <v>800</v>
      </c>
      <c r="P56" s="11">
        <v>2220</v>
      </c>
      <c r="Q56" s="19"/>
      <c r="R56" s="19"/>
      <c r="S56" s="19"/>
      <c r="T56" s="19"/>
      <c r="U56" s="19"/>
      <c r="V56" s="19"/>
      <c r="W56" s="19"/>
      <c r="X56" s="11">
        <v>800</v>
      </c>
      <c r="Y56" s="11">
        <v>2220</v>
      </c>
      <c r="Z56" s="19"/>
      <c r="AA56" s="19"/>
      <c r="AB56" s="19"/>
      <c r="AC56" s="19"/>
      <c r="AD56" s="20"/>
      <c r="AE56" s="9"/>
      <c r="AF56" s="45"/>
      <c r="AG56" s="9"/>
      <c r="AH56" s="9"/>
      <c r="AI56" s="20" t="str">
        <f>IF(Tabelle589711[[#This Row],[installierte Leistung MW]]&lt;&gt;"",Tabelle589711[[#This Row],[Durchschnittsauslastung]]*Tabelle589711[[#This Row],[installierte Leistung MW]],"")</f>
        <v/>
      </c>
      <c r="AJ56" s="19" t="str">
        <f>IF(Tabelle589711[[#This Row],[installierte Leistung MW]]&lt;&gt;"",Tabelle589711[[#This Row],[installierte Leistung MW]],"")</f>
        <v/>
      </c>
      <c r="AK56" s="19"/>
      <c r="AL56" s="19"/>
      <c r="AM56" s="19"/>
      <c r="AN56" s="19"/>
      <c r="AO56" s="19">
        <f t="shared" si="5"/>
        <v>1.6666666666666666E-4</v>
      </c>
      <c r="AP56" s="19"/>
      <c r="AQ56" s="31">
        <f t="shared" si="4"/>
        <v>1.6666666666666668E-3</v>
      </c>
      <c r="AR56" s="31"/>
      <c r="AS56" s="31"/>
      <c r="BH56" s="19"/>
      <c r="BI56" s="19"/>
      <c r="BJ56" s="19"/>
      <c r="BK56" s="8"/>
      <c r="BL56" s="8"/>
      <c r="BM56" s="8"/>
      <c r="BN56" s="8"/>
      <c r="BO56" s="8"/>
      <c r="BV56" s="13">
        <v>99</v>
      </c>
      <c r="BW56" s="1">
        <v>99</v>
      </c>
      <c r="BX56" s="13"/>
      <c r="BY56" s="13"/>
      <c r="BZ56" s="13"/>
      <c r="CA56" s="13"/>
      <c r="CB56" s="13"/>
      <c r="CD56" s="13"/>
      <c r="CE56" s="13"/>
    </row>
    <row r="57" spans="1:93" x14ac:dyDescent="0.2">
      <c r="A57" s="1" t="s">
        <v>295</v>
      </c>
      <c r="B57" s="1" t="s">
        <v>130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9"/>
      <c r="O57" s="11">
        <v>870</v>
      </c>
      <c r="P57" s="11">
        <v>2990</v>
      </c>
      <c r="Q57" s="19"/>
      <c r="R57" s="19"/>
      <c r="S57" s="19"/>
      <c r="T57" s="19"/>
      <c r="U57" s="19"/>
      <c r="V57" s="19"/>
      <c r="W57" s="19"/>
      <c r="X57" s="11">
        <v>870</v>
      </c>
      <c r="Y57" s="11">
        <v>2990</v>
      </c>
      <c r="Z57" s="19"/>
      <c r="AA57" s="19"/>
      <c r="AB57" s="19"/>
      <c r="AC57" s="19"/>
      <c r="AD57" s="20"/>
      <c r="AE57" s="9"/>
      <c r="AF57" s="45"/>
      <c r="AG57" s="9"/>
      <c r="AH57" s="9"/>
      <c r="AI57" s="20" t="str">
        <f>IF(Tabelle589711[[#This Row],[installierte Leistung MW]]&lt;&gt;"",Tabelle589711[[#This Row],[Durchschnittsauslastung]]*Tabelle589711[[#This Row],[installierte Leistung MW]],"")</f>
        <v/>
      </c>
      <c r="AJ57" s="19" t="str">
        <f>IF(Tabelle589711[[#This Row],[installierte Leistung MW]]&lt;&gt;"",Tabelle589711[[#This Row],[installierte Leistung MW]],"")</f>
        <v/>
      </c>
      <c r="AK57" s="19"/>
      <c r="AL57" s="19"/>
      <c r="AM57" s="19"/>
      <c r="AN57" s="19"/>
      <c r="AO57" s="19">
        <f t="shared" si="5"/>
        <v>1.6666666666666666E-4</v>
      </c>
      <c r="AP57" s="19"/>
      <c r="AQ57" s="31">
        <f t="shared" si="4"/>
        <v>1.6666666666666668E-3</v>
      </c>
      <c r="AR57" s="31"/>
      <c r="AS57" s="31"/>
      <c r="BH57" s="19"/>
      <c r="BI57" s="19"/>
      <c r="BJ57" s="19"/>
      <c r="BK57" s="8"/>
      <c r="BL57" s="8"/>
      <c r="BM57" s="8"/>
      <c r="BN57" s="8"/>
      <c r="BO57" s="8"/>
      <c r="BV57" s="13">
        <v>99</v>
      </c>
      <c r="BW57" s="1">
        <v>99</v>
      </c>
      <c r="BX57" s="13"/>
      <c r="BY57" s="13"/>
      <c r="BZ57" s="13"/>
      <c r="CA57" s="13"/>
      <c r="CB57" s="13"/>
      <c r="CD57" s="13"/>
      <c r="CE57" s="13"/>
    </row>
    <row r="58" spans="1:93" x14ac:dyDescent="0.2">
      <c r="A58" s="1" t="s">
        <v>295</v>
      </c>
      <c r="B58" s="1" t="s">
        <v>130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9"/>
      <c r="O58" s="11">
        <v>790</v>
      </c>
      <c r="P58" s="11">
        <v>2880</v>
      </c>
      <c r="Q58" s="19"/>
      <c r="R58" s="19"/>
      <c r="S58" s="19"/>
      <c r="T58" s="19"/>
      <c r="U58" s="19"/>
      <c r="V58" s="19"/>
      <c r="W58" s="19"/>
      <c r="X58" s="11">
        <v>790</v>
      </c>
      <c r="Y58" s="11">
        <v>2880</v>
      </c>
      <c r="Z58" s="19"/>
      <c r="AA58" s="19"/>
      <c r="AB58" s="19"/>
      <c r="AC58" s="19"/>
      <c r="AD58" s="20"/>
      <c r="AE58" s="9"/>
      <c r="AF58" s="45"/>
      <c r="AG58" s="9"/>
      <c r="AH58" s="9"/>
      <c r="AI58" s="20" t="str">
        <f>IF(Tabelle589711[[#This Row],[installierte Leistung MW]]&lt;&gt;"",Tabelle589711[[#This Row],[Durchschnittsauslastung]]*Tabelle589711[[#This Row],[installierte Leistung MW]],"")</f>
        <v/>
      </c>
      <c r="AJ58" s="19" t="str">
        <f>IF(Tabelle589711[[#This Row],[installierte Leistung MW]]&lt;&gt;"",Tabelle589711[[#This Row],[installierte Leistung MW]],"")</f>
        <v/>
      </c>
      <c r="AK58" s="19"/>
      <c r="AL58" s="19"/>
      <c r="AM58" s="19"/>
      <c r="AN58" s="19"/>
      <c r="AO58" s="19">
        <f t="shared" si="5"/>
        <v>1.6666666666666666E-4</v>
      </c>
      <c r="AP58" s="19"/>
      <c r="AQ58" s="31">
        <f t="shared" si="4"/>
        <v>1.6666666666666668E-3</v>
      </c>
      <c r="AR58" s="31"/>
      <c r="AS58" s="31"/>
      <c r="BH58" s="19"/>
      <c r="BI58" s="19"/>
      <c r="BJ58" s="19"/>
      <c r="BK58" s="8"/>
      <c r="BL58" s="8"/>
      <c r="BM58" s="8"/>
      <c r="BN58" s="8"/>
      <c r="BO58" s="8"/>
      <c r="BV58" s="13">
        <v>99</v>
      </c>
      <c r="BW58" s="1">
        <v>99</v>
      </c>
      <c r="BX58" s="13"/>
      <c r="BY58" s="13"/>
      <c r="BZ58" s="13"/>
      <c r="CA58" s="13"/>
      <c r="CB58" s="13"/>
      <c r="CD58" s="13"/>
      <c r="CE58" s="13"/>
    </row>
    <row r="59" spans="1:93" x14ac:dyDescent="0.2">
      <c r="A59" s="1" t="s">
        <v>296</v>
      </c>
      <c r="B59" s="1" t="s">
        <v>130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9"/>
      <c r="O59" s="11">
        <v>2380</v>
      </c>
      <c r="P59" s="11">
        <v>2380</v>
      </c>
      <c r="Q59" s="19"/>
      <c r="R59" s="19"/>
      <c r="S59" s="19"/>
      <c r="T59" s="19"/>
      <c r="U59" s="19"/>
      <c r="V59" s="19"/>
      <c r="W59" s="19"/>
      <c r="X59" s="11">
        <v>2380</v>
      </c>
      <c r="Y59" s="11">
        <v>2380</v>
      </c>
      <c r="Z59" s="19"/>
      <c r="AA59" s="19"/>
      <c r="AB59" s="19"/>
      <c r="AC59" s="19"/>
      <c r="AD59" s="20"/>
      <c r="AE59" s="9"/>
      <c r="AF59" s="45"/>
      <c r="AG59" s="9"/>
      <c r="AH59" s="9"/>
      <c r="AI59" s="20" t="str">
        <f>IF(Tabelle589711[[#This Row],[installierte Leistung MW]]&lt;&gt;"",Tabelle589711[[#This Row],[Durchschnittsauslastung]]*Tabelle589711[[#This Row],[installierte Leistung MW]],"")</f>
        <v/>
      </c>
      <c r="AJ59" s="19" t="str">
        <f>IF(Tabelle589711[[#This Row],[installierte Leistung MW]]&lt;&gt;"",Tabelle589711[[#This Row],[installierte Leistung MW]],"")</f>
        <v/>
      </c>
      <c r="AK59" s="19"/>
      <c r="AL59" s="19"/>
      <c r="AM59" s="19"/>
      <c r="AN59" s="19"/>
      <c r="AO59" s="19">
        <f t="shared" si="5"/>
        <v>1.6666666666666666E-4</v>
      </c>
      <c r="AP59" s="19"/>
      <c r="AQ59" s="31">
        <f t="shared" si="4"/>
        <v>1.6666666666666668E-3</v>
      </c>
      <c r="AR59" s="31"/>
      <c r="AS59" s="31"/>
      <c r="BH59" s="19"/>
      <c r="BI59" s="19"/>
      <c r="BJ59" s="19"/>
      <c r="BK59" s="8"/>
      <c r="BL59" s="8"/>
      <c r="BM59" s="8"/>
      <c r="BN59" s="8"/>
      <c r="BO59" s="8"/>
      <c r="BV59" s="13">
        <v>99</v>
      </c>
      <c r="BW59" s="1">
        <v>99</v>
      </c>
      <c r="BX59" s="13"/>
      <c r="BY59" s="13"/>
      <c r="BZ59" s="13"/>
      <c r="CA59" s="13"/>
      <c r="CB59" s="13"/>
      <c r="CD59" s="13"/>
      <c r="CE59" s="13"/>
    </row>
    <row r="60" spans="1:93" x14ac:dyDescent="0.2">
      <c r="A60" s="1" t="s">
        <v>296</v>
      </c>
      <c r="B60" s="1" t="s">
        <v>130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9"/>
      <c r="O60" s="11">
        <v>2450</v>
      </c>
      <c r="P60" s="11">
        <v>3200</v>
      </c>
      <c r="Q60" s="19"/>
      <c r="R60" s="19"/>
      <c r="S60" s="19"/>
      <c r="T60" s="19"/>
      <c r="U60" s="19"/>
      <c r="V60" s="19"/>
      <c r="W60" s="19"/>
      <c r="X60" s="11">
        <v>2450</v>
      </c>
      <c r="Y60" s="11">
        <v>3200</v>
      </c>
      <c r="Z60" s="19"/>
      <c r="AA60" s="19"/>
      <c r="AB60" s="19"/>
      <c r="AC60" s="19"/>
      <c r="AD60" s="20"/>
      <c r="AE60" s="9"/>
      <c r="AF60" s="45"/>
      <c r="AG60" s="9"/>
      <c r="AH60" s="9"/>
      <c r="AI60" s="20" t="str">
        <f>IF(Tabelle589711[[#This Row],[installierte Leistung MW]]&lt;&gt;"",Tabelle589711[[#This Row],[Durchschnittsauslastung]]*Tabelle589711[[#This Row],[installierte Leistung MW]],"")</f>
        <v/>
      </c>
      <c r="AJ60" s="19" t="str">
        <f>IF(Tabelle589711[[#This Row],[installierte Leistung MW]]&lt;&gt;"",Tabelle589711[[#This Row],[installierte Leistung MW]],"")</f>
        <v/>
      </c>
      <c r="AK60" s="19"/>
      <c r="AL60" s="19"/>
      <c r="AM60" s="19"/>
      <c r="AN60" s="19"/>
      <c r="AO60" s="19">
        <f t="shared" si="5"/>
        <v>1.6666666666666666E-4</v>
      </c>
      <c r="AP60" s="19"/>
      <c r="AQ60" s="31">
        <f t="shared" si="4"/>
        <v>1.6666666666666668E-3</v>
      </c>
      <c r="AR60" s="31"/>
      <c r="AS60" s="31"/>
      <c r="BH60" s="19"/>
      <c r="BI60" s="19"/>
      <c r="BJ60" s="19"/>
      <c r="BK60" s="8"/>
      <c r="BL60" s="8"/>
      <c r="BM60" s="8"/>
      <c r="BN60" s="8"/>
      <c r="BO60" s="8"/>
      <c r="BV60" s="13">
        <v>99</v>
      </c>
      <c r="BW60" s="1">
        <v>99</v>
      </c>
      <c r="BX60" s="13"/>
      <c r="BY60" s="13"/>
      <c r="BZ60" s="13"/>
      <c r="CA60" s="13"/>
      <c r="CB60" s="13"/>
      <c r="CD60" s="13"/>
      <c r="CE60" s="13"/>
    </row>
    <row r="61" spans="1:93" x14ac:dyDescent="0.2">
      <c r="A61" s="1" t="s">
        <v>296</v>
      </c>
      <c r="B61" s="1" t="s">
        <v>130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9"/>
      <c r="O61" s="11">
        <v>2180</v>
      </c>
      <c r="P61" s="11">
        <v>2900</v>
      </c>
      <c r="Q61" s="19"/>
      <c r="R61" s="19"/>
      <c r="S61" s="19"/>
      <c r="T61" s="19"/>
      <c r="U61" s="19"/>
      <c r="V61" s="19"/>
      <c r="W61" s="19"/>
      <c r="X61" s="11">
        <v>2180</v>
      </c>
      <c r="Y61" s="11">
        <v>2900</v>
      </c>
      <c r="Z61" s="19"/>
      <c r="AA61" s="19"/>
      <c r="AB61" s="19"/>
      <c r="AC61" s="19"/>
      <c r="AD61" s="20"/>
      <c r="AE61" s="9"/>
      <c r="AF61" s="45"/>
      <c r="AG61" s="9"/>
      <c r="AH61" s="9"/>
      <c r="AI61" s="20" t="str">
        <f>IF(Tabelle589711[[#This Row],[installierte Leistung MW]]&lt;&gt;"",Tabelle589711[[#This Row],[Durchschnittsauslastung]]*Tabelle589711[[#This Row],[installierte Leistung MW]],"")</f>
        <v/>
      </c>
      <c r="AJ61" s="19" t="str">
        <f>IF(Tabelle589711[[#This Row],[installierte Leistung MW]]&lt;&gt;"",Tabelle589711[[#This Row],[installierte Leistung MW]],"")</f>
        <v/>
      </c>
      <c r="AK61" s="19"/>
      <c r="AL61" s="19"/>
      <c r="AM61" s="19"/>
      <c r="AN61" s="19"/>
      <c r="AO61" s="19">
        <f t="shared" si="5"/>
        <v>1.6666666666666666E-4</v>
      </c>
      <c r="AP61" s="19"/>
      <c r="AQ61" s="31">
        <f t="shared" si="4"/>
        <v>1.6666666666666668E-3</v>
      </c>
      <c r="AR61" s="31"/>
      <c r="AS61" s="31"/>
      <c r="BH61" s="19"/>
      <c r="BI61" s="19"/>
      <c r="BJ61" s="19"/>
      <c r="BK61" s="8"/>
      <c r="BL61" s="8"/>
      <c r="BM61" s="8"/>
      <c r="BN61" s="8"/>
      <c r="BO61" s="8"/>
      <c r="BV61" s="13">
        <v>99</v>
      </c>
      <c r="BW61" s="1">
        <v>99</v>
      </c>
      <c r="BX61" s="13"/>
      <c r="BY61" s="13"/>
      <c r="BZ61" s="13"/>
      <c r="CA61" s="13"/>
      <c r="CB61" s="13"/>
      <c r="CD61" s="13"/>
      <c r="CE61" s="13"/>
    </row>
    <row r="62" spans="1:93" x14ac:dyDescent="0.2">
      <c r="A62" s="1" t="s">
        <v>297</v>
      </c>
      <c r="B62" s="1" t="s">
        <v>130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9"/>
      <c r="O62" s="11">
        <v>620</v>
      </c>
      <c r="P62" s="11">
        <v>620</v>
      </c>
      <c r="Q62" s="19"/>
      <c r="R62" s="19"/>
      <c r="S62" s="19"/>
      <c r="T62" s="19"/>
      <c r="U62" s="19"/>
      <c r="V62" s="19"/>
      <c r="W62" s="19"/>
      <c r="X62" s="11">
        <v>620</v>
      </c>
      <c r="Y62" s="11">
        <v>620</v>
      </c>
      <c r="Z62" s="19"/>
      <c r="AA62" s="19"/>
      <c r="AB62" s="19"/>
      <c r="AC62" s="19"/>
      <c r="AD62" s="20"/>
      <c r="AE62" s="9"/>
      <c r="AF62" s="45"/>
      <c r="AG62" s="9"/>
      <c r="AH62" s="9"/>
      <c r="AI62" s="20" t="str">
        <f>IF(Tabelle589711[[#This Row],[installierte Leistung MW]]&lt;&gt;"",Tabelle589711[[#This Row],[Durchschnittsauslastung]]*Tabelle589711[[#This Row],[installierte Leistung MW]],"")</f>
        <v/>
      </c>
      <c r="AJ62" s="19" t="str">
        <f>IF(Tabelle589711[[#This Row],[installierte Leistung MW]]&lt;&gt;"",Tabelle589711[[#This Row],[installierte Leistung MW]],"")</f>
        <v/>
      </c>
      <c r="AK62" s="19"/>
      <c r="AL62" s="19"/>
      <c r="AM62" s="19"/>
      <c r="AN62" s="19"/>
      <c r="AO62" s="19">
        <f t="shared" si="5"/>
        <v>1.6666666666666666E-4</v>
      </c>
      <c r="AP62" s="19"/>
      <c r="AQ62" s="31">
        <f t="shared" si="4"/>
        <v>1.6666666666666668E-3</v>
      </c>
      <c r="AR62" s="31"/>
      <c r="AS62" s="31"/>
      <c r="BH62" s="19"/>
      <c r="BI62" s="19"/>
      <c r="BJ62" s="19"/>
      <c r="BK62" s="8"/>
      <c r="BL62" s="8"/>
      <c r="BM62" s="8"/>
      <c r="BN62" s="8"/>
      <c r="BO62" s="8"/>
      <c r="BV62" s="13">
        <v>99</v>
      </c>
      <c r="BW62" s="1">
        <v>99</v>
      </c>
      <c r="BX62" s="13"/>
      <c r="BY62" s="13"/>
      <c r="BZ62" s="13"/>
      <c r="CA62" s="13"/>
      <c r="CB62" s="13"/>
      <c r="CD62" s="13"/>
      <c r="CE62" s="13"/>
    </row>
    <row r="63" spans="1:93" x14ac:dyDescent="0.2">
      <c r="A63" s="1" t="s">
        <v>297</v>
      </c>
      <c r="B63" s="1" t="s">
        <v>130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9"/>
      <c r="O63" s="11">
        <v>700</v>
      </c>
      <c r="P63" s="11">
        <v>720</v>
      </c>
      <c r="Q63" s="19"/>
      <c r="R63" s="19"/>
      <c r="S63" s="19"/>
      <c r="T63" s="19"/>
      <c r="U63" s="19"/>
      <c r="V63" s="19"/>
      <c r="W63" s="19"/>
      <c r="X63" s="11">
        <v>700</v>
      </c>
      <c r="Y63" s="11">
        <v>720</v>
      </c>
      <c r="Z63" s="19"/>
      <c r="AA63" s="19"/>
      <c r="AB63" s="19"/>
      <c r="AC63" s="19"/>
      <c r="AD63" s="20"/>
      <c r="AE63" s="9"/>
      <c r="AF63" s="45"/>
      <c r="AG63" s="9"/>
      <c r="AH63" s="9"/>
      <c r="AI63" s="20" t="str">
        <f>IF(Tabelle589711[[#This Row],[installierte Leistung MW]]&lt;&gt;"",Tabelle589711[[#This Row],[Durchschnittsauslastung]]*Tabelle589711[[#This Row],[installierte Leistung MW]],"")</f>
        <v/>
      </c>
      <c r="AJ63" s="19" t="str">
        <f>IF(Tabelle589711[[#This Row],[installierte Leistung MW]]&lt;&gt;"",Tabelle589711[[#This Row],[installierte Leistung MW]],"")</f>
        <v/>
      </c>
      <c r="AK63" s="19"/>
      <c r="AL63" s="19"/>
      <c r="AM63" s="19"/>
      <c r="AN63" s="19"/>
      <c r="AO63" s="19">
        <f t="shared" si="5"/>
        <v>1.6666666666666666E-4</v>
      </c>
      <c r="AP63" s="19"/>
      <c r="AQ63" s="31">
        <f t="shared" si="4"/>
        <v>1.6666666666666668E-3</v>
      </c>
      <c r="AR63" s="31"/>
      <c r="AS63" s="31"/>
      <c r="BH63" s="19"/>
      <c r="BI63" s="19"/>
      <c r="BJ63" s="19"/>
      <c r="BK63" s="8"/>
      <c r="BL63" s="8"/>
      <c r="BM63" s="8"/>
      <c r="BN63" s="8"/>
      <c r="BO63" s="8"/>
      <c r="BV63" s="13">
        <v>99</v>
      </c>
      <c r="BW63" s="1">
        <v>99</v>
      </c>
      <c r="BX63" s="13"/>
      <c r="BY63" s="13"/>
      <c r="BZ63" s="13"/>
      <c r="CA63" s="13"/>
      <c r="CB63" s="13"/>
      <c r="CD63" s="13"/>
      <c r="CE63" s="13"/>
    </row>
    <row r="64" spans="1:93" x14ac:dyDescent="0.2">
      <c r="A64" s="1" t="s">
        <v>297</v>
      </c>
      <c r="B64" s="1" t="s">
        <v>130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9"/>
      <c r="O64" s="11">
        <v>620</v>
      </c>
      <c r="P64" s="11">
        <v>670</v>
      </c>
      <c r="Q64" s="19"/>
      <c r="R64" s="19"/>
      <c r="S64" s="19"/>
      <c r="T64" s="19"/>
      <c r="U64" s="19"/>
      <c r="V64" s="19"/>
      <c r="W64" s="19"/>
      <c r="X64" s="11">
        <v>620</v>
      </c>
      <c r="Y64" s="11">
        <v>670</v>
      </c>
      <c r="Z64" s="19"/>
      <c r="AA64" s="19"/>
      <c r="AB64" s="19"/>
      <c r="AC64" s="19"/>
      <c r="AD64" s="20"/>
      <c r="AE64" s="9"/>
      <c r="AF64" s="45"/>
      <c r="AG64" s="9"/>
      <c r="AH64" s="9"/>
      <c r="AI64" s="20" t="str">
        <f>IF(Tabelle589711[[#This Row],[installierte Leistung MW]]&lt;&gt;"",Tabelle589711[[#This Row],[Durchschnittsauslastung]]*Tabelle589711[[#This Row],[installierte Leistung MW]],"")</f>
        <v/>
      </c>
      <c r="AJ64" s="19" t="str">
        <f>IF(Tabelle589711[[#This Row],[installierte Leistung MW]]&lt;&gt;"",Tabelle589711[[#This Row],[installierte Leistung MW]],"")</f>
        <v/>
      </c>
      <c r="AK64" s="19"/>
      <c r="AL64" s="19"/>
      <c r="AM64" s="19"/>
      <c r="AN64" s="19"/>
      <c r="AO64" s="19">
        <f t="shared" si="5"/>
        <v>1.6666666666666666E-4</v>
      </c>
      <c r="AP64" s="19"/>
      <c r="AQ64" s="31">
        <f t="shared" si="4"/>
        <v>1.6666666666666668E-3</v>
      </c>
      <c r="AR64" s="31"/>
      <c r="AS64" s="31"/>
      <c r="BH64" s="19"/>
      <c r="BI64" s="19"/>
      <c r="BJ64" s="19"/>
      <c r="BK64" s="8"/>
      <c r="BL64" s="8"/>
      <c r="BM64" s="8"/>
      <c r="BN64" s="8"/>
      <c r="BO64" s="8"/>
      <c r="BV64" s="13">
        <v>99</v>
      </c>
      <c r="BW64" s="1">
        <v>99</v>
      </c>
      <c r="BX64" s="13"/>
      <c r="BY64" s="13"/>
      <c r="BZ64" s="13"/>
      <c r="CA64" s="13"/>
      <c r="CB64" s="13"/>
      <c r="CD64" s="13"/>
      <c r="CE64" s="13"/>
    </row>
    <row r="65" spans="1:83" x14ac:dyDescent="0.2">
      <c r="A65" s="1" t="s">
        <v>298</v>
      </c>
      <c r="B65" s="1" t="s">
        <v>130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9"/>
      <c r="O65" s="11">
        <v>80</v>
      </c>
      <c r="P65" s="11">
        <v>80</v>
      </c>
      <c r="Q65" s="19"/>
      <c r="R65" s="19"/>
      <c r="S65" s="19"/>
      <c r="T65" s="19"/>
      <c r="U65" s="19"/>
      <c r="V65" s="19"/>
      <c r="W65" s="19"/>
      <c r="X65" s="11">
        <v>80</v>
      </c>
      <c r="Y65" s="11">
        <v>80</v>
      </c>
      <c r="Z65" s="19"/>
      <c r="AA65" s="19"/>
      <c r="AB65" s="19"/>
      <c r="AC65" s="19"/>
      <c r="AD65" s="20"/>
      <c r="AE65" s="9"/>
      <c r="AF65" s="45"/>
      <c r="AG65" s="9"/>
      <c r="AH65" s="9"/>
      <c r="AI65" s="20" t="str">
        <f>IF(Tabelle589711[[#This Row],[installierte Leistung MW]]&lt;&gt;"",Tabelle589711[[#This Row],[Durchschnittsauslastung]]*Tabelle589711[[#This Row],[installierte Leistung MW]],"")</f>
        <v/>
      </c>
      <c r="AJ65" s="19" t="str">
        <f>IF(Tabelle589711[[#This Row],[installierte Leistung MW]]&lt;&gt;"",Tabelle589711[[#This Row],[installierte Leistung MW]],"")</f>
        <v/>
      </c>
      <c r="AK65" s="19"/>
      <c r="AL65" s="19"/>
      <c r="AM65" s="19"/>
      <c r="AN65" s="19"/>
      <c r="AO65" s="19">
        <f t="shared" si="5"/>
        <v>1.6666666666666666E-4</v>
      </c>
      <c r="AP65" s="19"/>
      <c r="AQ65" s="31">
        <f t="shared" si="4"/>
        <v>1.6666666666666668E-3</v>
      </c>
      <c r="AR65" s="31"/>
      <c r="AS65" s="31"/>
      <c r="BH65" s="19"/>
      <c r="BI65" s="19"/>
      <c r="BJ65" s="19"/>
      <c r="BK65" s="8"/>
      <c r="BL65" s="8"/>
      <c r="BM65" s="8"/>
      <c r="BN65" s="8"/>
      <c r="BO65" s="8"/>
      <c r="BV65" s="13">
        <v>99</v>
      </c>
      <c r="BW65" s="1">
        <v>99</v>
      </c>
      <c r="BX65" s="13"/>
      <c r="BY65" s="13"/>
      <c r="BZ65" s="13"/>
      <c r="CA65" s="13"/>
      <c r="CB65" s="13"/>
      <c r="CD65" s="13"/>
      <c r="CE65" s="13"/>
    </row>
    <row r="66" spans="1:83" x14ac:dyDescent="0.2">
      <c r="A66" s="1" t="s">
        <v>298</v>
      </c>
      <c r="B66" s="1" t="s">
        <v>130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9"/>
      <c r="O66" s="11">
        <v>130</v>
      </c>
      <c r="P66" s="11">
        <v>110</v>
      </c>
      <c r="Q66" s="19"/>
      <c r="R66" s="19"/>
      <c r="S66" s="19"/>
      <c r="T66" s="19"/>
      <c r="U66" s="19"/>
      <c r="V66" s="19"/>
      <c r="W66" s="19"/>
      <c r="X66" s="11">
        <v>130</v>
      </c>
      <c r="Y66" s="11">
        <v>110</v>
      </c>
      <c r="Z66" s="19"/>
      <c r="AA66" s="19"/>
      <c r="AB66" s="19"/>
      <c r="AC66" s="19"/>
      <c r="AD66" s="20"/>
      <c r="AE66" s="9"/>
      <c r="AF66" s="45"/>
      <c r="AG66" s="9"/>
      <c r="AH66" s="9"/>
      <c r="AI66" s="20" t="str">
        <f>IF(Tabelle589711[[#This Row],[installierte Leistung MW]]&lt;&gt;"",Tabelle589711[[#This Row],[Durchschnittsauslastung]]*Tabelle589711[[#This Row],[installierte Leistung MW]],"")</f>
        <v/>
      </c>
      <c r="AJ66" s="19" t="str">
        <f>IF(Tabelle589711[[#This Row],[installierte Leistung MW]]&lt;&gt;"",Tabelle589711[[#This Row],[installierte Leistung MW]],"")</f>
        <v/>
      </c>
      <c r="AK66" s="19"/>
      <c r="AL66" s="19"/>
      <c r="AM66" s="19"/>
      <c r="AN66" s="19"/>
      <c r="AO66" s="19">
        <f t="shared" si="5"/>
        <v>1.6666666666666666E-4</v>
      </c>
      <c r="AP66" s="19"/>
      <c r="AQ66" s="31">
        <f t="shared" si="4"/>
        <v>1.6666666666666668E-3</v>
      </c>
      <c r="AR66" s="31"/>
      <c r="AS66" s="31"/>
      <c r="BH66" s="19"/>
      <c r="BI66" s="19"/>
      <c r="BJ66" s="19"/>
      <c r="BK66" s="8"/>
      <c r="BL66" s="8"/>
      <c r="BM66" s="8"/>
      <c r="BN66" s="8"/>
      <c r="BO66" s="8"/>
      <c r="BV66" s="13">
        <v>99</v>
      </c>
      <c r="BW66" s="1">
        <v>99</v>
      </c>
      <c r="BX66" s="13"/>
      <c r="BY66" s="13"/>
      <c r="BZ66" s="13"/>
      <c r="CA66" s="13"/>
      <c r="CB66" s="13"/>
      <c r="CD66" s="13"/>
      <c r="CE66" s="13"/>
    </row>
    <row r="67" spans="1:83" x14ac:dyDescent="0.2">
      <c r="A67" s="1" t="s">
        <v>298</v>
      </c>
      <c r="B67" s="1" t="s">
        <v>130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9"/>
      <c r="O67" s="11">
        <v>160</v>
      </c>
      <c r="P67" s="11">
        <v>100</v>
      </c>
      <c r="Q67" s="19"/>
      <c r="R67" s="19"/>
      <c r="S67" s="19"/>
      <c r="T67" s="19"/>
      <c r="U67" s="19"/>
      <c r="V67" s="19"/>
      <c r="W67" s="19"/>
      <c r="X67" s="11">
        <v>160</v>
      </c>
      <c r="Y67" s="11">
        <v>100</v>
      </c>
      <c r="Z67" s="19"/>
      <c r="AA67" s="19"/>
      <c r="AB67" s="19"/>
      <c r="AC67" s="19"/>
      <c r="AD67" s="20"/>
      <c r="AE67" s="9"/>
      <c r="AF67" s="45"/>
      <c r="AG67" s="9"/>
      <c r="AH67" s="9"/>
      <c r="AI67" s="20" t="str">
        <f>IF(Tabelle589711[[#This Row],[installierte Leistung MW]]&lt;&gt;"",Tabelle589711[[#This Row],[Durchschnittsauslastung]]*Tabelle589711[[#This Row],[installierte Leistung MW]],"")</f>
        <v/>
      </c>
      <c r="AJ67" s="19" t="str">
        <f>IF(Tabelle589711[[#This Row],[installierte Leistung MW]]&lt;&gt;"",Tabelle589711[[#This Row],[installierte Leistung MW]],"")</f>
        <v/>
      </c>
      <c r="AK67" s="19"/>
      <c r="AL67" s="19"/>
      <c r="AM67" s="19"/>
      <c r="AN67" s="19"/>
      <c r="AO67" s="19">
        <f t="shared" si="5"/>
        <v>1.6666666666666666E-4</v>
      </c>
      <c r="AP67" s="19"/>
      <c r="AQ67" s="31">
        <f t="shared" si="4"/>
        <v>1.6666666666666668E-3</v>
      </c>
      <c r="AR67" s="31"/>
      <c r="AS67" s="31"/>
      <c r="BH67" s="19"/>
      <c r="BI67" s="19"/>
      <c r="BJ67" s="19"/>
      <c r="BK67" s="8"/>
      <c r="BL67" s="8"/>
      <c r="BM67" s="8"/>
      <c r="BN67" s="8"/>
      <c r="BO67" s="8"/>
      <c r="BV67" s="13">
        <v>99</v>
      </c>
      <c r="BW67" s="1">
        <v>99</v>
      </c>
      <c r="BX67" s="13"/>
      <c r="BY67" s="13"/>
      <c r="BZ67" s="13"/>
      <c r="CA67" s="13"/>
      <c r="CB67" s="13"/>
      <c r="CD67" s="13"/>
      <c r="CE67" s="13"/>
    </row>
    <row r="68" spans="1:83" x14ac:dyDescent="0.2">
      <c r="A68" s="1" t="s">
        <v>299</v>
      </c>
      <c r="B68" s="1" t="s">
        <v>130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9"/>
      <c r="O68" s="11">
        <v>600</v>
      </c>
      <c r="P68" s="11">
        <v>600</v>
      </c>
      <c r="Q68" s="19"/>
      <c r="R68" s="19"/>
      <c r="S68" s="19"/>
      <c r="T68" s="19"/>
      <c r="U68" s="19"/>
      <c r="V68" s="19"/>
      <c r="W68" s="19"/>
      <c r="X68" s="11">
        <v>600</v>
      </c>
      <c r="Y68" s="11">
        <v>600</v>
      </c>
      <c r="Z68" s="19"/>
      <c r="AA68" s="19"/>
      <c r="AB68" s="19"/>
      <c r="AC68" s="19"/>
      <c r="AD68" s="20"/>
      <c r="AE68" s="9"/>
      <c r="AF68" s="45"/>
      <c r="AG68" s="9"/>
      <c r="AH68" s="9"/>
      <c r="AI68" s="20" t="str">
        <f>IF(Tabelle589711[[#This Row],[installierte Leistung MW]]&lt;&gt;"",Tabelle589711[[#This Row],[Durchschnittsauslastung]]*Tabelle589711[[#This Row],[installierte Leistung MW]],"")</f>
        <v/>
      </c>
      <c r="AJ68" s="19" t="str">
        <f>IF(Tabelle589711[[#This Row],[installierte Leistung MW]]&lt;&gt;"",Tabelle589711[[#This Row],[installierte Leistung MW]],"")</f>
        <v/>
      </c>
      <c r="AK68" s="19"/>
      <c r="AL68" s="19"/>
      <c r="AM68" s="19"/>
      <c r="AN68" s="19"/>
      <c r="AO68" s="19">
        <f t="shared" si="5"/>
        <v>1.6666666666666666E-4</v>
      </c>
      <c r="AP68" s="19"/>
      <c r="AQ68" s="31">
        <f t="shared" si="4"/>
        <v>1.6666666666666668E-3</v>
      </c>
      <c r="AR68" s="31"/>
      <c r="AS68" s="31"/>
      <c r="BH68" s="19"/>
      <c r="BI68" s="19"/>
      <c r="BJ68" s="19"/>
      <c r="BK68" s="8"/>
      <c r="BL68" s="8"/>
      <c r="BM68" s="8"/>
      <c r="BN68" s="8"/>
      <c r="BO68" s="8"/>
      <c r="BV68" s="13">
        <v>99</v>
      </c>
      <c r="BW68" s="1">
        <v>99</v>
      </c>
      <c r="BX68" s="13"/>
      <c r="BY68" s="13"/>
      <c r="BZ68" s="13"/>
      <c r="CA68" s="13"/>
      <c r="CB68" s="13"/>
      <c r="CD68" s="13"/>
      <c r="CE68" s="13"/>
    </row>
    <row r="69" spans="1:83" x14ac:dyDescent="0.2">
      <c r="A69" s="1" t="s">
        <v>299</v>
      </c>
      <c r="B69" s="1" t="s">
        <v>130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9"/>
      <c r="O69" s="11">
        <v>700</v>
      </c>
      <c r="P69" s="11">
        <v>700</v>
      </c>
      <c r="Q69" s="19"/>
      <c r="R69" s="19"/>
      <c r="S69" s="19"/>
      <c r="T69" s="19"/>
      <c r="U69" s="19"/>
      <c r="V69" s="19"/>
      <c r="W69" s="19"/>
      <c r="X69" s="11">
        <v>700</v>
      </c>
      <c r="Y69" s="11">
        <v>700</v>
      </c>
      <c r="Z69" s="19"/>
      <c r="AA69" s="19"/>
      <c r="AB69" s="19"/>
      <c r="AC69" s="19"/>
      <c r="AD69" s="20"/>
      <c r="AE69" s="9"/>
      <c r="AF69" s="45"/>
      <c r="AG69" s="9"/>
      <c r="AH69" s="9"/>
      <c r="AI69" s="20" t="str">
        <f>IF(Tabelle589711[[#This Row],[installierte Leistung MW]]&lt;&gt;"",Tabelle589711[[#This Row],[Durchschnittsauslastung]]*Tabelle589711[[#This Row],[installierte Leistung MW]],"")</f>
        <v/>
      </c>
      <c r="AJ69" s="19" t="str">
        <f>IF(Tabelle589711[[#This Row],[installierte Leistung MW]]&lt;&gt;"",Tabelle589711[[#This Row],[installierte Leistung MW]],"")</f>
        <v/>
      </c>
      <c r="AK69" s="19"/>
      <c r="AL69" s="19"/>
      <c r="AM69" s="19"/>
      <c r="AN69" s="19"/>
      <c r="AO69" s="19">
        <f t="shared" si="5"/>
        <v>1.6666666666666666E-4</v>
      </c>
      <c r="AP69" s="19"/>
      <c r="AQ69" s="31">
        <f t="shared" si="4"/>
        <v>1.6666666666666668E-3</v>
      </c>
      <c r="AR69" s="31"/>
      <c r="AS69" s="31"/>
      <c r="BH69" s="19"/>
      <c r="BI69" s="19"/>
      <c r="BJ69" s="19"/>
      <c r="BK69" s="8"/>
      <c r="BL69" s="8"/>
      <c r="BM69" s="8"/>
      <c r="BN69" s="8"/>
      <c r="BO69" s="8"/>
      <c r="BV69" s="13">
        <v>99</v>
      </c>
      <c r="BW69" s="1">
        <v>99</v>
      </c>
      <c r="BX69" s="13"/>
      <c r="BY69" s="13"/>
      <c r="BZ69" s="13"/>
      <c r="CA69" s="13"/>
      <c r="CB69" s="13"/>
      <c r="CD69" s="13"/>
      <c r="CE69" s="13"/>
    </row>
    <row r="70" spans="1:83" x14ac:dyDescent="0.2">
      <c r="A70" s="1" t="s">
        <v>299</v>
      </c>
      <c r="B70" s="1" t="s">
        <v>130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9"/>
      <c r="O70" s="11">
        <v>610</v>
      </c>
      <c r="P70" s="11">
        <v>610</v>
      </c>
      <c r="Q70" s="19"/>
      <c r="R70" s="19"/>
      <c r="S70" s="19"/>
      <c r="T70" s="19"/>
      <c r="U70" s="19"/>
      <c r="V70" s="19"/>
      <c r="W70" s="19"/>
      <c r="X70" s="11">
        <v>610</v>
      </c>
      <c r="Y70" s="11">
        <v>610</v>
      </c>
      <c r="Z70" s="19"/>
      <c r="AA70" s="19"/>
      <c r="AB70" s="19"/>
      <c r="AC70" s="19"/>
      <c r="AD70" s="20"/>
      <c r="AE70" s="9"/>
      <c r="AF70" s="45"/>
      <c r="AG70" s="9"/>
      <c r="AH70" s="9"/>
      <c r="AI70" s="20" t="str">
        <f>IF(Tabelle589711[[#This Row],[installierte Leistung MW]]&lt;&gt;"",Tabelle589711[[#This Row],[Durchschnittsauslastung]]*Tabelle589711[[#This Row],[installierte Leistung MW]],"")</f>
        <v/>
      </c>
      <c r="AJ70" s="19" t="str">
        <f>IF(Tabelle589711[[#This Row],[installierte Leistung MW]]&lt;&gt;"",Tabelle589711[[#This Row],[installierte Leistung MW]],"")</f>
        <v/>
      </c>
      <c r="AK70" s="19"/>
      <c r="AL70" s="19"/>
      <c r="AM70" s="19"/>
      <c r="AN70" s="19"/>
      <c r="AO70" s="19">
        <f t="shared" si="5"/>
        <v>1.6666666666666666E-4</v>
      </c>
      <c r="AP70" s="19"/>
      <c r="AQ70" s="31">
        <f t="shared" si="4"/>
        <v>1.6666666666666668E-3</v>
      </c>
      <c r="AR70" s="31"/>
      <c r="AS70" s="31"/>
      <c r="BH70" s="19"/>
      <c r="BI70" s="19"/>
      <c r="BJ70" s="19"/>
      <c r="BK70" s="8"/>
      <c r="BL70" s="8"/>
      <c r="BM70" s="8"/>
      <c r="BN70" s="8"/>
      <c r="BO70" s="8"/>
      <c r="BV70" s="13">
        <v>99</v>
      </c>
      <c r="BW70" s="1">
        <v>99</v>
      </c>
      <c r="BX70" s="13"/>
      <c r="BY70" s="13"/>
      <c r="BZ70" s="13"/>
      <c r="CA70" s="13"/>
      <c r="CB70" s="13"/>
      <c r="CD70" s="13"/>
      <c r="CE70" s="13"/>
    </row>
    <row r="71" spans="1:83" x14ac:dyDescent="0.2">
      <c r="A71" s="1" t="s">
        <v>300</v>
      </c>
      <c r="B71" s="1" t="s">
        <v>130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9"/>
      <c r="O71" s="11">
        <v>130</v>
      </c>
      <c r="P71" s="11">
        <v>140</v>
      </c>
      <c r="Q71" s="19"/>
      <c r="R71" s="19"/>
      <c r="S71" s="19"/>
      <c r="T71" s="19"/>
      <c r="U71" s="19"/>
      <c r="V71" s="19"/>
      <c r="W71" s="19"/>
      <c r="X71" s="11">
        <v>130</v>
      </c>
      <c r="Y71" s="11">
        <v>140</v>
      </c>
      <c r="Z71" s="19"/>
      <c r="AA71" s="19"/>
      <c r="AB71" s="19"/>
      <c r="AC71" s="19"/>
      <c r="AD71" s="20"/>
      <c r="AE71" s="9"/>
      <c r="AF71" s="45"/>
      <c r="AG71" s="9"/>
      <c r="AH71" s="9"/>
      <c r="AI71" s="20" t="str">
        <f>IF(Tabelle589711[[#This Row],[installierte Leistung MW]]&lt;&gt;"",Tabelle589711[[#This Row],[Durchschnittsauslastung]]*Tabelle589711[[#This Row],[installierte Leistung MW]],"")</f>
        <v/>
      </c>
      <c r="AJ71" s="19" t="str">
        <f>IF(Tabelle589711[[#This Row],[installierte Leistung MW]]&lt;&gt;"",Tabelle589711[[#This Row],[installierte Leistung MW]],"")</f>
        <v/>
      </c>
      <c r="AK71" s="19"/>
      <c r="AL71" s="19"/>
      <c r="AM71" s="19"/>
      <c r="AN71" s="19"/>
      <c r="AO71" s="19">
        <f t="shared" si="5"/>
        <v>1.6666666666666666E-4</v>
      </c>
      <c r="AP71" s="19"/>
      <c r="AQ71" s="31">
        <f t="shared" si="4"/>
        <v>1.6666666666666668E-3</v>
      </c>
      <c r="AR71" s="31"/>
      <c r="AS71" s="31"/>
      <c r="BH71" s="19"/>
      <c r="BI71" s="19"/>
      <c r="BJ71" s="19"/>
      <c r="BK71" s="8"/>
      <c r="BL71" s="8"/>
      <c r="BM71" s="8"/>
      <c r="BN71" s="8"/>
      <c r="BO71" s="8"/>
      <c r="BV71" s="13">
        <v>99</v>
      </c>
      <c r="BW71" s="1">
        <v>99</v>
      </c>
      <c r="BX71" s="13"/>
      <c r="BY71" s="13"/>
      <c r="BZ71" s="13"/>
      <c r="CA71" s="13"/>
      <c r="CB71" s="13"/>
      <c r="CD71" s="13"/>
      <c r="CE71" s="13"/>
    </row>
    <row r="72" spans="1:83" x14ac:dyDescent="0.2">
      <c r="A72" s="1" t="s">
        <v>300</v>
      </c>
      <c r="B72" s="1" t="s">
        <v>130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9"/>
      <c r="O72" s="11">
        <v>220</v>
      </c>
      <c r="P72" s="11">
        <v>210</v>
      </c>
      <c r="Q72" s="19"/>
      <c r="R72" s="19"/>
      <c r="S72" s="19"/>
      <c r="T72" s="19"/>
      <c r="U72" s="19"/>
      <c r="V72" s="19"/>
      <c r="W72" s="19"/>
      <c r="X72" s="11">
        <v>220</v>
      </c>
      <c r="Y72" s="11">
        <v>210</v>
      </c>
      <c r="Z72" s="19"/>
      <c r="AA72" s="19"/>
      <c r="AB72" s="19"/>
      <c r="AC72" s="19"/>
      <c r="AD72" s="20"/>
      <c r="AE72" s="9"/>
      <c r="AF72" s="45"/>
      <c r="AG72" s="9"/>
      <c r="AH72" s="9"/>
      <c r="AI72" s="20" t="str">
        <f>IF(Tabelle589711[[#This Row],[installierte Leistung MW]]&lt;&gt;"",Tabelle589711[[#This Row],[Durchschnittsauslastung]]*Tabelle589711[[#This Row],[installierte Leistung MW]],"")</f>
        <v/>
      </c>
      <c r="AJ72" s="19" t="str">
        <f>IF(Tabelle589711[[#This Row],[installierte Leistung MW]]&lt;&gt;"",Tabelle589711[[#This Row],[installierte Leistung MW]],"")</f>
        <v/>
      </c>
      <c r="AK72" s="19"/>
      <c r="AL72" s="19"/>
      <c r="AM72" s="19"/>
      <c r="AN72" s="19"/>
      <c r="AO72" s="19">
        <f t="shared" si="5"/>
        <v>1.6666666666666666E-4</v>
      </c>
      <c r="AP72" s="19"/>
      <c r="AQ72" s="31">
        <f t="shared" si="4"/>
        <v>1.6666666666666668E-3</v>
      </c>
      <c r="AR72" s="31"/>
      <c r="AS72" s="31"/>
      <c r="BH72" s="19"/>
      <c r="BI72" s="19"/>
      <c r="BJ72" s="19"/>
      <c r="BK72" s="8"/>
      <c r="BL72" s="8"/>
      <c r="BM72" s="8"/>
      <c r="BN72" s="8"/>
      <c r="BO72" s="8"/>
      <c r="BV72" s="13">
        <v>99</v>
      </c>
      <c r="BW72" s="1">
        <v>99</v>
      </c>
      <c r="BX72" s="13"/>
      <c r="BY72" s="13"/>
      <c r="BZ72" s="13"/>
      <c r="CA72" s="13"/>
      <c r="CB72" s="13"/>
      <c r="CD72" s="13"/>
      <c r="CE72" s="13"/>
    </row>
    <row r="73" spans="1:83" x14ac:dyDescent="0.2">
      <c r="A73" s="1" t="s">
        <v>300</v>
      </c>
      <c r="B73" s="1" t="s">
        <v>130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9"/>
      <c r="O73" s="11">
        <v>220</v>
      </c>
      <c r="P73" s="11">
        <v>200</v>
      </c>
      <c r="Q73" s="19"/>
      <c r="R73" s="19"/>
      <c r="S73" s="19"/>
      <c r="T73" s="19"/>
      <c r="U73" s="19"/>
      <c r="V73" s="19"/>
      <c r="W73" s="19"/>
      <c r="X73" s="11">
        <v>220</v>
      </c>
      <c r="Y73" s="11">
        <v>200</v>
      </c>
      <c r="Z73" s="19"/>
      <c r="AA73" s="19"/>
      <c r="AB73" s="19"/>
      <c r="AC73" s="19"/>
      <c r="AD73" s="20"/>
      <c r="AE73" s="9"/>
      <c r="AF73" s="45"/>
      <c r="AG73" s="9"/>
      <c r="AH73" s="9"/>
      <c r="AI73" s="20" t="str">
        <f>IF(Tabelle589711[[#This Row],[installierte Leistung MW]]&lt;&gt;"",Tabelle589711[[#This Row],[Durchschnittsauslastung]]*Tabelle589711[[#This Row],[installierte Leistung MW]],"")</f>
        <v/>
      </c>
      <c r="AJ73" s="19" t="str">
        <f>IF(Tabelle589711[[#This Row],[installierte Leistung MW]]&lt;&gt;"",Tabelle589711[[#This Row],[installierte Leistung MW]],"")</f>
        <v/>
      </c>
      <c r="AK73" s="19"/>
      <c r="AL73" s="19"/>
      <c r="AM73" s="19"/>
      <c r="AN73" s="19"/>
      <c r="AO73" s="19">
        <f t="shared" si="5"/>
        <v>1.6666666666666666E-4</v>
      </c>
      <c r="AP73" s="19"/>
      <c r="AQ73" s="31">
        <f t="shared" si="4"/>
        <v>1.6666666666666668E-3</v>
      </c>
      <c r="AR73" s="31"/>
      <c r="AS73" s="31"/>
      <c r="BH73" s="19"/>
      <c r="BI73" s="19"/>
      <c r="BJ73" s="19"/>
      <c r="BK73" s="8"/>
      <c r="BL73" s="8"/>
      <c r="BM73" s="8"/>
      <c r="BN73" s="8"/>
      <c r="BO73" s="8"/>
      <c r="BV73" s="13">
        <v>99</v>
      </c>
      <c r="BW73" s="1">
        <v>99</v>
      </c>
      <c r="BX73" s="13"/>
      <c r="BY73" s="13"/>
      <c r="BZ73" s="13"/>
      <c r="CA73" s="13"/>
      <c r="CB73" s="13"/>
      <c r="CD73" s="13"/>
      <c r="CE73" s="13"/>
    </row>
    <row r="74" spans="1:83" x14ac:dyDescent="0.2">
      <c r="A74" s="1" t="s">
        <v>301</v>
      </c>
      <c r="B74" s="1" t="s">
        <v>130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9"/>
      <c r="O74" s="11">
        <v>520</v>
      </c>
      <c r="P74" s="11">
        <v>900</v>
      </c>
      <c r="Q74" s="19"/>
      <c r="R74" s="19"/>
      <c r="S74" s="19"/>
      <c r="T74" s="19"/>
      <c r="U74" s="19"/>
      <c r="V74" s="19"/>
      <c r="W74" s="19"/>
      <c r="X74" s="11">
        <v>520</v>
      </c>
      <c r="Y74" s="11">
        <v>900</v>
      </c>
      <c r="Z74" s="19"/>
      <c r="AA74" s="19"/>
      <c r="AB74" s="19"/>
      <c r="AC74" s="19"/>
      <c r="AD74" s="20"/>
      <c r="AE74" s="9"/>
      <c r="AF74" s="45"/>
      <c r="AG74" s="9"/>
      <c r="AH74" s="9"/>
      <c r="AI74" s="20" t="str">
        <f>IF(Tabelle589711[[#This Row],[installierte Leistung MW]]&lt;&gt;"",Tabelle589711[[#This Row],[Durchschnittsauslastung]]*Tabelle589711[[#This Row],[installierte Leistung MW]],"")</f>
        <v/>
      </c>
      <c r="AJ74" s="19" t="str">
        <f>IF(Tabelle589711[[#This Row],[installierte Leistung MW]]&lt;&gt;"",Tabelle589711[[#This Row],[installierte Leistung MW]],"")</f>
        <v/>
      </c>
      <c r="AK74" s="19"/>
      <c r="AL74" s="19"/>
      <c r="AM74" s="19"/>
      <c r="AN74" s="19"/>
      <c r="AO74" s="19">
        <f t="shared" si="5"/>
        <v>1.6666666666666666E-4</v>
      </c>
      <c r="AP74" s="19"/>
      <c r="AQ74" s="31">
        <f t="shared" si="4"/>
        <v>1.6666666666666668E-3</v>
      </c>
      <c r="AR74" s="31"/>
      <c r="AS74" s="31"/>
      <c r="BH74" s="19"/>
      <c r="BI74" s="19"/>
      <c r="BJ74" s="19"/>
      <c r="BK74" s="8"/>
      <c r="BL74" s="8"/>
      <c r="BM74" s="8"/>
      <c r="BN74" s="8"/>
      <c r="BO74" s="8"/>
      <c r="BV74" s="13">
        <v>99</v>
      </c>
      <c r="BW74" s="1">
        <v>99</v>
      </c>
      <c r="BX74" s="13"/>
      <c r="BY74" s="13"/>
      <c r="BZ74" s="13"/>
      <c r="CA74" s="13"/>
      <c r="CB74" s="13"/>
      <c r="CD74" s="13"/>
      <c r="CE74" s="13"/>
    </row>
    <row r="75" spans="1:83" x14ac:dyDescent="0.2">
      <c r="A75" s="1" t="s">
        <v>301</v>
      </c>
      <c r="B75" s="1" t="s">
        <v>130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9"/>
      <c r="O75" s="11">
        <v>600</v>
      </c>
      <c r="P75" s="11">
        <v>1120</v>
      </c>
      <c r="Q75" s="19"/>
      <c r="R75" s="19"/>
      <c r="S75" s="19"/>
      <c r="T75" s="19"/>
      <c r="U75" s="19"/>
      <c r="V75" s="19"/>
      <c r="W75" s="19"/>
      <c r="X75" s="11">
        <v>600</v>
      </c>
      <c r="Y75" s="11">
        <v>1120</v>
      </c>
      <c r="Z75" s="19"/>
      <c r="AA75" s="19"/>
      <c r="AB75" s="19"/>
      <c r="AC75" s="19"/>
      <c r="AD75" s="20"/>
      <c r="AE75" s="9"/>
      <c r="AF75" s="45"/>
      <c r="AG75" s="9"/>
      <c r="AH75" s="9"/>
      <c r="AI75" s="20" t="str">
        <f>IF(Tabelle589711[[#This Row],[installierte Leistung MW]]&lt;&gt;"",Tabelle589711[[#This Row],[Durchschnittsauslastung]]*Tabelle589711[[#This Row],[installierte Leistung MW]],"")</f>
        <v/>
      </c>
      <c r="AJ75" s="19" t="str">
        <f>IF(Tabelle589711[[#This Row],[installierte Leistung MW]]&lt;&gt;"",Tabelle589711[[#This Row],[installierte Leistung MW]],"")</f>
        <v/>
      </c>
      <c r="AK75" s="19"/>
      <c r="AL75" s="19"/>
      <c r="AM75" s="19"/>
      <c r="AN75" s="19"/>
      <c r="AO75" s="19">
        <f t="shared" si="5"/>
        <v>1.6666666666666666E-4</v>
      </c>
      <c r="AP75" s="19"/>
      <c r="AQ75" s="31">
        <f t="shared" si="4"/>
        <v>1.6666666666666668E-3</v>
      </c>
      <c r="AR75" s="31"/>
      <c r="AS75" s="31"/>
      <c r="BH75" s="19"/>
      <c r="BI75" s="19"/>
      <c r="BJ75" s="19"/>
      <c r="BK75" s="8"/>
      <c r="BL75" s="8"/>
      <c r="BM75" s="8"/>
      <c r="BN75" s="8"/>
      <c r="BO75" s="8"/>
      <c r="BV75" s="13">
        <v>99</v>
      </c>
      <c r="BW75" s="1">
        <v>99</v>
      </c>
      <c r="BX75" s="13"/>
      <c r="BY75" s="13"/>
      <c r="BZ75" s="13"/>
      <c r="CA75" s="13"/>
      <c r="CB75" s="13"/>
      <c r="CD75" s="13"/>
      <c r="CE75" s="13"/>
    </row>
    <row r="76" spans="1:83" x14ac:dyDescent="0.2">
      <c r="A76" s="1" t="s">
        <v>301</v>
      </c>
      <c r="B76" s="1" t="s">
        <v>130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9"/>
      <c r="O76" s="11">
        <v>570</v>
      </c>
      <c r="P76" s="11">
        <v>1030</v>
      </c>
      <c r="Q76" s="19"/>
      <c r="R76" s="19"/>
      <c r="S76" s="19"/>
      <c r="T76" s="19"/>
      <c r="U76" s="19"/>
      <c r="V76" s="19"/>
      <c r="W76" s="19"/>
      <c r="X76" s="11">
        <v>570</v>
      </c>
      <c r="Y76" s="11">
        <v>1030</v>
      </c>
      <c r="Z76" s="19"/>
      <c r="AA76" s="19"/>
      <c r="AB76" s="19"/>
      <c r="AC76" s="19"/>
      <c r="AD76" s="20"/>
      <c r="AE76" s="9"/>
      <c r="AF76" s="45"/>
      <c r="AG76" s="9"/>
      <c r="AH76" s="9"/>
      <c r="AI76" s="20" t="str">
        <f>IF(Tabelle589711[[#This Row],[installierte Leistung MW]]&lt;&gt;"",Tabelle589711[[#This Row],[Durchschnittsauslastung]]*Tabelle589711[[#This Row],[installierte Leistung MW]],"")</f>
        <v/>
      </c>
      <c r="AJ76" s="19" t="str">
        <f>IF(Tabelle589711[[#This Row],[installierte Leistung MW]]&lt;&gt;"",Tabelle589711[[#This Row],[installierte Leistung MW]],"")</f>
        <v/>
      </c>
      <c r="AK76" s="19"/>
      <c r="AL76" s="19"/>
      <c r="AM76" s="19"/>
      <c r="AN76" s="19"/>
      <c r="AO76" s="19">
        <f t="shared" si="5"/>
        <v>1.6666666666666666E-4</v>
      </c>
      <c r="AP76" s="19"/>
      <c r="AQ76" s="31">
        <f t="shared" si="4"/>
        <v>1.6666666666666668E-3</v>
      </c>
      <c r="AR76" s="31"/>
      <c r="AS76" s="31"/>
      <c r="BH76" s="19"/>
      <c r="BI76" s="19"/>
      <c r="BJ76" s="19"/>
      <c r="BK76" s="8"/>
      <c r="BL76" s="8"/>
      <c r="BM76" s="8"/>
      <c r="BN76" s="8"/>
      <c r="BO76" s="8"/>
      <c r="BV76" s="13">
        <v>99</v>
      </c>
      <c r="BW76" s="1">
        <v>99</v>
      </c>
      <c r="BX76" s="13"/>
      <c r="BY76" s="13"/>
      <c r="BZ76" s="13"/>
      <c r="CA76" s="13"/>
      <c r="CB76" s="13"/>
      <c r="CD76" s="13"/>
      <c r="CE76" s="13"/>
    </row>
    <row r="77" spans="1:83" x14ac:dyDescent="0.2">
      <c r="A77" s="1" t="s">
        <v>302</v>
      </c>
      <c r="B77" s="1" t="s">
        <v>130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9"/>
      <c r="O77" s="11">
        <v>300</v>
      </c>
      <c r="P77" s="11">
        <v>730</v>
      </c>
      <c r="Q77" s="19"/>
      <c r="R77" s="19"/>
      <c r="S77" s="19"/>
      <c r="T77" s="19"/>
      <c r="U77" s="19"/>
      <c r="V77" s="19"/>
      <c r="W77" s="19"/>
      <c r="X77" s="11">
        <v>300</v>
      </c>
      <c r="Y77" s="11">
        <v>730</v>
      </c>
      <c r="Z77" s="19"/>
      <c r="AA77" s="19"/>
      <c r="AB77" s="19"/>
      <c r="AC77" s="19"/>
      <c r="AD77" s="20"/>
      <c r="AE77" s="9"/>
      <c r="AF77" s="45"/>
      <c r="AG77" s="9"/>
      <c r="AH77" s="9"/>
      <c r="AI77" s="20" t="str">
        <f>IF(Tabelle589711[[#This Row],[installierte Leistung MW]]&lt;&gt;"",Tabelle589711[[#This Row],[Durchschnittsauslastung]]*Tabelle589711[[#This Row],[installierte Leistung MW]],"")</f>
        <v/>
      </c>
      <c r="AJ77" s="19" t="str">
        <f>IF(Tabelle589711[[#This Row],[installierte Leistung MW]]&lt;&gt;"",Tabelle589711[[#This Row],[installierte Leistung MW]],"")</f>
        <v/>
      </c>
      <c r="AK77" s="19"/>
      <c r="AL77" s="19"/>
      <c r="AM77" s="19"/>
      <c r="AN77" s="19"/>
      <c r="AO77" s="19">
        <f t="shared" si="5"/>
        <v>1.6666666666666666E-4</v>
      </c>
      <c r="AP77" s="19"/>
      <c r="AQ77" s="31">
        <f t="shared" si="4"/>
        <v>1.6666666666666668E-3</v>
      </c>
      <c r="AR77" s="31"/>
      <c r="AS77" s="31"/>
      <c r="BH77" s="19"/>
      <c r="BI77" s="19"/>
      <c r="BJ77" s="19"/>
      <c r="BK77" s="8"/>
      <c r="BL77" s="8"/>
      <c r="BM77" s="8"/>
      <c r="BN77" s="8"/>
      <c r="BO77" s="8"/>
      <c r="BV77" s="13">
        <v>99</v>
      </c>
      <c r="BW77" s="1">
        <v>99</v>
      </c>
      <c r="BX77" s="13"/>
      <c r="BY77" s="13"/>
      <c r="BZ77" s="13"/>
      <c r="CA77" s="13"/>
      <c r="CB77" s="13"/>
      <c r="CD77" s="13"/>
      <c r="CE77" s="13"/>
    </row>
    <row r="78" spans="1:83" x14ac:dyDescent="0.2">
      <c r="A78" s="1" t="s">
        <v>302</v>
      </c>
      <c r="B78" s="1" t="s">
        <v>130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9"/>
      <c r="O78" s="11">
        <v>410</v>
      </c>
      <c r="P78" s="11">
        <v>1180</v>
      </c>
      <c r="Q78" s="19"/>
      <c r="R78" s="19"/>
      <c r="S78" s="19"/>
      <c r="T78" s="19"/>
      <c r="U78" s="19"/>
      <c r="V78" s="19"/>
      <c r="W78" s="19"/>
      <c r="X78" s="11">
        <v>410</v>
      </c>
      <c r="Y78" s="11">
        <v>1180</v>
      </c>
      <c r="Z78" s="19"/>
      <c r="AA78" s="19"/>
      <c r="AB78" s="19"/>
      <c r="AC78" s="19"/>
      <c r="AD78" s="20"/>
      <c r="AE78" s="9"/>
      <c r="AF78" s="45"/>
      <c r="AG78" s="9"/>
      <c r="AH78" s="9"/>
      <c r="AI78" s="20" t="str">
        <f>IF(Tabelle589711[[#This Row],[installierte Leistung MW]]&lt;&gt;"",Tabelle589711[[#This Row],[Durchschnittsauslastung]]*Tabelle589711[[#This Row],[installierte Leistung MW]],"")</f>
        <v/>
      </c>
      <c r="AJ78" s="19" t="str">
        <f>IF(Tabelle589711[[#This Row],[installierte Leistung MW]]&lt;&gt;"",Tabelle589711[[#This Row],[installierte Leistung MW]],"")</f>
        <v/>
      </c>
      <c r="AK78" s="19"/>
      <c r="AL78" s="19"/>
      <c r="AM78" s="19"/>
      <c r="AN78" s="19"/>
      <c r="AO78" s="19">
        <f t="shared" si="5"/>
        <v>1.6666666666666666E-4</v>
      </c>
      <c r="AP78" s="19"/>
      <c r="AQ78" s="31">
        <f t="shared" si="4"/>
        <v>1.6666666666666668E-3</v>
      </c>
      <c r="AR78" s="31"/>
      <c r="AS78" s="31"/>
      <c r="BH78" s="19"/>
      <c r="BI78" s="19"/>
      <c r="BJ78" s="19"/>
      <c r="BK78" s="8"/>
      <c r="BL78" s="8"/>
      <c r="BM78" s="8"/>
      <c r="BN78" s="8"/>
      <c r="BO78" s="8"/>
      <c r="BV78" s="13">
        <v>99</v>
      </c>
      <c r="BW78" s="1">
        <v>99</v>
      </c>
      <c r="BX78" s="13"/>
      <c r="BY78" s="13"/>
      <c r="BZ78" s="13"/>
      <c r="CA78" s="13"/>
      <c r="CB78" s="13"/>
      <c r="CD78" s="13"/>
      <c r="CE78" s="13"/>
    </row>
    <row r="79" spans="1:83" x14ac:dyDescent="0.2">
      <c r="A79" s="1" t="s">
        <v>302</v>
      </c>
      <c r="B79" s="1" t="s">
        <v>130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9"/>
      <c r="O79" s="11">
        <v>400</v>
      </c>
      <c r="P79" s="11">
        <v>1100</v>
      </c>
      <c r="Q79" s="19"/>
      <c r="R79" s="19"/>
      <c r="S79" s="19"/>
      <c r="T79" s="19"/>
      <c r="U79" s="19"/>
      <c r="V79" s="19"/>
      <c r="W79" s="19"/>
      <c r="X79" s="11">
        <v>400</v>
      </c>
      <c r="Y79" s="11">
        <v>1100</v>
      </c>
      <c r="Z79" s="19"/>
      <c r="AA79" s="19"/>
      <c r="AB79" s="19"/>
      <c r="AC79" s="19"/>
      <c r="AD79" s="20"/>
      <c r="AE79" s="9"/>
      <c r="AF79" s="45"/>
      <c r="AG79" s="9"/>
      <c r="AH79" s="9"/>
      <c r="AI79" s="20" t="str">
        <f>IF(Tabelle589711[[#This Row],[installierte Leistung MW]]&lt;&gt;"",Tabelle589711[[#This Row],[Durchschnittsauslastung]]*Tabelle589711[[#This Row],[installierte Leistung MW]],"")</f>
        <v/>
      </c>
      <c r="AJ79" s="19" t="str">
        <f>IF(Tabelle589711[[#This Row],[installierte Leistung MW]]&lt;&gt;"",Tabelle589711[[#This Row],[installierte Leistung MW]],"")</f>
        <v/>
      </c>
      <c r="AK79" s="19"/>
      <c r="AL79" s="19"/>
      <c r="AM79" s="19"/>
      <c r="AN79" s="19"/>
      <c r="AO79" s="19">
        <f t="shared" si="5"/>
        <v>1.6666666666666666E-4</v>
      </c>
      <c r="AP79" s="19"/>
      <c r="AQ79" s="31">
        <f t="shared" si="4"/>
        <v>1.6666666666666668E-3</v>
      </c>
      <c r="AR79" s="31"/>
      <c r="AS79" s="31"/>
      <c r="BH79" s="19"/>
      <c r="BI79" s="19"/>
      <c r="BJ79" s="19"/>
      <c r="BK79" s="8"/>
      <c r="BL79" s="8"/>
      <c r="BM79" s="8"/>
      <c r="BN79" s="8"/>
      <c r="BO79" s="8"/>
      <c r="BV79" s="13">
        <v>99</v>
      </c>
      <c r="BW79" s="1">
        <v>99</v>
      </c>
      <c r="BX79" s="13"/>
      <c r="BY79" s="13"/>
      <c r="BZ79" s="13"/>
      <c r="CA79" s="13"/>
      <c r="CB79" s="13"/>
      <c r="CD79" s="13"/>
      <c r="CE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CH26"/>
  <sheetViews>
    <sheetView workbookViewId="0">
      <selection activeCell="B25" sqref="B25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140625" bestFit="1" customWidth="1"/>
    <col min="9" max="9" width="17.42578125" bestFit="1" customWidth="1"/>
    <col min="10" max="10" width="28.7109375" bestFit="1" customWidth="1"/>
    <col min="11" max="11" width="24.42578125" bestFit="1" customWidth="1"/>
    <col min="12" max="12" width="32.28515625" bestFit="1" customWidth="1"/>
    <col min="13" max="13" width="25" bestFit="1" customWidth="1"/>
    <col min="14" max="14" width="27" bestFit="1" customWidth="1"/>
    <col min="15" max="15" width="29.140625" bestFit="1" customWidth="1"/>
    <col min="16" max="16" width="27.28515625" bestFit="1" customWidth="1"/>
    <col min="17" max="18" width="24.7109375" bestFit="1" customWidth="1"/>
    <col min="19" max="19" width="32.5703125" bestFit="1" customWidth="1"/>
    <col min="20" max="20" width="25.28515625" bestFit="1" customWidth="1"/>
    <col min="21" max="21" width="21.5703125" bestFit="1" customWidth="1"/>
    <col min="22" max="22" width="20.140625" bestFit="1" customWidth="1"/>
    <col min="23" max="23" width="24.42578125" bestFit="1" customWidth="1"/>
    <col min="24" max="24" width="43.42578125" bestFit="1" customWidth="1"/>
    <col min="25" max="25" width="28.85546875" bestFit="1" customWidth="1"/>
    <col min="26" max="26" width="25.28515625" bestFit="1" customWidth="1"/>
    <col min="27" max="27" width="31.5703125" bestFit="1" customWidth="1"/>
    <col min="28" max="28" width="22.42578125" bestFit="1" customWidth="1"/>
    <col min="29" max="29" width="21" bestFit="1" customWidth="1"/>
    <col min="30" max="30" width="25.42578125" bestFit="1" customWidth="1"/>
    <col min="31" max="31" width="22.7109375" bestFit="1" customWidth="1"/>
    <col min="32" max="32" width="25.5703125" bestFit="1" customWidth="1"/>
    <col min="33" max="33" width="26.28515625" bestFit="1" customWidth="1"/>
    <col min="34" max="34" width="21.5703125" bestFit="1" customWidth="1"/>
    <col min="35" max="35" width="25.42578125" bestFit="1" customWidth="1"/>
    <col min="36" max="36" width="26.5703125" bestFit="1" customWidth="1"/>
    <col min="37" max="37" width="21.85546875" bestFit="1" customWidth="1"/>
    <col min="38" max="38" width="26.42578125" bestFit="1" customWidth="1"/>
    <col min="39" max="39" width="26.42578125" customWidth="1"/>
    <col min="40" max="40" width="34" bestFit="1" customWidth="1"/>
    <col min="41" max="41" width="21.7109375" bestFit="1" customWidth="1"/>
    <col min="42" max="42" width="24.85546875" bestFit="1" customWidth="1"/>
    <col min="43" max="43" width="19.85546875" bestFit="1" customWidth="1"/>
    <col min="44" max="44" width="33.140625" bestFit="1" customWidth="1"/>
    <col min="45" max="45" width="30.85546875" bestFit="1" customWidth="1"/>
    <col min="46" max="46" width="37.42578125" bestFit="1" customWidth="1"/>
    <col min="47" max="47" width="38" bestFit="1" customWidth="1"/>
    <col min="48" max="48" width="32.7109375" bestFit="1" customWidth="1"/>
    <col min="49" max="49" width="30.140625" bestFit="1" customWidth="1"/>
    <col min="50" max="50" width="30.7109375" bestFit="1" customWidth="1"/>
    <col min="51" max="51" width="29.5703125" bestFit="1" customWidth="1"/>
    <col min="52" max="52" width="30.28515625" bestFit="1" customWidth="1"/>
    <col min="53" max="53" width="30.85546875" bestFit="1" customWidth="1"/>
    <col min="54" max="54" width="25.5703125" bestFit="1" customWidth="1"/>
    <col min="55" max="55" width="47.5703125" bestFit="1" customWidth="1"/>
    <col min="56" max="56" width="31.85546875" bestFit="1" customWidth="1"/>
    <col min="57" max="57" width="16" bestFit="1" customWidth="1"/>
    <col min="58" max="58" width="17.5703125" bestFit="1" customWidth="1"/>
    <col min="59" max="59" width="29.5703125" bestFit="1" customWidth="1"/>
    <col min="60" max="60" width="24.42578125" bestFit="1" customWidth="1"/>
    <col min="61" max="61" width="23.28515625" bestFit="1" customWidth="1"/>
    <col min="62" max="62" width="28" bestFit="1" customWidth="1"/>
    <col min="63" max="63" width="30.7109375" bestFit="1" customWidth="1"/>
    <col min="64" max="64" width="28.140625" bestFit="1" customWidth="1"/>
    <col min="65" max="65" width="35" bestFit="1" customWidth="1"/>
    <col min="66" max="66" width="26.42578125" bestFit="1" customWidth="1"/>
    <col min="67" max="67" width="26.7109375" bestFit="1" customWidth="1"/>
    <col min="68" max="68" width="27.7109375" bestFit="1" customWidth="1"/>
    <col min="69" max="69" width="30.85546875" bestFit="1" customWidth="1"/>
    <col min="70" max="70" width="35.5703125" bestFit="1" customWidth="1"/>
    <col min="71" max="71" width="37.5703125" bestFit="1" customWidth="1"/>
    <col min="72" max="72" width="28.7109375" bestFit="1" customWidth="1"/>
    <col min="73" max="73" width="31.5703125" bestFit="1" customWidth="1"/>
    <col min="74" max="74" width="30.140625" bestFit="1" customWidth="1"/>
    <col min="75" max="75" width="24.5703125" bestFit="1" customWidth="1"/>
    <col min="76" max="76" width="29.140625" bestFit="1" customWidth="1"/>
    <col min="77" max="77" width="32.140625" bestFit="1" customWidth="1"/>
    <col min="78" max="78" width="29" bestFit="1" customWidth="1"/>
    <col min="79" max="79" width="32.7109375" bestFit="1" customWidth="1"/>
    <col min="80" max="80" width="18.7109375" bestFit="1" customWidth="1"/>
    <col min="81" max="82" width="23.7109375" bestFit="1" customWidth="1"/>
    <col min="83" max="83" width="40" bestFit="1" customWidth="1"/>
    <col min="84" max="84" width="30.7109375" bestFit="1" customWidth="1"/>
    <col min="85" max="85" width="26.28515625" bestFit="1" customWidth="1"/>
    <col min="86" max="86" width="20.7109375" bestFit="1" customWidth="1"/>
  </cols>
  <sheetData>
    <row r="1" spans="1:86" s="1" customFormat="1" ht="12.75" x14ac:dyDescent="0.2">
      <c r="A1" s="2" t="s">
        <v>0</v>
      </c>
      <c r="B1" s="2" t="s">
        <v>131</v>
      </c>
      <c r="C1" s="2" t="s">
        <v>896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926</v>
      </c>
      <c r="I1" s="2" t="s">
        <v>897</v>
      </c>
      <c r="J1" s="2" t="s">
        <v>844</v>
      </c>
      <c r="K1" s="2" t="s">
        <v>49</v>
      </c>
      <c r="L1" s="2" t="s">
        <v>149</v>
      </c>
      <c r="M1" s="2" t="s">
        <v>50</v>
      </c>
      <c r="N1" s="2" t="s">
        <v>291</v>
      </c>
      <c r="O1" s="2" t="s">
        <v>292</v>
      </c>
      <c r="P1" s="2" t="s">
        <v>293</v>
      </c>
      <c r="Q1" s="2" t="s">
        <v>919</v>
      </c>
      <c r="R1" s="2" t="s">
        <v>156</v>
      </c>
      <c r="S1" s="2" t="s">
        <v>158</v>
      </c>
      <c r="T1" s="2" t="s">
        <v>157</v>
      </c>
      <c r="U1" s="2" t="s">
        <v>56</v>
      </c>
      <c r="V1" s="2" t="s">
        <v>55</v>
      </c>
      <c r="W1" s="2" t="s">
        <v>87</v>
      </c>
      <c r="X1" s="2" t="s">
        <v>332</v>
      </c>
      <c r="Y1" s="2" t="s">
        <v>865</v>
      </c>
      <c r="Z1" s="2" t="s">
        <v>237</v>
      </c>
      <c r="AA1" s="2" t="s">
        <v>116</v>
      </c>
      <c r="AB1" s="2" t="s">
        <v>57</v>
      </c>
      <c r="AC1" s="2" t="s">
        <v>123</v>
      </c>
      <c r="AD1" s="2" t="s">
        <v>58</v>
      </c>
      <c r="AE1" s="2" t="s">
        <v>9</v>
      </c>
      <c r="AF1" s="2" t="s">
        <v>431</v>
      </c>
      <c r="AG1" s="2" t="s">
        <v>227</v>
      </c>
      <c r="AH1" s="2" t="s">
        <v>159</v>
      </c>
      <c r="AI1" s="2" t="s">
        <v>229</v>
      </c>
      <c r="AJ1" s="2" t="s">
        <v>230</v>
      </c>
      <c r="AK1" s="2" t="s">
        <v>160</v>
      </c>
      <c r="AL1" s="2" t="s">
        <v>216</v>
      </c>
      <c r="AM1" s="2" t="s">
        <v>944</v>
      </c>
      <c r="AN1" s="2" t="s">
        <v>943</v>
      </c>
      <c r="AO1" s="2" t="s">
        <v>3</v>
      </c>
      <c r="AP1" s="2" t="s">
        <v>10</v>
      </c>
      <c r="AQ1" s="2" t="s">
        <v>16</v>
      </c>
      <c r="AR1" s="2" t="s">
        <v>4</v>
      </c>
      <c r="AS1" s="2" t="s">
        <v>99</v>
      </c>
      <c r="AT1" s="2" t="s">
        <v>185</v>
      </c>
      <c r="AU1" s="2" t="s">
        <v>184</v>
      </c>
      <c r="AV1" s="2" t="s">
        <v>12</v>
      </c>
      <c r="AW1" s="2" t="s">
        <v>233</v>
      </c>
      <c r="AX1" s="2" t="s">
        <v>234</v>
      </c>
      <c r="AY1" s="2" t="s">
        <v>232</v>
      </c>
      <c r="AZ1" s="2" t="s">
        <v>334</v>
      </c>
      <c r="BA1" s="2" t="s">
        <v>459</v>
      </c>
      <c r="BB1" s="2" t="s">
        <v>335</v>
      </c>
      <c r="BC1" s="2" t="s">
        <v>147</v>
      </c>
      <c r="BD1" s="2" t="s">
        <v>921</v>
      </c>
      <c r="BE1" s="2" t="s">
        <v>22</v>
      </c>
      <c r="BF1" s="2" t="s">
        <v>917</v>
      </c>
      <c r="BG1" s="2" t="s">
        <v>164</v>
      </c>
      <c r="BH1" s="2" t="s">
        <v>165</v>
      </c>
      <c r="BI1" s="2" t="s">
        <v>898</v>
      </c>
      <c r="BJ1" s="2" t="s">
        <v>914</v>
      </c>
      <c r="BK1" s="2" t="s">
        <v>915</v>
      </c>
      <c r="BL1" s="2" t="s">
        <v>880</v>
      </c>
      <c r="BM1" s="2" t="s">
        <v>899</v>
      </c>
      <c r="BN1" s="2" t="s">
        <v>1</v>
      </c>
      <c r="BO1" s="2" t="s">
        <v>2</v>
      </c>
      <c r="BP1" s="2" t="s">
        <v>59</v>
      </c>
      <c r="BQ1" s="2" t="s">
        <v>1161</v>
      </c>
      <c r="BR1" s="2" t="s">
        <v>238</v>
      </c>
      <c r="BS1" s="2" t="s">
        <v>117</v>
      </c>
      <c r="BT1" s="2" t="s">
        <v>60</v>
      </c>
      <c r="BU1" s="2" t="s">
        <v>61</v>
      </c>
      <c r="BV1" s="2" t="s">
        <v>98</v>
      </c>
      <c r="BW1" s="2" t="s">
        <v>5</v>
      </c>
      <c r="BX1" s="2" t="s">
        <v>6</v>
      </c>
      <c r="BY1" s="2" t="s">
        <v>17</v>
      </c>
      <c r="BZ1" s="2" t="s">
        <v>18</v>
      </c>
      <c r="CA1" s="2" t="s">
        <v>7</v>
      </c>
      <c r="CB1" s="2" t="s">
        <v>19</v>
      </c>
      <c r="CC1" s="2" t="s">
        <v>20</v>
      </c>
      <c r="CD1" s="2" t="s">
        <v>21</v>
      </c>
      <c r="CE1" s="2" t="s">
        <v>148</v>
      </c>
      <c r="CF1" s="2" t="s">
        <v>923</v>
      </c>
      <c r="CG1" s="2" t="s">
        <v>23</v>
      </c>
      <c r="CH1" s="2" t="s">
        <v>51</v>
      </c>
    </row>
    <row r="2" spans="1:86" s="1" customFormat="1" ht="12.75" x14ac:dyDescent="0.2">
      <c r="A2" s="1" t="s">
        <v>132</v>
      </c>
      <c r="B2" s="1" t="s">
        <v>142</v>
      </c>
      <c r="D2" s="33">
        <v>2017</v>
      </c>
      <c r="E2" s="1">
        <v>1</v>
      </c>
      <c r="F2" s="1">
        <v>0</v>
      </c>
      <c r="G2" s="1">
        <v>0</v>
      </c>
      <c r="H2" s="33"/>
      <c r="I2" s="33"/>
      <c r="J2" s="33">
        <v>6</v>
      </c>
      <c r="K2" s="19"/>
      <c r="L2" s="19"/>
      <c r="M2" s="19"/>
      <c r="N2" s="34"/>
      <c r="O2" s="34"/>
      <c r="P2" s="34"/>
      <c r="Q2" s="34"/>
      <c r="R2" s="34"/>
      <c r="S2" s="34"/>
      <c r="T2" s="34"/>
      <c r="U2" s="34"/>
      <c r="V2" s="67"/>
      <c r="W2" s="36">
        <v>0.94</v>
      </c>
      <c r="X2" s="36"/>
      <c r="Y2" s="77"/>
      <c r="Z2" s="36"/>
      <c r="AA2" s="35"/>
      <c r="AB2" s="34"/>
      <c r="AC2" s="36"/>
      <c r="AD2" s="34"/>
      <c r="AE2" s="33"/>
      <c r="AF2" s="33"/>
      <c r="AG2" s="33"/>
      <c r="AH2" s="33"/>
      <c r="AI2" s="33"/>
      <c r="AJ2" s="33"/>
      <c r="AK2" s="33"/>
      <c r="AL2" s="33"/>
      <c r="AM2" s="33"/>
      <c r="AN2" s="33">
        <v>0.1</v>
      </c>
      <c r="AO2" s="33"/>
      <c r="AP2" s="33"/>
      <c r="AQ2" s="33"/>
      <c r="AR2" s="33"/>
      <c r="AS2" s="33"/>
      <c r="AT2" s="19"/>
      <c r="AU2" s="19"/>
      <c r="AV2" s="34"/>
      <c r="AW2" s="37"/>
      <c r="AX2" s="37"/>
      <c r="AY2" s="37"/>
      <c r="AZ2" s="37"/>
      <c r="BA2" s="37"/>
      <c r="BB2" s="33"/>
      <c r="BC2" s="33"/>
      <c r="BD2" s="33"/>
      <c r="BE2" s="1" t="s">
        <v>945</v>
      </c>
      <c r="BG2" s="33"/>
      <c r="BH2" s="33"/>
      <c r="BI2" s="33"/>
      <c r="BJ2" s="33"/>
      <c r="BK2" s="33"/>
      <c r="BL2" s="33">
        <v>752</v>
      </c>
      <c r="BM2" s="33"/>
      <c r="BN2" s="38"/>
      <c r="BO2" s="33"/>
      <c r="BP2" s="33"/>
      <c r="BQ2" s="33">
        <v>752</v>
      </c>
      <c r="BR2" s="38"/>
      <c r="BS2" s="38"/>
      <c r="BT2" s="33"/>
      <c r="BU2" s="38"/>
      <c r="BV2" s="38"/>
      <c r="BW2" s="33"/>
      <c r="BX2" s="33">
        <v>752</v>
      </c>
      <c r="BY2" s="33"/>
      <c r="BZ2" s="33"/>
      <c r="CA2" s="33"/>
      <c r="CB2" s="33"/>
      <c r="CC2" s="33"/>
      <c r="CD2" s="33"/>
      <c r="CE2" s="33"/>
      <c r="CF2" s="33"/>
      <c r="CG2" s="33"/>
      <c r="CH2" s="33"/>
    </row>
    <row r="3" spans="1:86" x14ac:dyDescent="0.25">
      <c r="A3" s="1" t="s">
        <v>133</v>
      </c>
      <c r="B3" s="1" t="s">
        <v>142</v>
      </c>
      <c r="C3" s="1"/>
      <c r="D3" s="33">
        <v>2017</v>
      </c>
      <c r="E3" s="1">
        <v>1</v>
      </c>
      <c r="F3" s="1">
        <v>0</v>
      </c>
      <c r="G3" s="1">
        <v>0</v>
      </c>
      <c r="H3" s="1"/>
      <c r="I3" s="1"/>
      <c r="J3" s="68">
        <v>4.5</v>
      </c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67"/>
      <c r="W3" s="36">
        <v>0.94</v>
      </c>
      <c r="X3" s="9"/>
      <c r="Y3" s="49"/>
      <c r="Z3" s="67"/>
      <c r="AA3" s="20"/>
      <c r="AB3" s="19"/>
      <c r="AC3" s="9"/>
      <c r="AD3" s="19"/>
      <c r="AE3" s="68"/>
      <c r="AF3" s="68"/>
      <c r="AG3" s="68"/>
      <c r="AH3" s="1"/>
      <c r="AI3" s="1"/>
      <c r="AJ3" s="1"/>
      <c r="AK3" s="1"/>
      <c r="AL3" s="1"/>
      <c r="AM3" s="1"/>
      <c r="AN3" s="1">
        <f>10/60</f>
        <v>0.16666666666666666</v>
      </c>
      <c r="AO3" s="1"/>
      <c r="AP3" s="1"/>
      <c r="AQ3" s="1"/>
      <c r="AR3" s="68"/>
      <c r="AS3" s="1"/>
      <c r="AT3" s="19"/>
      <c r="AU3" s="19"/>
      <c r="AV3" s="19"/>
      <c r="AW3" s="8"/>
      <c r="AX3" s="8"/>
      <c r="AY3" s="8"/>
      <c r="AZ3" s="8"/>
      <c r="BA3" s="8"/>
      <c r="BB3" s="68"/>
      <c r="BC3" s="68"/>
      <c r="BD3" s="1"/>
      <c r="BE3" s="1" t="s">
        <v>945</v>
      </c>
      <c r="BF3" s="1"/>
      <c r="BG3" s="1"/>
      <c r="BH3" s="1"/>
      <c r="BI3" s="1"/>
      <c r="BJ3" s="1"/>
      <c r="BK3" s="1"/>
      <c r="BL3" s="33">
        <v>752</v>
      </c>
      <c r="BM3" s="1"/>
      <c r="BN3" s="13"/>
      <c r="BO3" s="1"/>
      <c r="BP3" s="13"/>
      <c r="BQ3" s="33">
        <v>752</v>
      </c>
      <c r="BR3" s="13"/>
      <c r="BS3" s="13"/>
      <c r="BT3" s="1"/>
      <c r="BU3" s="13"/>
      <c r="BV3" s="13"/>
      <c r="BW3" s="1"/>
      <c r="BX3" s="33">
        <v>752</v>
      </c>
      <c r="BY3" s="1"/>
      <c r="BZ3" s="1"/>
      <c r="CA3" s="1"/>
      <c r="CB3" s="1"/>
      <c r="CC3" s="1"/>
      <c r="CD3" s="1"/>
      <c r="CE3" s="1"/>
      <c r="CF3" s="1"/>
      <c r="CG3" s="1"/>
      <c r="CH3" s="1"/>
    </row>
    <row r="4" spans="1:86" x14ac:dyDescent="0.25">
      <c r="A4" s="1" t="s">
        <v>288</v>
      </c>
      <c r="B4" s="1" t="s">
        <v>142</v>
      </c>
      <c r="C4" s="1"/>
      <c r="D4" s="33">
        <v>2017</v>
      </c>
      <c r="E4" s="1">
        <v>1</v>
      </c>
      <c r="F4" s="1">
        <v>0</v>
      </c>
      <c r="G4" s="1">
        <v>0</v>
      </c>
      <c r="H4" s="1"/>
      <c r="I4" s="1"/>
      <c r="J4" s="68">
        <v>6</v>
      </c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67"/>
      <c r="W4" s="67">
        <v>0.93</v>
      </c>
      <c r="X4" s="9"/>
      <c r="Y4" s="49"/>
      <c r="Z4" s="67"/>
      <c r="AA4" s="20"/>
      <c r="AB4" s="19"/>
      <c r="AC4" s="9"/>
      <c r="AD4" s="19"/>
      <c r="AE4" s="68"/>
      <c r="AF4" s="68"/>
      <c r="AG4" s="68"/>
      <c r="AH4" s="1"/>
      <c r="AI4" s="1"/>
      <c r="AJ4" s="1"/>
      <c r="AK4" s="1"/>
      <c r="AL4" s="1"/>
      <c r="AM4" s="1"/>
      <c r="AN4" s="1">
        <f>6/60</f>
        <v>0.1</v>
      </c>
      <c r="AO4" s="1"/>
      <c r="AP4" s="1"/>
      <c r="AQ4" s="1"/>
      <c r="AR4" s="68"/>
      <c r="AS4" s="1"/>
      <c r="AT4" s="19"/>
      <c r="AU4" s="19"/>
      <c r="AV4" s="19"/>
      <c r="AW4" s="8"/>
      <c r="AX4" s="8"/>
      <c r="AY4" s="8"/>
      <c r="AZ4" s="8"/>
      <c r="BA4" s="8"/>
      <c r="BB4" s="68"/>
      <c r="BC4" s="68"/>
      <c r="BD4" s="1"/>
      <c r="BE4" s="1" t="s">
        <v>945</v>
      </c>
      <c r="BF4" s="1"/>
      <c r="BG4" s="1"/>
      <c r="BH4" s="1"/>
      <c r="BI4" s="1"/>
      <c r="BJ4" s="1"/>
      <c r="BK4" s="1"/>
      <c r="BL4" s="33">
        <v>752</v>
      </c>
      <c r="BM4" s="1"/>
      <c r="BN4" s="13"/>
      <c r="BO4" s="1"/>
      <c r="BP4" s="13"/>
      <c r="BQ4" s="33">
        <v>752</v>
      </c>
      <c r="BR4" s="13"/>
      <c r="BS4" s="13"/>
      <c r="BT4" s="1"/>
      <c r="BU4" s="13"/>
      <c r="BV4" s="13"/>
      <c r="BW4" s="1"/>
      <c r="BX4" s="33">
        <v>752</v>
      </c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x14ac:dyDescent="0.25">
      <c r="A5" s="1" t="s">
        <v>940</v>
      </c>
      <c r="B5" s="1" t="s">
        <v>142</v>
      </c>
      <c r="C5" s="1"/>
      <c r="D5" s="33">
        <v>2017</v>
      </c>
      <c r="E5" s="1">
        <v>1</v>
      </c>
      <c r="F5" s="1">
        <v>0</v>
      </c>
      <c r="G5" s="1">
        <v>0</v>
      </c>
      <c r="H5" s="1"/>
      <c r="I5" s="1"/>
      <c r="J5" s="68">
        <v>16.399999999999999</v>
      </c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67"/>
      <c r="W5" s="67">
        <v>0.9</v>
      </c>
      <c r="X5" s="9"/>
      <c r="Y5" s="49"/>
      <c r="Z5" s="67"/>
      <c r="AA5" s="20"/>
      <c r="AB5" s="19"/>
      <c r="AC5" s="9"/>
      <c r="AD5" s="19"/>
      <c r="AE5" s="68"/>
      <c r="AF5" s="68"/>
      <c r="AG5" s="68"/>
      <c r="AH5" s="1"/>
      <c r="AI5" s="1"/>
      <c r="AJ5" s="1"/>
      <c r="AK5" s="1"/>
      <c r="AL5" s="1"/>
      <c r="AM5" s="1">
        <f>1/60</f>
        <v>1.6666666666666666E-2</v>
      </c>
      <c r="AN5" s="1">
        <f>1/60</f>
        <v>1.6666666666666666E-2</v>
      </c>
      <c r="AO5" s="1"/>
      <c r="AP5" s="1"/>
      <c r="AQ5" s="1"/>
      <c r="AR5" s="68"/>
      <c r="AS5" s="1"/>
      <c r="AT5" s="19"/>
      <c r="AU5" s="19"/>
      <c r="AV5" s="19"/>
      <c r="AW5" s="8"/>
      <c r="AX5" s="8"/>
      <c r="AY5" s="8"/>
      <c r="AZ5" s="8"/>
      <c r="BA5" s="8"/>
      <c r="BB5" s="68"/>
      <c r="BC5" s="68"/>
      <c r="BD5" s="1"/>
      <c r="BE5" s="1"/>
      <c r="BF5" s="1"/>
      <c r="BG5" s="1"/>
      <c r="BH5" s="1"/>
      <c r="BI5" s="1"/>
      <c r="BJ5" s="1"/>
      <c r="BK5" s="1"/>
      <c r="BL5" s="33">
        <v>752</v>
      </c>
      <c r="BM5" s="1"/>
      <c r="BN5" s="13"/>
      <c r="BO5" s="1"/>
      <c r="BP5" s="13"/>
      <c r="BQ5" s="33">
        <v>752</v>
      </c>
      <c r="BR5" s="13"/>
      <c r="BS5" s="13"/>
      <c r="BT5" s="1"/>
      <c r="BU5" s="13"/>
      <c r="BV5" s="13"/>
      <c r="BW5" s="1"/>
      <c r="BX5" s="33">
        <v>752</v>
      </c>
      <c r="BY5" s="1"/>
      <c r="BZ5" s="1"/>
      <c r="CA5" s="1"/>
      <c r="CB5" s="1"/>
      <c r="CC5" s="1"/>
      <c r="CD5" s="1"/>
      <c r="CE5" s="1"/>
      <c r="CF5" s="1"/>
      <c r="CG5" s="1"/>
      <c r="CH5" s="1"/>
    </row>
    <row r="6" spans="1:86" x14ac:dyDescent="0.25">
      <c r="A6" s="1" t="s">
        <v>135</v>
      </c>
      <c r="B6" s="1" t="s">
        <v>142</v>
      </c>
      <c r="C6" s="1"/>
      <c r="D6" s="33">
        <v>2017</v>
      </c>
      <c r="E6" s="1">
        <v>1</v>
      </c>
      <c r="F6" s="1">
        <v>0</v>
      </c>
      <c r="G6" s="1">
        <v>0</v>
      </c>
      <c r="H6" s="1"/>
      <c r="I6" s="1"/>
      <c r="J6" s="68">
        <v>14.9</v>
      </c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67"/>
      <c r="W6" s="67">
        <v>0.97</v>
      </c>
      <c r="X6" s="9"/>
      <c r="Y6" s="49"/>
      <c r="Z6" s="67"/>
      <c r="AA6" s="20"/>
      <c r="AB6" s="19"/>
      <c r="AC6" s="9"/>
      <c r="AD6" s="19"/>
      <c r="AE6" s="68"/>
      <c r="AF6" s="68"/>
      <c r="AG6" s="68"/>
      <c r="AH6" s="1"/>
      <c r="AI6" s="1"/>
      <c r="AJ6" s="1"/>
      <c r="AK6" s="1"/>
      <c r="AL6" s="1"/>
      <c r="AM6" s="1">
        <v>0.5</v>
      </c>
      <c r="AN6" s="1">
        <v>0.5</v>
      </c>
      <c r="AO6" s="1"/>
      <c r="AP6" s="1"/>
      <c r="AQ6" s="1"/>
      <c r="AR6" s="68"/>
      <c r="AS6" s="1"/>
      <c r="AT6" s="19"/>
      <c r="AU6" s="19"/>
      <c r="AV6" s="19"/>
      <c r="AW6" s="8"/>
      <c r="AX6" s="8"/>
      <c r="AY6" s="8"/>
      <c r="AZ6" s="8"/>
      <c r="BA6" s="8"/>
      <c r="BB6" s="68"/>
      <c r="BC6" s="68"/>
      <c r="BD6" s="1"/>
      <c r="BE6" s="1"/>
      <c r="BF6" s="1"/>
      <c r="BG6" s="1"/>
      <c r="BH6" s="1"/>
      <c r="BI6" s="1"/>
      <c r="BJ6" s="1"/>
      <c r="BK6" s="1"/>
      <c r="BL6" s="33">
        <v>752</v>
      </c>
      <c r="BM6" s="1"/>
      <c r="BN6" s="13"/>
      <c r="BO6" s="1"/>
      <c r="BP6" s="13"/>
      <c r="BQ6" s="33">
        <v>752</v>
      </c>
      <c r="BR6" s="13"/>
      <c r="BS6" s="13"/>
      <c r="BT6" s="1"/>
      <c r="BU6" s="13"/>
      <c r="BV6" s="13"/>
      <c r="BW6" s="1"/>
      <c r="BX6" s="33">
        <v>752</v>
      </c>
      <c r="BY6" s="1"/>
      <c r="BZ6" s="1"/>
      <c r="CA6" s="1"/>
      <c r="CB6" s="1"/>
      <c r="CC6" s="1"/>
      <c r="CD6" s="1"/>
      <c r="CE6" s="1"/>
      <c r="CF6" s="1"/>
      <c r="CG6" s="1"/>
      <c r="CH6" s="1"/>
    </row>
    <row r="7" spans="1:86" x14ac:dyDescent="0.25">
      <c r="A7" s="1" t="s">
        <v>136</v>
      </c>
      <c r="B7" s="1" t="s">
        <v>142</v>
      </c>
      <c r="C7" s="1"/>
      <c r="D7" s="33">
        <v>2017</v>
      </c>
      <c r="E7" s="1">
        <v>1</v>
      </c>
      <c r="F7" s="1">
        <v>0</v>
      </c>
      <c r="G7" s="1">
        <v>0</v>
      </c>
      <c r="H7" s="1"/>
      <c r="I7" s="1"/>
      <c r="J7" s="68">
        <v>13.4</v>
      </c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67"/>
      <c r="W7" s="67">
        <v>0.97</v>
      </c>
      <c r="X7" s="9"/>
      <c r="Y7" s="49"/>
      <c r="Z7" s="67"/>
      <c r="AA7" s="20"/>
      <c r="AB7" s="19"/>
      <c r="AC7" s="9"/>
      <c r="AD7" s="19"/>
      <c r="AE7" s="68"/>
      <c r="AF7" s="68"/>
      <c r="AG7" s="68"/>
      <c r="AH7" s="1"/>
      <c r="AI7" s="1"/>
      <c r="AJ7" s="1"/>
      <c r="AK7" s="1"/>
      <c r="AL7" s="1"/>
      <c r="AM7" s="1">
        <v>0.5</v>
      </c>
      <c r="AN7" s="1">
        <v>0.5</v>
      </c>
      <c r="AO7" s="1"/>
      <c r="AP7" s="1"/>
      <c r="AQ7" s="1"/>
      <c r="AR7" s="68"/>
      <c r="AS7" s="1"/>
      <c r="AT7" s="19"/>
      <c r="AU7" s="19"/>
      <c r="AV7" s="19"/>
      <c r="AW7" s="8"/>
      <c r="AX7" s="8"/>
      <c r="AY7" s="8"/>
      <c r="AZ7" s="8"/>
      <c r="BA7" s="8"/>
      <c r="BB7" s="68"/>
      <c r="BC7" s="68"/>
      <c r="BD7" s="1"/>
      <c r="BE7" s="1"/>
      <c r="BF7" s="1"/>
      <c r="BG7" s="1"/>
      <c r="BH7" s="1"/>
      <c r="BI7" s="1"/>
      <c r="BJ7" s="1"/>
      <c r="BK7" s="1"/>
      <c r="BL7" s="33">
        <v>752</v>
      </c>
      <c r="BM7" s="1"/>
      <c r="BN7" s="13"/>
      <c r="BO7" s="1"/>
      <c r="BP7" s="13"/>
      <c r="BQ7" s="33">
        <v>752</v>
      </c>
      <c r="BR7" s="13"/>
      <c r="BS7" s="13"/>
      <c r="BT7" s="1"/>
      <c r="BU7" s="13"/>
      <c r="BV7" s="13"/>
      <c r="BW7" s="1"/>
      <c r="BX7" s="33">
        <v>752</v>
      </c>
      <c r="BY7" s="1"/>
      <c r="BZ7" s="1"/>
      <c r="CA7" s="1"/>
      <c r="CB7" s="1"/>
      <c r="CC7" s="1"/>
      <c r="CD7" s="1"/>
      <c r="CE7" s="1"/>
      <c r="CF7" s="1"/>
      <c r="CG7" s="1"/>
      <c r="CH7" s="1"/>
    </row>
    <row r="8" spans="1:86" x14ac:dyDescent="0.25">
      <c r="A8" s="1" t="s">
        <v>138</v>
      </c>
      <c r="B8" s="1" t="s">
        <v>142</v>
      </c>
      <c r="C8" s="1"/>
      <c r="D8" s="33">
        <v>2017</v>
      </c>
      <c r="E8" s="1">
        <v>1</v>
      </c>
      <c r="F8" s="1">
        <v>0</v>
      </c>
      <c r="G8" s="1">
        <v>0</v>
      </c>
      <c r="H8" s="1"/>
      <c r="I8" s="1"/>
      <c r="J8" s="68">
        <v>14.1</v>
      </c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67"/>
      <c r="W8" s="67">
        <v>0.9</v>
      </c>
      <c r="X8" s="9"/>
      <c r="Y8" s="49"/>
      <c r="Z8" s="67"/>
      <c r="AA8" s="20"/>
      <c r="AB8" s="19"/>
      <c r="AC8" s="9"/>
      <c r="AD8" s="19"/>
      <c r="AE8" s="68"/>
      <c r="AF8" s="68"/>
      <c r="AG8" s="68"/>
      <c r="AH8" s="1"/>
      <c r="AI8" s="1"/>
      <c r="AJ8" s="1"/>
      <c r="AK8" s="1"/>
      <c r="AL8" s="1"/>
      <c r="AM8" s="1"/>
      <c r="AN8" s="1">
        <v>0.5</v>
      </c>
      <c r="AO8" s="1"/>
      <c r="AP8" s="1"/>
      <c r="AQ8" s="1"/>
      <c r="AR8" s="68"/>
      <c r="AS8" s="1"/>
      <c r="AT8" s="19"/>
      <c r="AU8" s="19"/>
      <c r="AV8" s="19"/>
      <c r="AW8" s="8"/>
      <c r="AX8" s="8"/>
      <c r="AY8" s="8"/>
      <c r="AZ8" s="8"/>
      <c r="BA8" s="8"/>
      <c r="BB8" s="68"/>
      <c r="BC8" s="68"/>
      <c r="BD8" s="1"/>
      <c r="BE8" s="1" t="s">
        <v>945</v>
      </c>
      <c r="BF8" s="1"/>
      <c r="BG8" s="1"/>
      <c r="BH8" s="1"/>
      <c r="BI8" s="1"/>
      <c r="BJ8" s="1"/>
      <c r="BK8" s="1"/>
      <c r="BL8" s="33">
        <v>752</v>
      </c>
      <c r="BM8" s="1"/>
      <c r="BN8" s="13"/>
      <c r="BO8" s="1"/>
      <c r="BP8" s="13"/>
      <c r="BQ8" s="33">
        <v>752</v>
      </c>
      <c r="BR8" s="13"/>
      <c r="BS8" s="13"/>
      <c r="BT8" s="1"/>
      <c r="BU8" s="13"/>
      <c r="BV8" s="13"/>
      <c r="BW8" s="1"/>
      <c r="BX8" s="33">
        <v>752</v>
      </c>
      <c r="BY8" s="1"/>
      <c r="BZ8" s="1"/>
      <c r="CA8" s="1"/>
      <c r="CB8" s="1"/>
      <c r="CC8" s="1"/>
      <c r="CD8" s="1"/>
      <c r="CE8" s="1"/>
      <c r="CF8" s="1"/>
      <c r="CG8" s="1"/>
      <c r="CH8" s="1"/>
    </row>
    <row r="9" spans="1:86" x14ac:dyDescent="0.25">
      <c r="A9" s="1" t="s">
        <v>941</v>
      </c>
      <c r="B9" s="1" t="s">
        <v>142</v>
      </c>
      <c r="C9" s="1"/>
      <c r="D9" s="33">
        <v>2017</v>
      </c>
      <c r="E9" s="1">
        <v>1</v>
      </c>
      <c r="F9" s="1">
        <v>0</v>
      </c>
      <c r="G9" s="1">
        <v>0</v>
      </c>
      <c r="H9" s="1"/>
      <c r="I9" s="1"/>
      <c r="J9" s="68">
        <v>4.5</v>
      </c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67"/>
      <c r="W9" s="67">
        <v>0.93</v>
      </c>
      <c r="X9" s="9"/>
      <c r="Y9" s="49"/>
      <c r="Z9" s="67"/>
      <c r="AA9" s="20"/>
      <c r="AB9" s="19"/>
      <c r="AC9" s="9"/>
      <c r="AD9" s="19"/>
      <c r="AE9" s="68"/>
      <c r="AF9" s="68"/>
      <c r="AG9" s="68"/>
      <c r="AH9" s="1"/>
      <c r="AI9" s="1"/>
      <c r="AJ9" s="1"/>
      <c r="AK9" s="1"/>
      <c r="AL9" s="1"/>
      <c r="AM9" s="1">
        <v>0.25</v>
      </c>
      <c r="AN9" s="1">
        <v>0.25</v>
      </c>
      <c r="AO9" s="1"/>
      <c r="AP9" s="1"/>
      <c r="AQ9" s="1"/>
      <c r="AR9" s="68"/>
      <c r="AS9" s="1"/>
      <c r="AT9" s="19"/>
      <c r="AU9" s="19"/>
      <c r="AV9" s="19"/>
      <c r="AW9" s="8"/>
      <c r="AX9" s="8"/>
      <c r="AY9" s="8"/>
      <c r="AZ9" s="8"/>
      <c r="BA9" s="8"/>
      <c r="BB9" s="68"/>
      <c r="BC9" s="68"/>
      <c r="BD9" s="1"/>
      <c r="BE9" s="1"/>
      <c r="BF9" s="1"/>
      <c r="BG9" s="1"/>
      <c r="BH9" s="1"/>
      <c r="BI9" s="1"/>
      <c r="BJ9" s="1"/>
      <c r="BK9" s="1"/>
      <c r="BL9" s="33">
        <v>752</v>
      </c>
      <c r="BM9" s="1"/>
      <c r="BN9" s="13"/>
      <c r="BO9" s="1"/>
      <c r="BP9" s="13"/>
      <c r="BQ9" s="33">
        <v>752</v>
      </c>
      <c r="BR9" s="13"/>
      <c r="BS9" s="13"/>
      <c r="BT9" s="1"/>
      <c r="BU9" s="13"/>
      <c r="BV9" s="13"/>
      <c r="BW9" s="1"/>
      <c r="BX9" s="33">
        <v>752</v>
      </c>
      <c r="BY9" s="1"/>
      <c r="BZ9" s="1"/>
      <c r="CA9" s="1"/>
      <c r="CB9" s="1"/>
      <c r="CC9" s="1"/>
      <c r="CD9" s="1"/>
      <c r="CE9" s="1"/>
      <c r="CF9" s="1"/>
      <c r="CG9" s="1"/>
      <c r="CH9" s="1"/>
    </row>
    <row r="10" spans="1:86" x14ac:dyDescent="0.25">
      <c r="A10" s="1" t="s">
        <v>141</v>
      </c>
      <c r="B10" s="1" t="s">
        <v>142</v>
      </c>
      <c r="C10" s="1"/>
      <c r="D10" s="33">
        <v>2017</v>
      </c>
      <c r="E10" s="1">
        <v>1</v>
      </c>
      <c r="F10" s="1">
        <v>0</v>
      </c>
      <c r="G10" s="1">
        <v>0</v>
      </c>
      <c r="H10" s="1"/>
      <c r="I10" s="1"/>
      <c r="J10" s="68">
        <v>20.9</v>
      </c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67"/>
      <c r="W10" s="67">
        <v>0.93</v>
      </c>
      <c r="X10" s="9"/>
      <c r="Y10" s="49"/>
      <c r="Z10" s="67"/>
      <c r="AA10" s="20"/>
      <c r="AB10" s="19"/>
      <c r="AC10" s="9"/>
      <c r="AD10" s="19"/>
      <c r="AE10" s="68"/>
      <c r="AF10" s="68"/>
      <c r="AG10" s="68"/>
      <c r="AH10" s="1"/>
      <c r="AI10" s="1"/>
      <c r="AJ10" s="1"/>
      <c r="AK10" s="1"/>
      <c r="AL10" s="1"/>
      <c r="AM10" s="1"/>
      <c r="AN10" s="1">
        <v>0.25</v>
      </c>
      <c r="AO10" s="1"/>
      <c r="AP10" s="1"/>
      <c r="AQ10" s="1"/>
      <c r="AR10" s="68"/>
      <c r="AS10" s="1"/>
      <c r="AT10" s="19"/>
      <c r="AU10" s="19"/>
      <c r="AV10" s="19"/>
      <c r="AW10" s="8"/>
      <c r="AX10" s="8"/>
      <c r="AY10" s="8"/>
      <c r="AZ10" s="8"/>
      <c r="BA10" s="8"/>
      <c r="BB10" s="68"/>
      <c r="BC10" s="68"/>
      <c r="BD10" s="1"/>
      <c r="BE10" s="1" t="s">
        <v>945</v>
      </c>
      <c r="BF10" s="1"/>
      <c r="BG10" s="1"/>
      <c r="BH10" s="1"/>
      <c r="BI10" s="1"/>
      <c r="BJ10" s="1"/>
      <c r="BK10" s="1"/>
      <c r="BL10" s="33">
        <v>752</v>
      </c>
      <c r="BM10" s="1"/>
      <c r="BN10" s="13"/>
      <c r="BO10" s="1"/>
      <c r="BP10" s="13"/>
      <c r="BQ10" s="33">
        <v>752</v>
      </c>
      <c r="BR10" s="13"/>
      <c r="BS10" s="13"/>
      <c r="BT10" s="1"/>
      <c r="BU10" s="13"/>
      <c r="BV10" s="13"/>
      <c r="BW10" s="1"/>
      <c r="BX10" s="33">
        <v>752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</row>
    <row r="11" spans="1:86" x14ac:dyDescent="0.25">
      <c r="A11" s="1" t="s">
        <v>153</v>
      </c>
      <c r="B11" s="1" t="s">
        <v>142</v>
      </c>
      <c r="C11" s="1"/>
      <c r="D11" s="33">
        <v>2017</v>
      </c>
      <c r="E11" s="1">
        <v>1</v>
      </c>
      <c r="F11" s="1">
        <v>0</v>
      </c>
      <c r="G11" s="1">
        <v>0</v>
      </c>
      <c r="H11" s="1"/>
      <c r="I11" s="1"/>
      <c r="J11" s="68">
        <v>10.6</v>
      </c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67"/>
      <c r="W11" s="67">
        <v>0.93</v>
      </c>
      <c r="X11" s="9"/>
      <c r="Y11" s="49"/>
      <c r="Z11" s="67"/>
      <c r="AA11" s="20"/>
      <c r="AB11" s="19"/>
      <c r="AC11" s="9"/>
      <c r="AD11" s="19"/>
      <c r="AE11" s="68"/>
      <c r="AF11" s="68"/>
      <c r="AG11" s="68"/>
      <c r="AH11" s="1"/>
      <c r="AI11" s="1"/>
      <c r="AJ11" s="1"/>
      <c r="AK11" s="1"/>
      <c r="AL11" s="1"/>
      <c r="AM11" s="1">
        <v>0.25</v>
      </c>
      <c r="AN11" s="1">
        <v>0.25</v>
      </c>
      <c r="AO11" s="1"/>
      <c r="AP11" s="1"/>
      <c r="AQ11" s="1"/>
      <c r="AR11" s="68"/>
      <c r="AS11" s="1"/>
      <c r="AT11" s="19"/>
      <c r="AU11" s="19"/>
      <c r="AV11" s="19"/>
      <c r="AW11" s="8"/>
      <c r="AX11" s="8"/>
      <c r="AY11" s="8"/>
      <c r="AZ11" s="8"/>
      <c r="BA11" s="8"/>
      <c r="BB11" s="68"/>
      <c r="BC11" s="68"/>
      <c r="BD11" s="1"/>
      <c r="BE11" s="1"/>
      <c r="BF11" s="1"/>
      <c r="BG11" s="1"/>
      <c r="BH11" s="1"/>
      <c r="BI11" s="1"/>
      <c r="BJ11" s="1"/>
      <c r="BK11" s="1"/>
      <c r="BL11" s="33">
        <v>752</v>
      </c>
      <c r="BM11" s="1"/>
      <c r="BN11" s="13"/>
      <c r="BO11" s="1"/>
      <c r="BP11" s="13"/>
      <c r="BQ11" s="33">
        <v>752</v>
      </c>
      <c r="BR11" s="13"/>
      <c r="BS11" s="13"/>
      <c r="BT11" s="1"/>
      <c r="BU11" s="13"/>
      <c r="BV11" s="13"/>
      <c r="BW11" s="1"/>
      <c r="BX11" s="33">
        <v>752</v>
      </c>
      <c r="BY11" s="1"/>
      <c r="BZ11" s="1"/>
      <c r="CA11" s="1"/>
      <c r="CB11" s="1"/>
      <c r="CC11" s="1"/>
      <c r="CD11" s="1"/>
      <c r="CE11" s="1"/>
      <c r="CF11" s="1"/>
      <c r="CG11" s="1"/>
      <c r="CH11" s="1"/>
    </row>
    <row r="12" spans="1:86" x14ac:dyDescent="0.25">
      <c r="A12" s="1" t="s">
        <v>211</v>
      </c>
      <c r="B12" s="1" t="s">
        <v>130</v>
      </c>
      <c r="C12" s="1"/>
      <c r="D12" s="33">
        <v>2017</v>
      </c>
      <c r="E12" s="1">
        <v>1</v>
      </c>
      <c r="F12" s="1">
        <v>0</v>
      </c>
      <c r="G12" s="1">
        <v>0</v>
      </c>
      <c r="H12" s="1"/>
      <c r="I12" s="1"/>
      <c r="J12" s="68">
        <v>7.4</v>
      </c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67"/>
      <c r="W12" s="67">
        <v>1</v>
      </c>
      <c r="X12" s="9"/>
      <c r="Y12" s="49"/>
      <c r="Z12" s="67"/>
      <c r="AA12" s="20"/>
      <c r="AB12" s="19"/>
      <c r="AC12" s="9"/>
      <c r="AD12" s="19"/>
      <c r="AE12" s="68"/>
      <c r="AF12" s="68"/>
      <c r="AG12" s="68"/>
      <c r="AH12" s="1"/>
      <c r="AI12" s="1"/>
      <c r="AJ12" s="1"/>
      <c r="AK12" s="1"/>
      <c r="AL12" s="1"/>
      <c r="AM12" s="1">
        <v>0.5</v>
      </c>
      <c r="AN12" s="1">
        <v>0.5</v>
      </c>
      <c r="AO12" s="1"/>
      <c r="AP12" s="1"/>
      <c r="AQ12" s="1"/>
      <c r="AR12" s="68"/>
      <c r="AS12" s="1"/>
      <c r="AT12" s="19"/>
      <c r="AU12" s="19"/>
      <c r="AV12" s="19"/>
      <c r="AW12" s="8"/>
      <c r="AX12" s="8"/>
      <c r="AY12" s="8"/>
      <c r="AZ12" s="8"/>
      <c r="BA12" s="8"/>
      <c r="BB12" s="68"/>
      <c r="BC12" s="68"/>
      <c r="BD12" s="1"/>
      <c r="BE12" s="1"/>
      <c r="BF12" s="1"/>
      <c r="BG12" s="1"/>
      <c r="BH12" s="1"/>
      <c r="BI12" s="1"/>
      <c r="BJ12" s="1"/>
      <c r="BK12" s="1"/>
      <c r="BL12" s="33">
        <v>752</v>
      </c>
      <c r="BM12" s="1"/>
      <c r="BN12" s="13"/>
      <c r="BO12" s="1"/>
      <c r="BP12" s="13"/>
      <c r="BQ12" s="33">
        <v>752</v>
      </c>
      <c r="BR12" s="13"/>
      <c r="BS12" s="13"/>
      <c r="BT12" s="1"/>
      <c r="BU12" s="13"/>
      <c r="BV12" s="13"/>
      <c r="BW12" s="1"/>
      <c r="BX12" s="33">
        <v>752</v>
      </c>
      <c r="BY12" s="1"/>
      <c r="BZ12" s="1"/>
      <c r="CA12" s="1"/>
      <c r="CB12" s="1"/>
      <c r="CC12" s="1"/>
      <c r="CD12" s="1"/>
      <c r="CE12" s="1"/>
      <c r="CF12" s="1"/>
      <c r="CG12" s="1"/>
      <c r="CH12" s="1"/>
    </row>
    <row r="13" spans="1:86" x14ac:dyDescent="0.25">
      <c r="A13" s="1" t="s">
        <v>214</v>
      </c>
      <c r="B13" s="1" t="s">
        <v>130</v>
      </c>
      <c r="C13" s="1"/>
      <c r="D13" s="33">
        <v>2017</v>
      </c>
      <c r="E13" s="1">
        <v>1</v>
      </c>
      <c r="F13" s="1">
        <v>0</v>
      </c>
      <c r="G13" s="1">
        <v>0</v>
      </c>
      <c r="H13" s="1"/>
      <c r="I13" s="1"/>
      <c r="J13" s="68">
        <v>3</v>
      </c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67"/>
      <c r="W13" s="67">
        <v>0.7</v>
      </c>
      <c r="X13" s="9"/>
      <c r="Y13" s="49"/>
      <c r="Z13" s="67"/>
      <c r="AA13" s="20"/>
      <c r="AB13" s="19"/>
      <c r="AC13" s="9"/>
      <c r="AD13" s="19"/>
      <c r="AE13" s="68"/>
      <c r="AF13" s="68"/>
      <c r="AG13" s="68"/>
      <c r="AH13" s="1"/>
      <c r="AI13" s="1"/>
      <c r="AJ13" s="1"/>
      <c r="AK13" s="1"/>
      <c r="AL13" s="1"/>
      <c r="AM13" s="1">
        <v>0.25</v>
      </c>
      <c r="AN13" s="1">
        <v>0.25</v>
      </c>
      <c r="AO13" s="1"/>
      <c r="AP13" s="1"/>
      <c r="AQ13" s="1"/>
      <c r="AR13" s="68"/>
      <c r="AS13" s="1"/>
      <c r="AT13" s="19"/>
      <c r="AU13" s="19"/>
      <c r="AV13" s="19"/>
      <c r="AW13" s="8"/>
      <c r="AX13" s="8"/>
      <c r="AY13" s="8"/>
      <c r="AZ13" s="8"/>
      <c r="BA13" s="8"/>
      <c r="BB13" s="68"/>
      <c r="BC13" s="68"/>
      <c r="BD13" s="1"/>
      <c r="BE13" s="1"/>
      <c r="BF13" s="1"/>
      <c r="BG13" s="1"/>
      <c r="BH13" s="1"/>
      <c r="BI13" s="1"/>
      <c r="BJ13" s="1"/>
      <c r="BK13" s="1"/>
      <c r="BL13" s="33">
        <v>752</v>
      </c>
      <c r="BM13" s="1"/>
      <c r="BN13" s="13"/>
      <c r="BO13" s="1"/>
      <c r="BP13" s="13"/>
      <c r="BQ13" s="33">
        <v>752</v>
      </c>
      <c r="BR13" s="13"/>
      <c r="BS13" s="13"/>
      <c r="BT13" s="1"/>
      <c r="BU13" s="13"/>
      <c r="BV13" s="13"/>
      <c r="BW13" s="1"/>
      <c r="BX13" s="33">
        <v>752</v>
      </c>
      <c r="BY13" s="1"/>
      <c r="BZ13" s="1"/>
      <c r="CA13" s="1"/>
      <c r="CB13" s="1"/>
      <c r="CC13" s="1"/>
      <c r="CD13" s="1"/>
      <c r="CE13" s="1"/>
      <c r="CF13" s="1"/>
      <c r="CG13" s="1"/>
      <c r="CH13" s="1"/>
    </row>
    <row r="14" spans="1:86" x14ac:dyDescent="0.25">
      <c r="A14" s="1" t="s">
        <v>213</v>
      </c>
      <c r="B14" s="1" t="s">
        <v>130</v>
      </c>
      <c r="C14" s="1"/>
      <c r="D14" s="33">
        <v>2017</v>
      </c>
      <c r="E14" s="1">
        <v>1</v>
      </c>
      <c r="F14" s="1">
        <v>0</v>
      </c>
      <c r="G14" s="1">
        <v>0</v>
      </c>
      <c r="H14" s="1"/>
      <c r="I14" s="1"/>
      <c r="J14" s="68">
        <v>2.6</v>
      </c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67"/>
      <c r="W14" s="67">
        <v>0.75</v>
      </c>
      <c r="X14" s="9"/>
      <c r="Y14" s="49"/>
      <c r="Z14" s="67"/>
      <c r="AA14" s="20"/>
      <c r="AB14" s="19"/>
      <c r="AC14" s="9"/>
      <c r="AD14" s="19"/>
      <c r="AE14" s="68"/>
      <c r="AF14" s="68"/>
      <c r="AG14" s="68"/>
      <c r="AH14" s="1"/>
      <c r="AI14" s="1"/>
      <c r="AJ14" s="1"/>
      <c r="AK14" s="1"/>
      <c r="AL14" s="1"/>
      <c r="AM14" s="1">
        <v>0.25</v>
      </c>
      <c r="AN14" s="1">
        <v>0.25</v>
      </c>
      <c r="AO14" s="1"/>
      <c r="AP14" s="1"/>
      <c r="AQ14" s="1"/>
      <c r="AR14" s="68"/>
      <c r="AS14" s="1"/>
      <c r="AT14" s="19"/>
      <c r="AU14" s="19"/>
      <c r="AV14" s="19"/>
      <c r="AW14" s="8"/>
      <c r="AX14" s="8"/>
      <c r="AY14" s="8"/>
      <c r="AZ14" s="8"/>
      <c r="BA14" s="8"/>
      <c r="BB14" s="68"/>
      <c r="BC14" s="68"/>
      <c r="BD14" s="1"/>
      <c r="BE14" s="1"/>
      <c r="BF14" s="1"/>
      <c r="BG14" s="1"/>
      <c r="BH14" s="1"/>
      <c r="BI14" s="1"/>
      <c r="BJ14" s="1"/>
      <c r="BK14" s="1"/>
      <c r="BL14" s="33">
        <v>752</v>
      </c>
      <c r="BM14" s="1"/>
      <c r="BN14" s="13"/>
      <c r="BO14" s="1"/>
      <c r="BP14" s="13"/>
      <c r="BQ14" s="33">
        <v>752</v>
      </c>
      <c r="BR14" s="13"/>
      <c r="BS14" s="13"/>
      <c r="BT14" s="1"/>
      <c r="BU14" s="13"/>
      <c r="BV14" s="13"/>
      <c r="BW14" s="1"/>
      <c r="BX14" s="33">
        <v>752</v>
      </c>
      <c r="BY14" s="1"/>
      <c r="BZ14" s="1"/>
      <c r="CA14" s="1"/>
      <c r="CB14" s="1"/>
      <c r="CC14" s="1"/>
      <c r="CD14" s="1"/>
      <c r="CE14" s="1"/>
      <c r="CF14" s="1"/>
      <c r="CG14" s="1"/>
      <c r="CH14" s="1"/>
    </row>
    <row r="15" spans="1:86" x14ac:dyDescent="0.25">
      <c r="A15" s="1" t="s">
        <v>139</v>
      </c>
      <c r="B15" s="1" t="s">
        <v>130</v>
      </c>
      <c r="C15" s="1"/>
      <c r="D15" s="33">
        <v>2017</v>
      </c>
      <c r="E15" s="1">
        <v>1</v>
      </c>
      <c r="F15" s="1">
        <v>0</v>
      </c>
      <c r="G15" s="1">
        <v>0</v>
      </c>
      <c r="H15" s="1"/>
      <c r="I15" s="1"/>
      <c r="J15" s="68">
        <v>3.4</v>
      </c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67"/>
      <c r="W15" s="67">
        <v>0.25</v>
      </c>
      <c r="X15" s="9"/>
      <c r="Y15" s="49"/>
      <c r="Z15" s="67"/>
      <c r="AA15" s="20"/>
      <c r="AB15" s="19"/>
      <c r="AC15" s="9"/>
      <c r="AD15" s="19"/>
      <c r="AE15" s="68"/>
      <c r="AF15" s="68"/>
      <c r="AG15" s="68"/>
      <c r="AH15" s="1"/>
      <c r="AI15" s="1"/>
      <c r="AJ15" s="1"/>
      <c r="AK15" s="1"/>
      <c r="AL15" s="1"/>
      <c r="AM15" s="1">
        <v>2</v>
      </c>
      <c r="AN15" s="1">
        <v>0.75</v>
      </c>
      <c r="AO15" s="1"/>
      <c r="AP15" s="1"/>
      <c r="AQ15" s="1"/>
      <c r="AR15" s="68"/>
      <c r="AS15" s="1"/>
      <c r="AT15" s="19"/>
      <c r="AU15" s="19"/>
      <c r="AV15" s="19"/>
      <c r="AW15" s="8"/>
      <c r="AX15" s="8"/>
      <c r="AY15" s="8"/>
      <c r="AZ15" s="8"/>
      <c r="BA15" s="8"/>
      <c r="BB15" s="68"/>
      <c r="BC15" s="68"/>
      <c r="BD15" s="1"/>
      <c r="BE15" s="1"/>
      <c r="BF15" s="1"/>
      <c r="BG15" s="1"/>
      <c r="BH15" s="1"/>
      <c r="BI15" s="1"/>
      <c r="BJ15" s="1"/>
      <c r="BK15" s="1"/>
      <c r="BL15" s="33">
        <v>752</v>
      </c>
      <c r="BM15" s="1"/>
      <c r="BN15" s="13"/>
      <c r="BO15" s="1"/>
      <c r="BP15" s="13"/>
      <c r="BQ15" s="33">
        <v>752</v>
      </c>
      <c r="BR15" s="13"/>
      <c r="BS15" s="13"/>
      <c r="BT15" s="1"/>
      <c r="BU15" s="13"/>
      <c r="BV15" s="13"/>
      <c r="BW15" s="1"/>
      <c r="BX15" s="33">
        <v>752</v>
      </c>
      <c r="BY15" s="1"/>
      <c r="BZ15" s="1"/>
      <c r="CA15" s="1"/>
      <c r="CB15" s="1"/>
      <c r="CC15" s="1"/>
      <c r="CD15" s="1"/>
      <c r="CE15" s="1"/>
      <c r="CF15" s="1"/>
      <c r="CG15" s="1"/>
      <c r="CH15" s="1"/>
    </row>
    <row r="16" spans="1:86" x14ac:dyDescent="0.25">
      <c r="A16" s="1" t="s">
        <v>942</v>
      </c>
      <c r="B16" s="1" t="s">
        <v>130</v>
      </c>
      <c r="C16" s="1"/>
      <c r="D16" s="33">
        <v>2017</v>
      </c>
      <c r="E16" s="1">
        <v>1</v>
      </c>
      <c r="F16" s="1">
        <v>0</v>
      </c>
      <c r="G16" s="1">
        <v>0</v>
      </c>
      <c r="H16" s="1"/>
      <c r="I16" s="1"/>
      <c r="J16" s="68">
        <v>4.2</v>
      </c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67"/>
      <c r="W16" s="67">
        <v>1</v>
      </c>
      <c r="X16" s="9"/>
      <c r="Y16" s="49"/>
      <c r="Z16" s="67"/>
      <c r="AA16" s="20"/>
      <c r="AB16" s="19"/>
      <c r="AC16" s="9"/>
      <c r="AD16" s="19"/>
      <c r="AE16" s="68"/>
      <c r="AF16" s="68"/>
      <c r="AG16" s="68"/>
      <c r="AH16" s="1"/>
      <c r="AI16" s="1"/>
      <c r="AJ16" s="1"/>
      <c r="AK16" s="1"/>
      <c r="AL16" s="1"/>
      <c r="AM16" s="1">
        <v>8</v>
      </c>
      <c r="AN16" s="1">
        <v>0.25</v>
      </c>
      <c r="AO16" s="1"/>
      <c r="AP16" s="1"/>
      <c r="AQ16" s="1"/>
      <c r="AR16" s="68"/>
      <c r="AS16" s="1"/>
      <c r="AT16" s="19"/>
      <c r="AU16" s="19"/>
      <c r="AV16" s="19"/>
      <c r="AW16" s="8"/>
      <c r="AX16" s="8"/>
      <c r="AY16" s="8"/>
      <c r="AZ16" s="8"/>
      <c r="BA16" s="8"/>
      <c r="BB16" s="68"/>
      <c r="BC16" s="68"/>
      <c r="BD16" s="1"/>
      <c r="BE16" s="1"/>
      <c r="BF16" s="1"/>
      <c r="BG16" s="1"/>
      <c r="BH16" s="1"/>
      <c r="BI16" s="1"/>
      <c r="BJ16" s="1"/>
      <c r="BK16" s="1"/>
      <c r="BL16" s="33">
        <v>752</v>
      </c>
      <c r="BM16" s="1"/>
      <c r="BN16" s="13"/>
      <c r="BO16" s="1"/>
      <c r="BP16" s="13"/>
      <c r="BQ16" s="33">
        <v>752</v>
      </c>
      <c r="BR16" s="13"/>
      <c r="BS16" s="13"/>
      <c r="BT16" s="1"/>
      <c r="BU16" s="13"/>
      <c r="BV16" s="13"/>
      <c r="BW16" s="1"/>
      <c r="BX16" s="33">
        <v>752</v>
      </c>
      <c r="BY16" s="1"/>
      <c r="BZ16" s="1"/>
      <c r="CA16" s="1"/>
      <c r="CB16" s="1"/>
      <c r="CC16" s="1"/>
      <c r="CD16" s="1"/>
      <c r="CE16" s="1"/>
      <c r="CF16" s="1"/>
      <c r="CG16" s="1"/>
      <c r="CH16" s="1"/>
    </row>
    <row r="17" spans="1:86" x14ac:dyDescent="0.25">
      <c r="A17" s="1" t="s">
        <v>29</v>
      </c>
      <c r="B17" s="1" t="s">
        <v>129</v>
      </c>
      <c r="C17" s="1"/>
      <c r="D17" s="33">
        <v>2017</v>
      </c>
      <c r="E17" s="1">
        <v>1</v>
      </c>
      <c r="F17" s="1">
        <v>0</v>
      </c>
      <c r="G17" s="1">
        <v>0</v>
      </c>
      <c r="H17" s="1"/>
      <c r="I17" s="1"/>
      <c r="J17" s="68">
        <v>5.3</v>
      </c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67"/>
      <c r="W17" s="67">
        <v>0.4</v>
      </c>
      <c r="X17" s="9"/>
      <c r="Y17" s="49"/>
      <c r="Z17" s="67"/>
      <c r="AA17" s="20"/>
      <c r="AB17" s="19"/>
      <c r="AC17" s="9"/>
      <c r="AD17" s="19"/>
      <c r="AE17" s="68"/>
      <c r="AF17" s="68"/>
      <c r="AG17" s="68"/>
      <c r="AH17" s="1"/>
      <c r="AI17" s="1"/>
      <c r="AJ17" s="1"/>
      <c r="AK17" s="1"/>
      <c r="AL17" s="1"/>
      <c r="AM17" s="1">
        <v>2</v>
      </c>
      <c r="AN17" s="1">
        <v>0</v>
      </c>
      <c r="AO17" s="1"/>
      <c r="AP17" s="1"/>
      <c r="AQ17" s="1"/>
      <c r="AR17" s="68"/>
      <c r="AS17" s="1"/>
      <c r="AT17" s="19"/>
      <c r="AU17" s="19"/>
      <c r="AV17" s="19"/>
      <c r="AW17" s="8"/>
      <c r="AX17" s="8"/>
      <c r="AY17" s="8"/>
      <c r="AZ17" s="8"/>
      <c r="BA17" s="8"/>
      <c r="BB17" s="68"/>
      <c r="BC17" s="68"/>
      <c r="BD17" s="1"/>
      <c r="BE17" s="1"/>
      <c r="BF17" s="1"/>
      <c r="BG17" s="1"/>
      <c r="BH17" s="1"/>
      <c r="BI17" s="1"/>
      <c r="BJ17" s="1"/>
      <c r="BK17" s="1"/>
      <c r="BL17" s="33">
        <v>752</v>
      </c>
      <c r="BM17" s="1"/>
      <c r="BN17" s="13"/>
      <c r="BO17" s="1"/>
      <c r="BP17" s="13"/>
      <c r="BQ17" s="33">
        <v>752</v>
      </c>
      <c r="BR17" s="13"/>
      <c r="BS17" s="13"/>
      <c r="BT17" s="1"/>
      <c r="BU17" s="13"/>
      <c r="BV17" s="13"/>
      <c r="BW17" s="1"/>
      <c r="BX17" s="33">
        <v>752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</row>
    <row r="18" spans="1:86" x14ac:dyDescent="0.25">
      <c r="A18" s="1" t="s">
        <v>53</v>
      </c>
      <c r="B18" s="1" t="s">
        <v>129</v>
      </c>
      <c r="C18" s="1"/>
      <c r="D18" s="33">
        <v>2017</v>
      </c>
      <c r="E18" s="1">
        <v>1</v>
      </c>
      <c r="F18" s="1">
        <v>0</v>
      </c>
      <c r="G18" s="1">
        <v>0</v>
      </c>
      <c r="H18" s="1"/>
      <c r="I18" s="1"/>
      <c r="J18" s="68">
        <v>5</v>
      </c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67"/>
      <c r="W18" s="67">
        <v>0.3</v>
      </c>
      <c r="X18" s="9"/>
      <c r="Y18" s="49"/>
      <c r="Z18" s="67"/>
      <c r="AA18" s="20"/>
      <c r="AB18" s="19"/>
      <c r="AC18" s="9"/>
      <c r="AD18" s="19"/>
      <c r="AE18" s="68"/>
      <c r="AF18" s="68"/>
      <c r="AG18" s="68"/>
      <c r="AH18" s="1"/>
      <c r="AI18" s="1"/>
      <c r="AJ18" s="1"/>
      <c r="AK18" s="1"/>
      <c r="AL18" s="1"/>
      <c r="AM18" s="1">
        <v>4</v>
      </c>
      <c r="AN18" s="1">
        <v>0</v>
      </c>
      <c r="AO18" s="1"/>
      <c r="AP18" s="1"/>
      <c r="AQ18" s="1"/>
      <c r="AR18" s="68"/>
      <c r="AS18" s="1"/>
      <c r="AT18" s="19"/>
      <c r="AU18" s="19"/>
      <c r="AV18" s="19"/>
      <c r="AW18" s="8"/>
      <c r="AX18" s="8"/>
      <c r="AY18" s="8"/>
      <c r="AZ18" s="8"/>
      <c r="BA18" s="8"/>
      <c r="BB18" s="68"/>
      <c r="BC18" s="68"/>
      <c r="BD18" s="1"/>
      <c r="BE18" s="1"/>
      <c r="BF18" s="1"/>
      <c r="BG18" s="1"/>
      <c r="BH18" s="1"/>
      <c r="BI18" s="1"/>
      <c r="BJ18" s="1"/>
      <c r="BK18" s="1"/>
      <c r="BL18" s="33">
        <v>752</v>
      </c>
      <c r="BM18" s="1"/>
      <c r="BN18" s="13"/>
      <c r="BO18" s="1"/>
      <c r="BP18" s="13"/>
      <c r="BQ18" s="33">
        <v>752</v>
      </c>
      <c r="BR18" s="13"/>
      <c r="BS18" s="13"/>
      <c r="BT18" s="1"/>
      <c r="BU18" s="13"/>
      <c r="BV18" s="13"/>
      <c r="BW18" s="1"/>
      <c r="BX18" s="33">
        <v>752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</row>
    <row r="19" spans="1:86" x14ac:dyDescent="0.25">
      <c r="A19" s="1" t="s">
        <v>54</v>
      </c>
      <c r="B19" s="1" t="s">
        <v>129</v>
      </c>
      <c r="C19" s="1"/>
      <c r="D19" s="33">
        <v>2017</v>
      </c>
      <c r="E19" s="1">
        <v>1</v>
      </c>
      <c r="F19" s="1">
        <v>0</v>
      </c>
      <c r="G19" s="1">
        <v>0</v>
      </c>
      <c r="H19" s="1"/>
      <c r="I19" s="1"/>
      <c r="J19" s="68">
        <v>7.8</v>
      </c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67"/>
      <c r="W19" s="67">
        <v>0.25</v>
      </c>
      <c r="X19" s="9"/>
      <c r="Y19" s="49"/>
      <c r="Z19" s="67"/>
      <c r="AA19" s="20"/>
      <c r="AB19" s="19"/>
      <c r="AC19" s="9"/>
      <c r="AD19" s="19"/>
      <c r="AE19" s="68"/>
      <c r="AF19" s="68"/>
      <c r="AG19" s="68"/>
      <c r="AH19" s="1"/>
      <c r="AI19" s="1"/>
      <c r="AJ19" s="1"/>
      <c r="AK19" s="1"/>
      <c r="AL19" s="1"/>
      <c r="AM19" s="1">
        <v>4</v>
      </c>
      <c r="AN19" s="1">
        <v>0</v>
      </c>
      <c r="AO19" s="1"/>
      <c r="AP19" s="1"/>
      <c r="AQ19" s="1"/>
      <c r="AR19" s="68"/>
      <c r="AS19" s="1"/>
      <c r="AT19" s="19"/>
      <c r="AU19" s="19"/>
      <c r="AV19" s="19"/>
      <c r="AW19" s="8"/>
      <c r="AX19" s="8"/>
      <c r="AY19" s="8"/>
      <c r="AZ19" s="8"/>
      <c r="BA19" s="8"/>
      <c r="BB19" s="68"/>
      <c r="BC19" s="68"/>
      <c r="BD19" s="1"/>
      <c r="BE19" s="1"/>
      <c r="BF19" s="1"/>
      <c r="BG19" s="1"/>
      <c r="BH19" s="1"/>
      <c r="BI19" s="1"/>
      <c r="BJ19" s="1"/>
      <c r="BK19" s="1"/>
      <c r="BL19" s="33">
        <v>752</v>
      </c>
      <c r="BM19" s="1"/>
      <c r="BN19" s="13"/>
      <c r="BO19" s="1"/>
      <c r="BP19" s="13"/>
      <c r="BQ19" s="33">
        <v>752</v>
      </c>
      <c r="BR19" s="13"/>
      <c r="BS19" s="13"/>
      <c r="BT19" s="1"/>
      <c r="BU19" s="13"/>
      <c r="BV19" s="13"/>
      <c r="BW19" s="1"/>
      <c r="BX19" s="33">
        <v>752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</row>
    <row r="20" spans="1:86" x14ac:dyDescent="0.25">
      <c r="A20" s="1" t="s">
        <v>282</v>
      </c>
      <c r="B20" s="1" t="s">
        <v>129</v>
      </c>
      <c r="C20" s="1"/>
      <c r="D20" s="33">
        <v>2017</v>
      </c>
      <c r="E20" s="1">
        <v>1</v>
      </c>
      <c r="F20" s="1">
        <v>0</v>
      </c>
      <c r="G20" s="1">
        <v>0</v>
      </c>
      <c r="H20" s="1"/>
      <c r="I20" s="1"/>
      <c r="J20" s="68">
        <v>1.1000000000000001</v>
      </c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67"/>
      <c r="W20" s="67">
        <v>0.25</v>
      </c>
      <c r="X20" s="9"/>
      <c r="Y20" s="49"/>
      <c r="Z20" s="67"/>
      <c r="AA20" s="20"/>
      <c r="AB20" s="19"/>
      <c r="AC20" s="9"/>
      <c r="AD20" s="19"/>
      <c r="AE20" s="68"/>
      <c r="AF20" s="68"/>
      <c r="AG20" s="68"/>
      <c r="AH20" s="1"/>
      <c r="AI20" s="1"/>
      <c r="AJ20" s="1"/>
      <c r="AK20" s="1"/>
      <c r="AL20" s="1"/>
      <c r="AM20" s="1">
        <v>4</v>
      </c>
      <c r="AN20" s="1">
        <v>0</v>
      </c>
      <c r="AO20" s="1"/>
      <c r="AP20" s="1"/>
      <c r="AQ20" s="1"/>
      <c r="AR20" s="68"/>
      <c r="AS20" s="1"/>
      <c r="AT20" s="19"/>
      <c r="AU20" s="19"/>
      <c r="AV20" s="19"/>
      <c r="AW20" s="8"/>
      <c r="AX20" s="8"/>
      <c r="AY20" s="8"/>
      <c r="AZ20" s="8"/>
      <c r="BA20" s="8"/>
      <c r="BB20" s="68"/>
      <c r="BC20" s="68"/>
      <c r="BD20" s="1"/>
      <c r="BE20" s="1"/>
      <c r="BF20" s="1"/>
      <c r="BG20" s="1"/>
      <c r="BH20" s="1"/>
      <c r="BI20" s="1"/>
      <c r="BJ20" s="1"/>
      <c r="BK20" s="1"/>
      <c r="BL20" s="33">
        <v>752</v>
      </c>
      <c r="BM20" s="1"/>
      <c r="BN20" s="13"/>
      <c r="BO20" s="1"/>
      <c r="BP20" s="13"/>
      <c r="BQ20" s="33">
        <v>752</v>
      </c>
      <c r="BR20" s="13"/>
      <c r="BS20" s="13"/>
      <c r="BT20" s="1"/>
      <c r="BU20" s="13"/>
      <c r="BV20" s="13"/>
      <c r="BW20" s="1"/>
      <c r="BX20" s="33">
        <v>752</v>
      </c>
      <c r="BY20" s="1"/>
      <c r="BZ20" s="1"/>
      <c r="CA20" s="1"/>
      <c r="CB20" s="1"/>
      <c r="CC20" s="1"/>
      <c r="CD20" s="1"/>
      <c r="CE20" s="1"/>
      <c r="CF20" s="1"/>
      <c r="CG20" s="1"/>
      <c r="CH20" s="1"/>
    </row>
    <row r="21" spans="1:86" x14ac:dyDescent="0.25">
      <c r="A21" s="1" t="s">
        <v>190</v>
      </c>
      <c r="B21" s="1" t="s">
        <v>129</v>
      </c>
      <c r="C21" s="1"/>
      <c r="D21" s="33">
        <v>2017</v>
      </c>
      <c r="E21" s="1">
        <v>1</v>
      </c>
      <c r="F21" s="1">
        <v>0</v>
      </c>
      <c r="G21" s="1">
        <v>0</v>
      </c>
      <c r="H21" s="1"/>
      <c r="I21" s="1"/>
      <c r="J21" s="68">
        <v>20.8</v>
      </c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67"/>
      <c r="W21" s="67">
        <v>1</v>
      </c>
      <c r="X21" s="9"/>
      <c r="Y21" s="49"/>
      <c r="Z21" s="67"/>
      <c r="AA21" s="20"/>
      <c r="AB21" s="19"/>
      <c r="AC21" s="9"/>
      <c r="AD21" s="19"/>
      <c r="AE21" s="68"/>
      <c r="AF21" s="68"/>
      <c r="AG21" s="68"/>
      <c r="AH21" s="1"/>
      <c r="AI21" s="1"/>
      <c r="AJ21" s="1"/>
      <c r="AK21" s="1"/>
      <c r="AL21" s="1"/>
      <c r="AM21" s="1">
        <v>1.5</v>
      </c>
      <c r="AN21" s="1">
        <v>0</v>
      </c>
      <c r="AO21" s="1"/>
      <c r="AP21" s="1"/>
      <c r="AQ21" s="1"/>
      <c r="AR21" s="68"/>
      <c r="AS21" s="1"/>
      <c r="AT21" s="19"/>
      <c r="AU21" s="19"/>
      <c r="AV21" s="19"/>
      <c r="AW21" s="8"/>
      <c r="AX21" s="8"/>
      <c r="AY21" s="8"/>
      <c r="AZ21" s="8"/>
      <c r="BA21" s="8"/>
      <c r="BB21" s="68"/>
      <c r="BC21" s="68"/>
      <c r="BD21" s="1"/>
      <c r="BE21" s="1"/>
      <c r="BF21" s="1"/>
      <c r="BG21" s="1"/>
      <c r="BH21" s="1"/>
      <c r="BI21" s="1"/>
      <c r="BJ21" s="1"/>
      <c r="BK21" s="1"/>
      <c r="BL21" s="33">
        <v>752</v>
      </c>
      <c r="BM21" s="1"/>
      <c r="BN21" s="13"/>
      <c r="BO21" s="1"/>
      <c r="BP21" s="13"/>
      <c r="BQ21" s="33">
        <v>752</v>
      </c>
      <c r="BR21" s="13"/>
      <c r="BS21" s="13"/>
      <c r="BT21" s="1"/>
      <c r="BU21" s="13"/>
      <c r="BV21" s="13"/>
      <c r="BW21" s="1"/>
      <c r="BX21" s="33">
        <v>752</v>
      </c>
      <c r="BY21" s="1"/>
      <c r="BZ21" s="1"/>
      <c r="CA21" s="1"/>
      <c r="CB21" s="1"/>
      <c r="CC21" s="1"/>
      <c r="CD21" s="1"/>
      <c r="CE21" s="1"/>
      <c r="CF21" s="1"/>
      <c r="CG21" s="1"/>
      <c r="CH21" s="1"/>
    </row>
    <row r="22" spans="1:86" x14ac:dyDescent="0.25">
      <c r="A22" s="1" t="s">
        <v>84</v>
      </c>
      <c r="B22" s="1" t="s">
        <v>129</v>
      </c>
      <c r="C22" s="1"/>
      <c r="D22" s="33">
        <v>2017</v>
      </c>
      <c r="E22" s="1">
        <v>1</v>
      </c>
      <c r="F22" s="1">
        <v>0</v>
      </c>
      <c r="G22" s="1">
        <v>0</v>
      </c>
      <c r="H22" s="1"/>
      <c r="I22" s="1"/>
      <c r="J22" s="68">
        <v>5.3</v>
      </c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67"/>
      <c r="W22" s="67">
        <v>1</v>
      </c>
      <c r="X22" s="9"/>
      <c r="Y22" s="49"/>
      <c r="Z22" s="67"/>
      <c r="AA22" s="20"/>
      <c r="AB22" s="19"/>
      <c r="AC22" s="9"/>
      <c r="AD22" s="19"/>
      <c r="AE22" s="68"/>
      <c r="AF22" s="68"/>
      <c r="AG22" s="68"/>
      <c r="AH22" s="1"/>
      <c r="AI22" s="1"/>
      <c r="AJ22" s="1"/>
      <c r="AK22" s="1"/>
      <c r="AL22" s="1"/>
      <c r="AM22" s="1">
        <v>0.5</v>
      </c>
      <c r="AN22" s="1">
        <v>0</v>
      </c>
      <c r="AO22" s="1"/>
      <c r="AP22" s="1"/>
      <c r="AQ22" s="1"/>
      <c r="AR22" s="68"/>
      <c r="AS22" s="1"/>
      <c r="AT22" s="19"/>
      <c r="AU22" s="19"/>
      <c r="AV22" s="19"/>
      <c r="AW22" s="8"/>
      <c r="AX22" s="8"/>
      <c r="AY22" s="8"/>
      <c r="AZ22" s="8"/>
      <c r="BA22" s="8"/>
      <c r="BB22" s="68"/>
      <c r="BC22" s="68"/>
      <c r="BD22" s="1"/>
      <c r="BE22" s="1"/>
      <c r="BF22" s="1"/>
      <c r="BG22" s="1"/>
      <c r="BH22" s="1"/>
      <c r="BI22" s="1"/>
      <c r="BJ22" s="1"/>
      <c r="BK22" s="1"/>
      <c r="BL22" s="33">
        <v>752</v>
      </c>
      <c r="BM22" s="1"/>
      <c r="BN22" s="13"/>
      <c r="BO22" s="1"/>
      <c r="BP22" s="13"/>
      <c r="BQ22" s="33">
        <v>752</v>
      </c>
      <c r="BR22" s="13"/>
      <c r="BS22" s="13"/>
      <c r="BT22" s="1"/>
      <c r="BU22" s="13"/>
      <c r="BV22" s="13"/>
      <c r="BW22" s="1"/>
      <c r="BX22" s="33">
        <v>752</v>
      </c>
      <c r="BY22" s="1"/>
      <c r="BZ22" s="1"/>
      <c r="CA22" s="1"/>
      <c r="CB22" s="1"/>
      <c r="CC22" s="1"/>
      <c r="CD22" s="1"/>
      <c r="CE22" s="1"/>
      <c r="CF22" s="1"/>
      <c r="CG22" s="1"/>
      <c r="CH22" s="1"/>
    </row>
    <row r="23" spans="1:86" x14ac:dyDescent="0.25">
      <c r="A23" s="1" t="s">
        <v>953</v>
      </c>
      <c r="B23" s="1" t="s">
        <v>129</v>
      </c>
      <c r="C23" s="1"/>
      <c r="D23" s="33">
        <v>2017</v>
      </c>
      <c r="E23" s="1">
        <v>1</v>
      </c>
      <c r="F23" s="1">
        <v>0</v>
      </c>
      <c r="G23" s="1">
        <v>0</v>
      </c>
      <c r="H23" s="1"/>
      <c r="I23" s="1"/>
      <c r="J23" s="68">
        <v>2.2000000000000002</v>
      </c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67"/>
      <c r="W23" s="67">
        <v>1</v>
      </c>
      <c r="X23" s="9"/>
      <c r="Y23" s="49"/>
      <c r="Z23" s="67"/>
      <c r="AA23" s="20"/>
      <c r="AB23" s="19"/>
      <c r="AC23" s="9"/>
      <c r="AD23" s="19"/>
      <c r="AE23" s="68"/>
      <c r="AF23" s="68"/>
      <c r="AG23" s="68"/>
      <c r="AH23" s="1"/>
      <c r="AI23" s="1"/>
      <c r="AJ23" s="1"/>
      <c r="AK23" s="1"/>
      <c r="AL23" s="1"/>
      <c r="AM23" s="1">
        <v>3</v>
      </c>
      <c r="AN23" s="1">
        <v>0</v>
      </c>
      <c r="AO23" s="1"/>
      <c r="AP23" s="1"/>
      <c r="AQ23" s="1"/>
      <c r="AR23" s="68"/>
      <c r="AS23" s="1"/>
      <c r="AT23" s="19"/>
      <c r="AU23" s="19"/>
      <c r="AV23" s="19"/>
      <c r="AW23" s="8"/>
      <c r="AX23" s="8"/>
      <c r="AY23" s="8"/>
      <c r="AZ23" s="8"/>
      <c r="BA23" s="8"/>
      <c r="BB23" s="68"/>
      <c r="BC23" s="68"/>
      <c r="BD23" s="1"/>
      <c r="BE23" s="1"/>
      <c r="BF23" s="1"/>
      <c r="BG23" s="1"/>
      <c r="BH23" s="1"/>
      <c r="BI23" s="1"/>
      <c r="BJ23" s="1"/>
      <c r="BK23" s="1"/>
      <c r="BL23" s="33">
        <v>752</v>
      </c>
      <c r="BM23" s="1"/>
      <c r="BN23" s="13"/>
      <c r="BO23" s="1"/>
      <c r="BP23" s="13"/>
      <c r="BQ23" s="33">
        <v>752</v>
      </c>
      <c r="BR23" s="13"/>
      <c r="BS23" s="13"/>
      <c r="BT23" s="1"/>
      <c r="BU23" s="13"/>
      <c r="BV23" s="13"/>
      <c r="BW23" s="1"/>
      <c r="BX23" s="33">
        <v>752</v>
      </c>
      <c r="BY23" s="1"/>
      <c r="BZ23" s="1"/>
      <c r="CA23" s="1"/>
      <c r="CB23" s="1"/>
      <c r="CC23" s="1"/>
      <c r="CD23" s="1"/>
      <c r="CE23" s="1"/>
      <c r="CF23" s="1"/>
      <c r="CG23" s="1"/>
      <c r="CH23" s="1"/>
    </row>
    <row r="24" spans="1:86" x14ac:dyDescent="0.25">
      <c r="A24" s="1" t="s">
        <v>1006</v>
      </c>
      <c r="B24" s="1" t="s">
        <v>129</v>
      </c>
      <c r="C24" s="1"/>
      <c r="D24" s="33">
        <v>2017</v>
      </c>
      <c r="E24" s="1">
        <v>1</v>
      </c>
      <c r="F24" s="1">
        <v>0</v>
      </c>
      <c r="G24" s="1">
        <v>0</v>
      </c>
      <c r="H24" s="1"/>
      <c r="I24" s="1"/>
      <c r="J24" s="68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67"/>
      <c r="W24" s="67"/>
      <c r="X24" s="9"/>
      <c r="Y24" s="49"/>
      <c r="Z24" s="67"/>
      <c r="AA24" s="20"/>
      <c r="AB24" s="19"/>
      <c r="AC24" s="9"/>
      <c r="AD24" s="19"/>
      <c r="AE24" s="68"/>
      <c r="AF24" s="68"/>
      <c r="AG24" s="68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68"/>
      <c r="AS24" s="1"/>
      <c r="AT24" s="19"/>
      <c r="AU24" s="19"/>
      <c r="AV24" s="19"/>
      <c r="AW24" s="8"/>
      <c r="AX24" s="8"/>
      <c r="AY24" s="8"/>
      <c r="AZ24" s="8"/>
      <c r="BA24" s="8"/>
      <c r="BB24" s="68"/>
      <c r="BC24" s="68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3"/>
      <c r="BO24" s="1"/>
      <c r="BP24" s="13"/>
      <c r="BQ24" s="13"/>
      <c r="BR24" s="13"/>
      <c r="BS24" s="13"/>
      <c r="BT24" s="1"/>
      <c r="BU24" s="13"/>
      <c r="BV24" s="13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</row>
    <row r="25" spans="1:86" x14ac:dyDescent="0.25">
      <c r="A25" s="1" t="s">
        <v>403</v>
      </c>
      <c r="B25" s="1" t="s">
        <v>130</v>
      </c>
      <c r="C25" s="1"/>
      <c r="D25" s="33">
        <v>2017</v>
      </c>
      <c r="E25" s="1">
        <v>1</v>
      </c>
      <c r="F25" s="1">
        <v>0</v>
      </c>
      <c r="G25" s="1">
        <v>0</v>
      </c>
      <c r="H25" s="1"/>
      <c r="I25" s="1"/>
      <c r="J25" s="68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67"/>
      <c r="W25" s="67"/>
      <c r="X25" s="9"/>
      <c r="Y25" s="49"/>
      <c r="Z25" s="67"/>
      <c r="AA25" s="20"/>
      <c r="AB25" s="19"/>
      <c r="AC25" s="9"/>
      <c r="AD25" s="19"/>
      <c r="AE25" s="68"/>
      <c r="AF25" s="68"/>
      <c r="AG25" s="68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68"/>
      <c r="AS25" s="1"/>
      <c r="AT25" s="19"/>
      <c r="AU25" s="19"/>
      <c r="AV25" s="19"/>
      <c r="AW25" s="8"/>
      <c r="AX25" s="8"/>
      <c r="AY25" s="8"/>
      <c r="AZ25" s="8"/>
      <c r="BA25" s="8"/>
      <c r="BB25" s="68"/>
      <c r="BC25" s="68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3"/>
      <c r="BO25" s="1"/>
      <c r="BP25" s="13"/>
      <c r="BQ25" s="13"/>
      <c r="BR25" s="13"/>
      <c r="BS25" s="13"/>
      <c r="BT25" s="1"/>
      <c r="BU25" s="13"/>
      <c r="BV25" s="13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</row>
    <row r="26" spans="1:86" x14ac:dyDescent="0.25">
      <c r="A26" s="1" t="s">
        <v>834</v>
      </c>
      <c r="B26" s="1" t="s">
        <v>142</v>
      </c>
      <c r="C26" s="1"/>
      <c r="D26" s="33">
        <v>2017</v>
      </c>
      <c r="E26" s="1">
        <v>1</v>
      </c>
      <c r="F26" s="1">
        <v>0</v>
      </c>
      <c r="G26" s="1">
        <v>0</v>
      </c>
      <c r="H26" s="1"/>
      <c r="I26" s="1"/>
      <c r="J26" s="68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67"/>
      <c r="W26" s="67"/>
      <c r="X26" s="9"/>
      <c r="Y26" s="49"/>
      <c r="Z26" s="67"/>
      <c r="AA26" s="20"/>
      <c r="AB26" s="19"/>
      <c r="AC26" s="9"/>
      <c r="AD26" s="19"/>
      <c r="AE26" s="68"/>
      <c r="AF26" s="68"/>
      <c r="AG26" s="68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68"/>
      <c r="AS26" s="1"/>
      <c r="AT26" s="19"/>
      <c r="AU26" s="19"/>
      <c r="AV26" s="19"/>
      <c r="AW26" s="8"/>
      <c r="AX26" s="8"/>
      <c r="AY26" s="8"/>
      <c r="AZ26" s="8"/>
      <c r="BA26" s="8"/>
      <c r="BB26" s="68"/>
      <c r="BC26" s="68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3"/>
      <c r="BO26" s="1"/>
      <c r="BP26" s="13"/>
      <c r="BQ26" s="13"/>
      <c r="BR26" s="13"/>
      <c r="BS26" s="13"/>
      <c r="BT26" s="1"/>
      <c r="BU26" s="13"/>
      <c r="BV26" s="13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BT8"/>
  <sheetViews>
    <sheetView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I7" sqref="AI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2" width="24.42578125" style="1" customWidth="1"/>
    <col min="23" max="23" width="37.7109375" style="1" bestFit="1" customWidth="1"/>
    <col min="24" max="25" width="24.7109375" style="1" customWidth="1"/>
    <col min="26" max="26" width="28.42578125" style="1" customWidth="1"/>
    <col min="27" max="27" width="27.42578125" style="1" bestFit="1" customWidth="1"/>
    <col min="28" max="29" width="27.42578125" style="1" customWidth="1"/>
    <col min="30" max="30" width="20.7109375" style="1" bestFit="1" customWidth="1"/>
    <col min="31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844</v>
      </c>
      <c r="H1" s="2" t="s">
        <v>49</v>
      </c>
      <c r="I1" s="2" t="s">
        <v>149</v>
      </c>
      <c r="J1" s="2" t="s">
        <v>50</v>
      </c>
      <c r="K1" s="2" t="s">
        <v>857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856</v>
      </c>
      <c r="Q1" s="2" t="s">
        <v>56</v>
      </c>
      <c r="R1" s="2" t="s">
        <v>55</v>
      </c>
      <c r="S1" s="2" t="s">
        <v>87</v>
      </c>
      <c r="T1" s="2" t="s">
        <v>332</v>
      </c>
      <c r="U1" s="2" t="s">
        <v>865</v>
      </c>
      <c r="V1" s="2" t="s">
        <v>237</v>
      </c>
      <c r="W1" s="2" t="s">
        <v>116</v>
      </c>
      <c r="X1" s="2" t="s">
        <v>57</v>
      </c>
      <c r="Y1" s="2" t="s">
        <v>123</v>
      </c>
      <c r="Z1" s="2" t="s">
        <v>58</v>
      </c>
      <c r="AA1" s="2" t="s">
        <v>9</v>
      </c>
      <c r="AB1" s="2" t="s">
        <v>431</v>
      </c>
      <c r="AC1" s="2" t="s">
        <v>227</v>
      </c>
      <c r="AD1" s="2" t="s">
        <v>159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3</v>
      </c>
      <c r="AK1" s="2" t="s">
        <v>10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1161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58" t="s">
        <v>29</v>
      </c>
      <c r="B2" s="1" t="s">
        <v>129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59"/>
      <c r="N2" s="59"/>
      <c r="O2" s="59"/>
      <c r="P2" s="59"/>
      <c r="Q2" s="59"/>
      <c r="R2" s="60"/>
      <c r="S2" s="61"/>
      <c r="T2" s="62"/>
      <c r="U2" s="97">
        <f>Tabelle58971114292527[[#This Row],[Durchschnittsauslastung]]*8760</f>
        <v>7358.4</v>
      </c>
      <c r="V2" s="61">
        <v>0.84</v>
      </c>
      <c r="W2" s="60">
        <f>Tabelle58971114292527[[#This Row],[Durchschnittsauslastung]]*Tabelle58971114292527[[#This Row],[installierte Leistung MW]]</f>
        <v>2108.4</v>
      </c>
      <c r="X2" s="59"/>
      <c r="Y2" s="62"/>
      <c r="Z2" s="59">
        <f>1100+1410</f>
        <v>2510</v>
      </c>
      <c r="AA2" s="63"/>
      <c r="AB2" s="63"/>
      <c r="AC2" s="63"/>
      <c r="AD2" s="58"/>
      <c r="AE2" s="58"/>
      <c r="AF2" s="58"/>
      <c r="AG2" s="58"/>
      <c r="AH2" s="58"/>
      <c r="AI2" s="58"/>
      <c r="AJ2" s="58"/>
      <c r="AK2" s="58"/>
      <c r="AL2" s="58"/>
      <c r="AM2" s="63"/>
      <c r="AN2" s="58"/>
      <c r="AO2" s="59"/>
      <c r="AP2" s="59"/>
      <c r="AQ2" s="59"/>
      <c r="AR2" s="64"/>
      <c r="AS2" s="64"/>
      <c r="AT2" s="64"/>
      <c r="AU2" s="64"/>
      <c r="AV2" s="64"/>
      <c r="AW2" s="58"/>
      <c r="AX2" s="1" t="s">
        <v>994</v>
      </c>
      <c r="AY2" s="58">
        <v>5</v>
      </c>
      <c r="AZ2" s="58">
        <v>5</v>
      </c>
      <c r="BA2" s="65"/>
      <c r="BB2" s="58"/>
      <c r="BC2" s="65"/>
      <c r="BD2" s="65"/>
      <c r="BE2" s="65"/>
      <c r="BF2" s="65"/>
      <c r="BG2" s="58"/>
      <c r="BH2" s="65"/>
      <c r="BI2" s="65"/>
      <c r="BJ2" s="58"/>
      <c r="BK2" s="58"/>
      <c r="BL2" s="58"/>
      <c r="BM2" s="58"/>
      <c r="BN2" s="58"/>
      <c r="BO2" s="58"/>
      <c r="BP2" s="58"/>
      <c r="BQ2" s="58"/>
      <c r="BR2" s="58"/>
      <c r="BS2" s="58">
        <v>5</v>
      </c>
      <c r="BT2" s="58"/>
    </row>
    <row r="3" spans="1:72" x14ac:dyDescent="0.2">
      <c r="A3" s="58" t="s">
        <v>84</v>
      </c>
      <c r="B3" s="1" t="s">
        <v>129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59"/>
      <c r="N3" s="59"/>
      <c r="O3" s="59"/>
      <c r="P3" s="59"/>
      <c r="Q3" s="59"/>
      <c r="R3" s="60"/>
      <c r="S3" s="61"/>
      <c r="T3" s="62"/>
      <c r="U3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V3" s="61">
        <f>IF(Tabelle58971114292527[[#This Row],[Vollbenutzungsstunden h/a]]&lt;&gt;"",Tabelle58971114292527[[#This Row],[Vollbenutzungsstunden h/a]]/8760,"")</f>
        <v>0.74233906089159873</v>
      </c>
      <c r="W3" s="60">
        <f>Tabelle58971114292527[[#This Row],[Durchschnittsauslastung]]*Tabelle58971114292527[[#This Row],[installierte Leistung MW]]</f>
        <v>1284.2465753424658</v>
      </c>
      <c r="X3" s="59"/>
      <c r="Y3" s="62"/>
      <c r="Z3" s="59">
        <v>1730</v>
      </c>
      <c r="AA3" s="63"/>
      <c r="AB3" s="63"/>
      <c r="AC3" s="63"/>
      <c r="AD3" s="58"/>
      <c r="AE3" s="58"/>
      <c r="AF3" s="58"/>
      <c r="AG3" s="58"/>
      <c r="AH3" s="58"/>
      <c r="AI3" s="58"/>
      <c r="AJ3" s="58"/>
      <c r="AK3" s="58"/>
      <c r="AL3" s="58"/>
      <c r="AM3" s="63"/>
      <c r="AN3" s="58"/>
      <c r="AO3" s="59"/>
      <c r="AP3" s="59"/>
      <c r="AQ3" s="59"/>
      <c r="AR3" s="64"/>
      <c r="AS3" s="64"/>
      <c r="AT3" s="64"/>
      <c r="AU3" s="64"/>
      <c r="AV3" s="64"/>
      <c r="AW3" s="58"/>
      <c r="AX3" s="1" t="s">
        <v>997</v>
      </c>
      <c r="AY3" s="58">
        <v>5</v>
      </c>
      <c r="AZ3" s="58">
        <v>5</v>
      </c>
      <c r="BA3" s="65"/>
      <c r="BB3" s="58"/>
      <c r="BC3" s="65"/>
      <c r="BD3" s="65"/>
      <c r="BE3" s="65"/>
      <c r="BF3" s="65"/>
      <c r="BG3" s="58"/>
      <c r="BH3" s="65"/>
      <c r="BI3" s="65"/>
      <c r="BJ3" s="58"/>
      <c r="BK3" s="58"/>
      <c r="BL3" s="58"/>
      <c r="BM3" s="58"/>
      <c r="BN3" s="58"/>
      <c r="BO3" s="58"/>
      <c r="BP3" s="58"/>
      <c r="BQ3" s="58"/>
      <c r="BR3" s="58"/>
      <c r="BS3" s="58">
        <v>5</v>
      </c>
      <c r="BT3" s="58"/>
    </row>
    <row r="4" spans="1:72" x14ac:dyDescent="0.2">
      <c r="A4" s="58" t="s">
        <v>77</v>
      </c>
      <c r="B4" s="1" t="s">
        <v>129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59"/>
      <c r="N4" s="59"/>
      <c r="O4" s="59"/>
      <c r="P4" s="59"/>
      <c r="Q4" s="59"/>
      <c r="R4" s="60"/>
      <c r="S4" s="61"/>
      <c r="T4" s="62"/>
      <c r="U4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V4" s="61">
        <f>IF(Tabelle58971114292527[[#This Row],[Vollbenutzungsstunden h/a]]&lt;&gt;"",Tabelle58971114292527[[#This Row],[Vollbenutzungsstunden h/a]]/8760,"")</f>
        <v>0.69318369367882493</v>
      </c>
      <c r="W4" s="60">
        <f>Tabelle58971114292527[[#This Row],[Durchschnittsauslastung]]*Tabelle58971114292527[[#This Row],[installierte Leistung MW]]</f>
        <v>575.34246575342468</v>
      </c>
      <c r="X4" s="59"/>
      <c r="Y4" s="62"/>
      <c r="Z4" s="59">
        <v>830</v>
      </c>
      <c r="AA4" s="63"/>
      <c r="AB4" s="63"/>
      <c r="AC4" s="63"/>
      <c r="AD4" s="58"/>
      <c r="AE4" s="58"/>
      <c r="AF4" s="58"/>
      <c r="AG4" s="58"/>
      <c r="AH4" s="58"/>
      <c r="AI4" s="58"/>
      <c r="AJ4" s="58"/>
      <c r="AK4" s="58"/>
      <c r="AL4" s="58"/>
      <c r="AM4" s="63"/>
      <c r="AN4" s="58"/>
      <c r="AO4" s="59"/>
      <c r="AP4" s="59"/>
      <c r="AQ4" s="59"/>
      <c r="AR4" s="64"/>
      <c r="AS4" s="64"/>
      <c r="AT4" s="64"/>
      <c r="AU4" s="64"/>
      <c r="AV4" s="64"/>
      <c r="AW4" s="58"/>
      <c r="AX4" s="1" t="s">
        <v>996</v>
      </c>
      <c r="AY4" s="58">
        <v>5</v>
      </c>
      <c r="AZ4" s="58">
        <v>5</v>
      </c>
      <c r="BA4" s="65"/>
      <c r="BB4" s="58"/>
      <c r="BC4" s="65"/>
      <c r="BD4" s="65"/>
      <c r="BE4" s="65"/>
      <c r="BF4" s="65"/>
      <c r="BG4" s="58"/>
      <c r="BH4" s="65"/>
      <c r="BI4" s="65"/>
      <c r="BJ4" s="58"/>
      <c r="BK4" s="58"/>
      <c r="BL4" s="58"/>
      <c r="BM4" s="58"/>
      <c r="BN4" s="58"/>
      <c r="BO4" s="58"/>
      <c r="BP4" s="58"/>
      <c r="BQ4" s="58"/>
      <c r="BR4" s="58"/>
      <c r="BS4" s="58">
        <v>5</v>
      </c>
      <c r="BT4" s="58"/>
    </row>
    <row r="5" spans="1:72" x14ac:dyDescent="0.2">
      <c r="A5" s="58" t="s">
        <v>54</v>
      </c>
      <c r="B5" s="1" t="s">
        <v>129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59"/>
      <c r="N5" s="59"/>
      <c r="O5" s="59"/>
      <c r="P5" s="59"/>
      <c r="Q5" s="59"/>
      <c r="R5" s="60"/>
      <c r="S5" s="61"/>
      <c r="T5" s="62"/>
      <c r="U5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V5" s="61">
        <f>IF(Tabelle58971114292527[[#This Row],[Vollbenutzungsstunden h/a]]&lt;&gt;"",Tabelle58971114292527[[#This Row],[Vollbenutzungsstunden h/a]]/8760,"")</f>
        <v>0.99410197869101991</v>
      </c>
      <c r="W5" s="60">
        <f>Tabelle58971114292527[[#This Row],[Durchschnittsauslastung]]*Tabelle58971114292527[[#This Row],[installierte Leistung MW]]</f>
        <v>715.75342465753431</v>
      </c>
      <c r="X5" s="59"/>
      <c r="Y5" s="62"/>
      <c r="Z5" s="59">
        <v>720</v>
      </c>
      <c r="AA5" s="63"/>
      <c r="AB5" s="63"/>
      <c r="AC5" s="63"/>
      <c r="AD5" s="58"/>
      <c r="AE5" s="58"/>
      <c r="AF5" s="58"/>
      <c r="AG5" s="58"/>
      <c r="AH5" s="58"/>
      <c r="AI5" s="58"/>
      <c r="AJ5" s="58"/>
      <c r="AK5" s="58"/>
      <c r="AL5" s="58"/>
      <c r="AM5" s="63"/>
      <c r="AN5" s="58"/>
      <c r="AO5" s="59"/>
      <c r="AP5" s="59"/>
      <c r="AQ5" s="59"/>
      <c r="AR5" s="64"/>
      <c r="AS5" s="64"/>
      <c r="AT5" s="64"/>
      <c r="AU5" s="64"/>
      <c r="AV5" s="64"/>
      <c r="AW5" s="58"/>
      <c r="AX5" s="1" t="s">
        <v>995</v>
      </c>
      <c r="AY5" s="58">
        <v>5</v>
      </c>
      <c r="AZ5" s="58">
        <v>5</v>
      </c>
      <c r="BA5" s="65"/>
      <c r="BB5" s="58"/>
      <c r="BC5" s="65"/>
      <c r="BD5" s="65"/>
      <c r="BE5" s="65"/>
      <c r="BF5" s="65"/>
      <c r="BG5" s="58"/>
      <c r="BH5" s="65"/>
      <c r="BI5" s="65"/>
      <c r="BJ5" s="58"/>
      <c r="BK5" s="58"/>
      <c r="BL5" s="58"/>
      <c r="BM5" s="58"/>
      <c r="BN5" s="58"/>
      <c r="BO5" s="58"/>
      <c r="BP5" s="58"/>
      <c r="BQ5" s="58"/>
      <c r="BR5" s="58"/>
      <c r="BS5" s="58">
        <v>5</v>
      </c>
      <c r="BT5" s="58"/>
    </row>
    <row r="6" spans="1:72" x14ac:dyDescent="0.2">
      <c r="A6" s="58" t="s">
        <v>953</v>
      </c>
      <c r="B6" s="1" t="s">
        <v>129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59"/>
      <c r="N6" s="59"/>
      <c r="O6" s="59"/>
      <c r="P6" s="59"/>
      <c r="Q6" s="59"/>
      <c r="R6" s="60"/>
      <c r="S6" s="61"/>
      <c r="T6" s="62"/>
      <c r="U6" s="97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V6" s="61">
        <f>IF(Tabelle58971114292527[[#This Row],[Vollbenutzungsstunden h/a]]&lt;&gt;"",Tabelle58971114292527[[#This Row],[Vollbenutzungsstunden h/a]]/8760,"")</f>
        <v>0.86686643835616439</v>
      </c>
      <c r="W6" s="60">
        <f>Tabelle58971114292527[[#This Row],[Durchschnittsauslastung]]*Tabelle58971114292527[[#This Row],[installierte Leistung MW]]</f>
        <v>277.39726027397262</v>
      </c>
      <c r="X6" s="59"/>
      <c r="Y6" s="62"/>
      <c r="Z6" s="59">
        <v>320</v>
      </c>
      <c r="AA6" s="63"/>
      <c r="AB6" s="63"/>
      <c r="AC6" s="63"/>
      <c r="AD6" s="58"/>
      <c r="AE6" s="58"/>
      <c r="AF6" s="58"/>
      <c r="AG6" s="58"/>
      <c r="AH6" s="58"/>
      <c r="AI6" s="58"/>
      <c r="AJ6" s="58"/>
      <c r="AK6" s="58"/>
      <c r="AL6" s="58"/>
      <c r="AM6" s="63"/>
      <c r="AN6" s="58"/>
      <c r="AO6" s="59"/>
      <c r="AP6" s="59"/>
      <c r="AQ6" s="59"/>
      <c r="AR6" s="64"/>
      <c r="AS6" s="64"/>
      <c r="AT6" s="64"/>
      <c r="AU6" s="64"/>
      <c r="AV6" s="64"/>
      <c r="AW6" s="58"/>
      <c r="AX6" s="1" t="s">
        <v>998</v>
      </c>
      <c r="AY6" s="58">
        <v>5</v>
      </c>
      <c r="AZ6" s="58">
        <v>5</v>
      </c>
      <c r="BA6" s="65"/>
      <c r="BB6" s="58"/>
      <c r="BC6" s="65"/>
      <c r="BD6" s="65"/>
      <c r="BE6" s="65"/>
      <c r="BF6" s="65"/>
      <c r="BG6" s="58"/>
      <c r="BH6" s="65"/>
      <c r="BI6" s="65"/>
      <c r="BJ6" s="58"/>
      <c r="BK6" s="58"/>
      <c r="BL6" s="58"/>
      <c r="BM6" s="58"/>
      <c r="BN6" s="58"/>
      <c r="BO6" s="58"/>
      <c r="BP6" s="58"/>
      <c r="BQ6" s="58"/>
      <c r="BR6" s="58"/>
      <c r="BS6" s="58">
        <v>5</v>
      </c>
      <c r="BT6" s="58"/>
    </row>
    <row r="7" spans="1:72" x14ac:dyDescent="0.2">
      <c r="A7" s="1" t="s">
        <v>1006</v>
      </c>
      <c r="B7" s="1" t="s">
        <v>129</v>
      </c>
      <c r="C7" s="58">
        <v>2011</v>
      </c>
      <c r="D7" s="58">
        <v>1</v>
      </c>
      <c r="E7" s="58">
        <v>0</v>
      </c>
      <c r="F7" s="58">
        <v>0</v>
      </c>
      <c r="G7" s="58"/>
      <c r="H7" s="59"/>
      <c r="I7" s="59">
        <v>1180</v>
      </c>
      <c r="J7" s="59"/>
      <c r="K7" s="59">
        <v>4920</v>
      </c>
      <c r="L7" s="59"/>
      <c r="M7" s="59"/>
      <c r="N7" s="59">
        <v>230</v>
      </c>
      <c r="O7" s="59"/>
      <c r="P7" s="59">
        <v>1860</v>
      </c>
      <c r="Q7" s="59"/>
      <c r="R7" s="60"/>
      <c r="S7" s="61"/>
      <c r="T7" s="62"/>
      <c r="U7" s="97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V7" s="61" t="str">
        <f>IF(Tabelle58971114292527[[#This Row],[Vollbenutzungsstunden h/a]]&lt;&gt;"",Tabelle58971114292527[[#This Row],[Vollbenutzungsstunden h/a]]/8760,"")</f>
        <v/>
      </c>
      <c r="W7" s="60"/>
      <c r="X7" s="59"/>
      <c r="Y7" s="62"/>
      <c r="Z7" s="59"/>
      <c r="AA7" s="63"/>
      <c r="AB7" s="63"/>
      <c r="AC7" s="63"/>
      <c r="AD7" s="58"/>
      <c r="AE7" s="58"/>
      <c r="AF7" s="58"/>
      <c r="AG7" s="58"/>
      <c r="AH7" s="58"/>
      <c r="AI7" s="58"/>
      <c r="AJ7" s="58"/>
      <c r="AK7" s="58"/>
      <c r="AL7" s="58"/>
      <c r="AM7" s="63"/>
      <c r="AN7" s="58"/>
      <c r="AO7" s="59"/>
      <c r="AP7" s="59"/>
      <c r="AQ7" s="59"/>
      <c r="AR7" s="64"/>
      <c r="AS7" s="64"/>
      <c r="AT7" s="64"/>
      <c r="AU7" s="64"/>
      <c r="AV7" s="64"/>
      <c r="AW7" s="58"/>
      <c r="AX7" s="58"/>
      <c r="AY7" s="58"/>
      <c r="AZ7" s="58"/>
      <c r="BA7" s="65"/>
      <c r="BB7" s="58"/>
      <c r="BC7" s="65"/>
      <c r="BD7" s="65"/>
      <c r="BE7" s="65"/>
      <c r="BF7" s="65"/>
      <c r="BG7" s="58"/>
      <c r="BH7" s="65"/>
      <c r="BI7" s="65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</row>
    <row r="8" spans="1:72" x14ac:dyDescent="0.2">
      <c r="A8" s="58" t="s">
        <v>1007</v>
      </c>
      <c r="B8" s="1" t="s">
        <v>129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/>
      <c r="J8" s="59">
        <v>1490</v>
      </c>
      <c r="K8" s="59">
        <v>6750</v>
      </c>
      <c r="L8" s="59"/>
      <c r="M8" s="59"/>
      <c r="N8" s="59"/>
      <c r="O8" s="59"/>
      <c r="P8" s="59"/>
      <c r="Q8" s="59"/>
      <c r="R8" s="60"/>
      <c r="S8" s="61"/>
      <c r="T8" s="62"/>
      <c r="U8" s="97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V8" s="61" t="str">
        <f>IF(Tabelle58971114292527[[#This Row],[Vollbenutzungsstunden h/a]]&lt;&gt;"",Tabelle58971114292527[[#This Row],[Vollbenutzungsstunden h/a]]/8760,"")</f>
        <v/>
      </c>
      <c r="W8" s="60"/>
      <c r="X8" s="59"/>
      <c r="Y8" s="62"/>
      <c r="Z8" s="59"/>
      <c r="AA8" s="63"/>
      <c r="AB8" s="63"/>
      <c r="AC8" s="63"/>
      <c r="AD8" s="58"/>
      <c r="AE8" s="58"/>
      <c r="AF8" s="58"/>
      <c r="AG8" s="58"/>
      <c r="AH8" s="58"/>
      <c r="AI8" s="58"/>
      <c r="AJ8" s="58"/>
      <c r="AK8" s="58"/>
      <c r="AL8" s="58"/>
      <c r="AM8" s="63"/>
      <c r="AN8" s="58"/>
      <c r="AO8" s="59"/>
      <c r="AP8" s="59"/>
      <c r="AQ8" s="59"/>
      <c r="AR8" s="64"/>
      <c r="AS8" s="64"/>
      <c r="AT8" s="64"/>
      <c r="AU8" s="64"/>
      <c r="AV8" s="64"/>
      <c r="AW8" s="58"/>
      <c r="AX8" s="58"/>
      <c r="AY8" s="58"/>
      <c r="AZ8" s="58"/>
      <c r="BA8" s="65"/>
      <c r="BB8" s="58"/>
      <c r="BC8" s="65"/>
      <c r="BD8" s="65"/>
      <c r="BE8" s="65"/>
      <c r="BF8" s="65"/>
      <c r="BG8" s="58"/>
      <c r="BH8" s="65"/>
      <c r="BI8" s="65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156</v>
      </c>
      <c r="K1" s="2" t="s">
        <v>158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332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228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107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330</v>
      </c>
      <c r="B3" s="1" t="s">
        <v>129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331</v>
      </c>
      <c r="B4" s="1" t="s">
        <v>129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84</v>
      </c>
      <c r="B5" s="1" t="s">
        <v>129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190</v>
      </c>
      <c r="B6" s="1" t="s">
        <v>129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132</v>
      </c>
      <c r="B7" s="33" t="s">
        <v>142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133</v>
      </c>
      <c r="B8" s="33" t="s">
        <v>142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134</v>
      </c>
      <c r="B9" s="33" t="s">
        <v>142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137</v>
      </c>
      <c r="B10" s="1" t="s">
        <v>142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135</v>
      </c>
      <c r="B11" s="1" t="s">
        <v>142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BX1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T4" sqref="BT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3" width="24.42578125" style="1" customWidth="1"/>
    <col min="24" max="24" width="37.7109375" style="1" bestFit="1" customWidth="1"/>
    <col min="25" max="25" width="37.7109375" style="1" customWidth="1"/>
    <col min="26" max="28" width="24.7109375" style="1" customWidth="1"/>
    <col min="29" max="30" width="28.42578125" style="1" customWidth="1"/>
    <col min="31" max="31" width="27.42578125" style="1" bestFit="1" customWidth="1"/>
    <col min="32" max="33" width="27.42578125" style="1" customWidth="1"/>
    <col min="34" max="34" width="20.7109375" style="1" bestFit="1" customWidth="1"/>
    <col min="35" max="39" width="20.7109375" style="1" customWidth="1"/>
    <col min="40" max="40" width="25.85546875" style="1" bestFit="1" customWidth="1"/>
    <col min="41" max="41" width="29.7109375" style="1" bestFit="1" customWidth="1"/>
    <col min="42" max="42" width="24" style="1" bestFit="1" customWidth="1"/>
    <col min="43" max="43" width="38.28515625" style="1" bestFit="1" customWidth="1"/>
    <col min="44" max="46" width="38.28515625" style="1" customWidth="1"/>
    <col min="47" max="47" width="38.28515625" style="1" bestFit="1" customWidth="1"/>
    <col min="48" max="49" width="38.28515625" style="1" customWidth="1"/>
    <col min="50" max="50" width="33.42578125" style="1" bestFit="1" customWidth="1"/>
    <col min="51" max="51" width="33.42578125" style="1" customWidth="1"/>
    <col min="52" max="52" width="25.7109375" style="1" bestFit="1" customWidth="1"/>
    <col min="53" max="53" width="25.7109375" style="1" customWidth="1"/>
    <col min="54" max="54" width="56.7109375" style="1" bestFit="1" customWidth="1"/>
    <col min="55" max="56" width="35.5703125" style="1" customWidth="1"/>
    <col min="57" max="57" width="31.7109375" style="1" bestFit="1" customWidth="1"/>
    <col min="58" max="58" width="31.5703125" style="1" bestFit="1" customWidth="1"/>
    <col min="59" max="63" width="31.5703125" style="1" customWidth="1"/>
    <col min="64" max="64" width="37.42578125" style="1" bestFit="1" customWidth="1"/>
    <col min="65" max="65" width="35.7109375" style="1" bestFit="1" customWidth="1"/>
    <col min="66" max="66" width="28.85546875" style="1" bestFit="1" customWidth="1"/>
    <col min="67" max="67" width="34" style="1" bestFit="1" customWidth="1"/>
    <col min="68" max="68" width="37.85546875" style="1" bestFit="1" customWidth="1"/>
    <col min="69" max="69" width="34.42578125" style="1" bestFit="1" customWidth="1"/>
    <col min="70" max="70" width="38.140625" style="1" bestFit="1" customWidth="1"/>
    <col min="71" max="71" width="22.85546875" style="1" bestFit="1" customWidth="1"/>
    <col min="72" max="72" width="28.5703125" style="1" bestFit="1" customWidth="1"/>
    <col min="73" max="73" width="28.28515625" style="1" bestFit="1" customWidth="1"/>
    <col min="74" max="74" width="28.28515625" style="1" customWidth="1"/>
    <col min="75" max="75" width="31" style="1" bestFit="1" customWidth="1"/>
    <col min="76" max="76" width="28.85546875" style="1" bestFit="1" customWidth="1"/>
    <col min="77" max="16384" width="11.42578125" style="1"/>
  </cols>
  <sheetData>
    <row r="1" spans="1:7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844</v>
      </c>
      <c r="H1" s="2" t="s">
        <v>49</v>
      </c>
      <c r="I1" s="2" t="s">
        <v>149</v>
      </c>
      <c r="J1" s="2" t="s">
        <v>1008</v>
      </c>
      <c r="K1" s="2" t="s">
        <v>1135</v>
      </c>
      <c r="L1" s="2" t="s">
        <v>97</v>
      </c>
      <c r="M1" s="2" t="s">
        <v>156</v>
      </c>
      <c r="N1" s="2" t="s">
        <v>158</v>
      </c>
      <c r="O1" s="2" t="s">
        <v>1009</v>
      </c>
      <c r="P1" s="2" t="s">
        <v>1136</v>
      </c>
      <c r="Q1" s="2" t="s">
        <v>56</v>
      </c>
      <c r="R1" s="2" t="s">
        <v>55</v>
      </c>
      <c r="S1" s="2" t="s">
        <v>1152</v>
      </c>
      <c r="T1" s="2" t="s">
        <v>1153</v>
      </c>
      <c r="U1" s="2" t="s">
        <v>332</v>
      </c>
      <c r="V1" s="2" t="s">
        <v>1010</v>
      </c>
      <c r="W1" s="2" t="s">
        <v>1012</v>
      </c>
      <c r="X1" s="2" t="s">
        <v>1011</v>
      </c>
      <c r="Y1" s="2" t="s">
        <v>1013</v>
      </c>
      <c r="Z1" s="2" t="s">
        <v>1014</v>
      </c>
      <c r="AA1" s="2" t="s">
        <v>1015</v>
      </c>
      <c r="AB1" s="2" t="s">
        <v>123</v>
      </c>
      <c r="AC1" s="2" t="s">
        <v>1016</v>
      </c>
      <c r="AD1" s="2" t="s">
        <v>1017</v>
      </c>
      <c r="AE1" s="2" t="s">
        <v>9</v>
      </c>
      <c r="AF1" s="2" t="s">
        <v>431</v>
      </c>
      <c r="AG1" s="2" t="s">
        <v>227</v>
      </c>
      <c r="AH1" s="2" t="s">
        <v>159</v>
      </c>
      <c r="AI1" s="2" t="s">
        <v>229</v>
      </c>
      <c r="AJ1" s="2" t="s">
        <v>230</v>
      </c>
      <c r="AK1" s="2" t="s">
        <v>160</v>
      </c>
      <c r="AL1" s="2" t="s">
        <v>216</v>
      </c>
      <c r="AM1" s="2" t="s">
        <v>217</v>
      </c>
      <c r="AN1" s="2" t="s">
        <v>3</v>
      </c>
      <c r="AO1" s="2" t="s">
        <v>10</v>
      </c>
      <c r="AP1" s="2" t="s">
        <v>16</v>
      </c>
      <c r="AQ1" s="2" t="s">
        <v>4</v>
      </c>
      <c r="AR1" s="2" t="s">
        <v>99</v>
      </c>
      <c r="AS1" s="2" t="s">
        <v>185</v>
      </c>
      <c r="AT1" s="2" t="s">
        <v>184</v>
      </c>
      <c r="AU1" s="2" t="s">
        <v>12</v>
      </c>
      <c r="AV1" s="2" t="s">
        <v>233</v>
      </c>
      <c r="AW1" s="2" t="s">
        <v>234</v>
      </c>
      <c r="AX1" s="2" t="s">
        <v>232</v>
      </c>
      <c r="AY1" s="2" t="s">
        <v>334</v>
      </c>
      <c r="AZ1" s="2" t="s">
        <v>335</v>
      </c>
      <c r="BA1" s="2" t="s">
        <v>147</v>
      </c>
      <c r="BB1" s="2" t="s">
        <v>22</v>
      </c>
      <c r="BC1" s="2" t="s">
        <v>164</v>
      </c>
      <c r="BD1" s="2" t="s">
        <v>165</v>
      </c>
      <c r="BE1" s="2" t="s">
        <v>1</v>
      </c>
      <c r="BF1" s="2" t="s">
        <v>2</v>
      </c>
      <c r="BG1" s="2" t="s">
        <v>59</v>
      </c>
      <c r="BH1" s="2" t="s">
        <v>1161</v>
      </c>
      <c r="BI1" s="2" t="s">
        <v>238</v>
      </c>
      <c r="BJ1" s="2" t="s">
        <v>117</v>
      </c>
      <c r="BK1" s="2" t="s">
        <v>60</v>
      </c>
      <c r="BL1" s="2" t="s">
        <v>61</v>
      </c>
      <c r="BM1" s="2" t="s">
        <v>98</v>
      </c>
      <c r="BN1" s="2" t="s">
        <v>5</v>
      </c>
      <c r="BO1" s="2" t="s">
        <v>6</v>
      </c>
      <c r="BP1" s="2" t="s">
        <v>17</v>
      </c>
      <c r="BQ1" s="2" t="s">
        <v>18</v>
      </c>
      <c r="BR1" s="2" t="s">
        <v>7</v>
      </c>
      <c r="BS1" s="2" t="s">
        <v>19</v>
      </c>
      <c r="BT1" s="2" t="s">
        <v>20</v>
      </c>
      <c r="BU1" s="2" t="s">
        <v>21</v>
      </c>
      <c r="BV1" s="2" t="s">
        <v>148</v>
      </c>
      <c r="BW1" s="2" t="s">
        <v>23</v>
      </c>
      <c r="BX1" s="2" t="s">
        <v>51</v>
      </c>
    </row>
    <row r="2" spans="1:76" x14ac:dyDescent="0.2">
      <c r="A2" s="1" t="s">
        <v>953</v>
      </c>
      <c r="B2" s="1" t="s">
        <v>129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/>
      <c r="M2" s="19">
        <v>120</v>
      </c>
      <c r="N2" s="19"/>
      <c r="O2" s="19">
        <v>330</v>
      </c>
      <c r="P2" s="19"/>
      <c r="Q2" s="19">
        <v>190</v>
      </c>
      <c r="R2" s="9">
        <f>Tabelle5897111426[[#This Row],[Mindestleistung MW]]/Tabelle5897111426[[#This Row],[Maximalleistung MW Literatur]]</f>
        <v>0.37254901960784315</v>
      </c>
      <c r="S2" s="9">
        <v>0.65</v>
      </c>
      <c r="T2" s="9"/>
      <c r="U2" s="9"/>
      <c r="V2" s="9">
        <f>Tabelle5897111426[[#This Row],[Durchschnittliche Leistung MW Literatur]]/Tabelle5897111426[[#This Row],[Maximalleistung MW Literatur]]</f>
        <v>0.76470588235294112</v>
      </c>
      <c r="W2" s="9"/>
      <c r="X2" s="20">
        <v>390</v>
      </c>
      <c r="Y2" s="20"/>
      <c r="Z2" s="19">
        <v>510</v>
      </c>
      <c r="AA2" s="19"/>
      <c r="AB2" s="9"/>
      <c r="AC2" s="19"/>
      <c r="AD2" s="19"/>
      <c r="AS2" s="19"/>
      <c r="AT2" s="19"/>
      <c r="AU2" s="19"/>
      <c r="AV2" s="8">
        <f>153*Umrechnungsfaktoren!$B$15/Umrechnungsfaktoren!$B$8</f>
        <v>166.82142857142856</v>
      </c>
      <c r="AW2" s="8">
        <f>500*Umrechnungsfaktoren!$B$15/Umrechnungsfaktoren!$B$8</f>
        <v>545.1680672268908</v>
      </c>
      <c r="AX2" s="8"/>
      <c r="AY2" s="8"/>
      <c r="AZ2" s="8"/>
      <c r="BE2" s="13">
        <v>38</v>
      </c>
      <c r="BF2" s="1">
        <v>38</v>
      </c>
      <c r="BG2" s="13">
        <v>38</v>
      </c>
      <c r="BH2" s="13">
        <v>38</v>
      </c>
      <c r="BI2" s="13">
        <v>38</v>
      </c>
      <c r="BJ2" s="13">
        <v>38</v>
      </c>
      <c r="BK2" s="1">
        <v>38</v>
      </c>
      <c r="BL2" s="13">
        <v>38</v>
      </c>
      <c r="BM2" s="13"/>
      <c r="BT2" s="1">
        <v>125</v>
      </c>
    </row>
    <row r="3" spans="1:76" x14ac:dyDescent="0.2">
      <c r="A3" s="1" t="s">
        <v>84</v>
      </c>
      <c r="B3" s="1" t="s">
        <v>129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/>
      <c r="N3" s="19">
        <v>400</v>
      </c>
      <c r="O3" s="19"/>
      <c r="P3" s="19"/>
      <c r="Q3" s="19"/>
      <c r="R3" s="20"/>
      <c r="S3" s="9"/>
      <c r="T3" s="9"/>
      <c r="U3" s="9"/>
      <c r="V3" s="9">
        <f>Tabelle5897111426[[#This Row],[Durchschnittliche Leistung MW Literatur]]/Tabelle5897111426[[#This Row],[installierte Leistung MW Literatur]]</f>
        <v>0.4</v>
      </c>
      <c r="W3" s="9"/>
      <c r="X3" s="20">
        <v>800</v>
      </c>
      <c r="Y3" s="20"/>
      <c r="Z3" s="19"/>
      <c r="AA3" s="19"/>
      <c r="AB3" s="9"/>
      <c r="AC3" s="19">
        <v>2000</v>
      </c>
      <c r="AD3" s="19"/>
      <c r="AS3" s="19"/>
      <c r="AT3" s="19"/>
      <c r="AU3" s="19"/>
      <c r="AV3" s="8"/>
      <c r="AW3" s="8"/>
      <c r="AX3" s="8"/>
      <c r="AY3" s="8"/>
      <c r="AZ3" s="8"/>
      <c r="BE3" s="13">
        <v>33</v>
      </c>
      <c r="BF3" s="1">
        <v>33</v>
      </c>
      <c r="BG3" s="13"/>
      <c r="BH3" s="13"/>
      <c r="BI3" s="13">
        <v>32</v>
      </c>
      <c r="BJ3" s="13"/>
      <c r="BL3" s="13">
        <v>32</v>
      </c>
      <c r="BM3" s="13"/>
    </row>
    <row r="4" spans="1:76" x14ac:dyDescent="0.2">
      <c r="A4" s="1" t="s">
        <v>81</v>
      </c>
      <c r="B4" s="1" t="s">
        <v>129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/>
      <c r="N4" s="19">
        <v>110</v>
      </c>
      <c r="O4" s="19"/>
      <c r="P4" s="19"/>
      <c r="Q4" s="19"/>
      <c r="R4" s="20"/>
      <c r="S4" s="9">
        <v>0.1</v>
      </c>
      <c r="T4" s="9"/>
      <c r="U4" s="9"/>
      <c r="V4" s="9">
        <v>0.85</v>
      </c>
      <c r="W4" s="9"/>
      <c r="X4" s="20">
        <v>2500</v>
      </c>
      <c r="Y4" s="20"/>
      <c r="Z4" s="19"/>
      <c r="AA4" s="19"/>
      <c r="AB4" s="9"/>
      <c r="AC4" s="19">
        <f>Tabelle5897111426[[#This Row],[Durchschnittliche Leistung MW Literatur]]/Tabelle5897111426[[#This Row],[Durchschnittsauslastung Literatur]]</f>
        <v>2941.1764705882356</v>
      </c>
      <c r="AD4" s="19"/>
      <c r="AS4" s="19"/>
      <c r="AT4" s="19"/>
      <c r="AU4" s="19"/>
      <c r="AV4" s="8">
        <f>160*Umrechnungsfaktoren!$B$15/Umrechnungsfaktoren!$B$8</f>
        <v>174.45378151260505</v>
      </c>
      <c r="AW4" s="8">
        <f>400*Umrechnungsfaktoren!$B$15/Umrechnungsfaktoren!$B$8</f>
        <v>436.1344537815126</v>
      </c>
      <c r="AX4" s="8"/>
      <c r="AY4" s="8"/>
      <c r="AZ4" s="8"/>
      <c r="BE4" s="13" t="s">
        <v>821</v>
      </c>
      <c r="BF4" s="13" t="s">
        <v>821</v>
      </c>
      <c r="BG4" s="13"/>
      <c r="BH4" s="13" t="s">
        <v>821</v>
      </c>
      <c r="BI4" s="13" t="s">
        <v>821</v>
      </c>
      <c r="BJ4" s="13" t="s">
        <v>821</v>
      </c>
      <c r="BK4" s="13"/>
      <c r="BL4" s="13"/>
      <c r="BM4" s="13"/>
      <c r="BT4" s="1">
        <v>125</v>
      </c>
    </row>
    <row r="5" spans="1:76" x14ac:dyDescent="0.2">
      <c r="A5" s="1" t="s">
        <v>77</v>
      </c>
      <c r="B5" s="1" t="s">
        <v>129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20"/>
      <c r="S5" s="9"/>
      <c r="T5" s="9"/>
      <c r="U5" s="9"/>
      <c r="V5" s="61"/>
      <c r="W5" s="61"/>
      <c r="X5" s="20">
        <v>370</v>
      </c>
      <c r="Y5" s="20"/>
      <c r="Z5" s="19"/>
      <c r="AA5" s="19"/>
      <c r="AB5" s="9"/>
      <c r="AC5" s="19"/>
      <c r="AD5" s="19"/>
      <c r="AS5" s="19"/>
      <c r="AT5" s="19"/>
      <c r="AU5" s="19"/>
      <c r="AV5" s="8"/>
      <c r="AW5" s="8"/>
      <c r="AX5" s="8"/>
      <c r="AY5" s="8"/>
      <c r="AZ5" s="8"/>
      <c r="BE5" s="13"/>
      <c r="BG5" s="13"/>
      <c r="BH5" s="13"/>
      <c r="BI5" s="13"/>
      <c r="BJ5" s="13">
        <v>33</v>
      </c>
      <c r="BL5" s="13"/>
      <c r="BM5" s="13"/>
    </row>
    <row r="6" spans="1:76" x14ac:dyDescent="0.2">
      <c r="A6" s="1" t="s">
        <v>80</v>
      </c>
      <c r="B6" s="1" t="s">
        <v>129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19"/>
      <c r="R6" s="20"/>
      <c r="S6" s="9"/>
      <c r="T6" s="9"/>
      <c r="U6" s="9"/>
      <c r="V6" s="61">
        <f>Tabelle5897111426[[#This Row],[Durchschnittliche Leistung MW Literatur]]/Tabelle5897111426[[#This Row],[Maximalleistung MW Literatur]]</f>
        <v>0.660377358490566</v>
      </c>
      <c r="W6" s="61"/>
      <c r="X6" s="20">
        <v>350</v>
      </c>
      <c r="Y6" s="20"/>
      <c r="Z6" s="19">
        <v>530</v>
      </c>
      <c r="AA6" s="19"/>
      <c r="AB6" s="9"/>
      <c r="AC6" s="19"/>
      <c r="AD6" s="19"/>
      <c r="AS6" s="19"/>
      <c r="AT6" s="19"/>
      <c r="AU6" s="19"/>
      <c r="AV6" s="8"/>
      <c r="AW6" s="8"/>
      <c r="AX6" s="8"/>
      <c r="AY6" s="8"/>
      <c r="AZ6" s="8"/>
      <c r="BE6" s="13"/>
      <c r="BG6" s="13"/>
      <c r="BH6" s="13"/>
      <c r="BI6" s="13"/>
      <c r="BJ6" s="13">
        <v>33</v>
      </c>
      <c r="BK6" s="1">
        <v>33</v>
      </c>
      <c r="BL6" s="1">
        <v>33</v>
      </c>
      <c r="BM6" s="13"/>
    </row>
    <row r="7" spans="1:76" x14ac:dyDescent="0.2">
      <c r="A7" s="1" t="s">
        <v>82</v>
      </c>
      <c r="B7" s="1" t="s">
        <v>129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/>
      <c r="O7" s="19">
        <v>60</v>
      </c>
      <c r="P7" s="19"/>
      <c r="Q7" s="19"/>
      <c r="R7" s="20"/>
      <c r="S7" s="9"/>
      <c r="T7" s="9"/>
      <c r="U7" s="9"/>
      <c r="V7" s="9"/>
      <c r="W7" s="9"/>
      <c r="X7" s="20"/>
      <c r="Y7" s="20"/>
      <c r="Z7" s="19">
        <v>60</v>
      </c>
      <c r="AA7" s="19"/>
      <c r="AB7" s="9"/>
      <c r="AC7" s="19"/>
      <c r="AD7" s="19"/>
      <c r="AS7" s="19"/>
      <c r="AT7" s="19"/>
      <c r="AU7" s="19"/>
      <c r="AV7" s="8"/>
      <c r="AW7" s="8"/>
      <c r="AX7" s="8"/>
      <c r="AY7" s="8"/>
      <c r="AZ7" s="8"/>
      <c r="BB7" s="1" t="s">
        <v>1134</v>
      </c>
      <c r="BE7" s="13"/>
      <c r="BG7" s="13"/>
      <c r="BH7" s="13"/>
      <c r="BI7" s="13">
        <v>34</v>
      </c>
      <c r="BJ7" s="13">
        <v>34</v>
      </c>
      <c r="BK7" s="1">
        <v>34</v>
      </c>
      <c r="BL7" s="13">
        <v>34</v>
      </c>
      <c r="BM7" s="13"/>
    </row>
    <row r="8" spans="1:76" x14ac:dyDescent="0.2">
      <c r="A8" s="1" t="s">
        <v>664</v>
      </c>
      <c r="B8" s="1" t="s">
        <v>129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19"/>
      <c r="R8" s="20"/>
      <c r="S8" s="9"/>
      <c r="T8" s="9"/>
      <c r="U8" s="9"/>
      <c r="V8" s="9"/>
      <c r="W8" s="9"/>
      <c r="X8" s="20"/>
      <c r="Y8" s="20"/>
      <c r="Z8" s="19">
        <v>150</v>
      </c>
      <c r="AA8" s="19"/>
      <c r="AB8" s="9"/>
      <c r="AC8" s="19"/>
      <c r="AD8" s="19"/>
      <c r="AP8" s="1" t="s">
        <v>825</v>
      </c>
      <c r="AS8" s="19"/>
      <c r="AT8" s="19"/>
      <c r="AU8" s="19"/>
      <c r="AV8" s="8">
        <f>850*Umrechnungsfaktoren!$B$15/Umrechnungsfaktoren!$B$8</f>
        <v>926.78571428571422</v>
      </c>
      <c r="AW8" s="8">
        <f>1300*Umrechnungsfaktoren!$B$15/Umrechnungsfaktoren!$B$8</f>
        <v>1417.4369747899159</v>
      </c>
      <c r="AX8" s="8"/>
      <c r="AY8" s="8"/>
      <c r="AZ8" s="8"/>
      <c r="BE8" s="13"/>
      <c r="BG8" s="13"/>
      <c r="BH8" s="13"/>
      <c r="BI8" s="13"/>
      <c r="BJ8" s="13"/>
      <c r="BK8" s="1">
        <v>41</v>
      </c>
      <c r="BL8" s="13">
        <v>41</v>
      </c>
      <c r="BM8" s="13"/>
      <c r="BQ8" s="1">
        <v>95</v>
      </c>
      <c r="BT8" s="1">
        <v>125</v>
      </c>
    </row>
    <row r="9" spans="1:76" x14ac:dyDescent="0.2">
      <c r="A9" s="1" t="s">
        <v>213</v>
      </c>
      <c r="B9" s="1" t="s">
        <v>129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/>
      <c r="N9" s="19">
        <v>325</v>
      </c>
      <c r="O9" s="19"/>
      <c r="P9" s="19"/>
      <c r="Q9" s="19"/>
      <c r="R9" s="20"/>
      <c r="S9" s="9">
        <v>0.15</v>
      </c>
      <c r="T9" s="9">
        <v>0.3</v>
      </c>
      <c r="U9" s="9"/>
      <c r="V9" s="9"/>
      <c r="W9" s="9"/>
      <c r="X9" s="20"/>
      <c r="Y9" s="20"/>
      <c r="Z9" s="19"/>
      <c r="AA9" s="19"/>
      <c r="AB9" s="9"/>
      <c r="AC9" s="19"/>
      <c r="AD9" s="19"/>
      <c r="AS9" s="19"/>
      <c r="AT9" s="19"/>
      <c r="AU9" s="19"/>
      <c r="AV9" s="8"/>
      <c r="AW9" s="8"/>
      <c r="AX9" s="8"/>
      <c r="AY9" s="8"/>
      <c r="AZ9" s="8"/>
      <c r="BE9" s="13">
        <v>47</v>
      </c>
      <c r="BF9" s="1">
        <v>47</v>
      </c>
      <c r="BG9" s="13"/>
      <c r="BH9" s="13">
        <v>47</v>
      </c>
      <c r="BI9" s="13"/>
      <c r="BJ9" s="13"/>
      <c r="BL9" s="13"/>
      <c r="BM9" s="13"/>
    </row>
    <row r="10" spans="1:76" x14ac:dyDescent="0.2">
      <c r="A10" s="1" t="s">
        <v>408</v>
      </c>
      <c r="B10" s="1" t="s">
        <v>130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/>
      <c r="O10" s="19">
        <v>80</v>
      </c>
      <c r="P10" s="19"/>
      <c r="Q10" s="19"/>
      <c r="R10" s="20"/>
      <c r="S10" s="9">
        <v>0.22</v>
      </c>
      <c r="T10" s="9">
        <v>0.49</v>
      </c>
      <c r="U10" s="9"/>
      <c r="V10" s="9"/>
      <c r="W10" s="9"/>
      <c r="X10" s="20"/>
      <c r="Y10" s="20"/>
      <c r="Z10" s="19">
        <v>146</v>
      </c>
      <c r="AA10" s="19"/>
      <c r="AB10" s="9"/>
      <c r="AC10" s="19">
        <v>146</v>
      </c>
      <c r="AD10" s="19"/>
      <c r="AS10" s="19"/>
      <c r="AT10" s="19"/>
      <c r="AU10" s="19"/>
      <c r="AV10" s="8"/>
      <c r="AW10" s="8"/>
      <c r="AX10" s="8"/>
      <c r="AY10" s="8"/>
      <c r="AZ10" s="8"/>
      <c r="BE10" s="13"/>
      <c r="BG10" s="13"/>
      <c r="BH10" s="13">
        <v>48</v>
      </c>
      <c r="BI10" s="13"/>
      <c r="BJ10" s="13"/>
      <c r="BK10" s="1">
        <v>48</v>
      </c>
      <c r="BL10" s="13"/>
      <c r="BM10" s="13"/>
    </row>
    <row r="11" spans="1:76" x14ac:dyDescent="0.2">
      <c r="A11" s="1" t="s">
        <v>214</v>
      </c>
      <c r="B11" s="1" t="s">
        <v>130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20"/>
      <c r="S11" s="9"/>
      <c r="T11" s="9"/>
      <c r="U11" s="9"/>
      <c r="V11" s="9"/>
      <c r="W11" s="9"/>
      <c r="X11" s="20"/>
      <c r="Y11" s="20"/>
      <c r="Z11" s="19"/>
      <c r="AA11" s="19"/>
      <c r="AB11" s="9"/>
      <c r="AC11" s="19"/>
      <c r="AD11" s="19"/>
      <c r="AS11" s="19"/>
      <c r="AT11" s="19"/>
      <c r="AU11" s="19"/>
      <c r="AV11" s="8"/>
      <c r="AW11" s="8"/>
      <c r="AX11" s="8"/>
      <c r="AY11" s="8"/>
      <c r="AZ11" s="8"/>
      <c r="BE11" s="13"/>
      <c r="BG11" s="13"/>
      <c r="BH11" s="13"/>
      <c r="BI11" s="13"/>
      <c r="BJ11" s="13"/>
      <c r="BL11" s="13"/>
      <c r="BM11" s="13"/>
    </row>
    <row r="12" spans="1:76" x14ac:dyDescent="0.2">
      <c r="A12" s="1" t="s">
        <v>819</v>
      </c>
      <c r="B12" s="1" t="s">
        <v>129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/>
      <c r="M12" s="19">
        <v>30</v>
      </c>
      <c r="N12" s="19"/>
      <c r="O12" s="19">
        <v>40</v>
      </c>
      <c r="P12" s="19"/>
      <c r="Q12" s="19"/>
      <c r="R12" s="20"/>
      <c r="S12" s="9"/>
      <c r="T12" s="9"/>
      <c r="U12" s="9"/>
      <c r="V12" s="61">
        <f>Tabelle5897111426[[#This Row],[Durchschnittliche Leistung MW Literatur]]/Tabelle5897111426[[#This Row],[Maximalleistung MW Literatur]]</f>
        <v>0.45</v>
      </c>
      <c r="W12" s="61"/>
      <c r="X12" s="20">
        <v>117</v>
      </c>
      <c r="Y12" s="20"/>
      <c r="Z12" s="19">
        <v>260</v>
      </c>
      <c r="AA12" s="19"/>
      <c r="AB12" s="9"/>
      <c r="AC12" s="19">
        <f>Tabelle5897111426[[#This Row],[Maximalleistung MW Literatur]]</f>
        <v>260</v>
      </c>
      <c r="AD12" s="19"/>
      <c r="AS12" s="19"/>
      <c r="AT12" s="19"/>
      <c r="AU12" s="19"/>
      <c r="AV12" s="8"/>
      <c r="AW12" s="8"/>
      <c r="AX12" s="8"/>
      <c r="AY12" s="8"/>
      <c r="AZ12" s="8"/>
      <c r="BE12" s="13">
        <v>27</v>
      </c>
      <c r="BF12" s="1">
        <v>27</v>
      </c>
      <c r="BG12" s="13"/>
      <c r="BH12" s="13"/>
      <c r="BI12" s="13">
        <v>27</v>
      </c>
      <c r="BJ12" s="13">
        <v>27</v>
      </c>
      <c r="BK12" s="1">
        <v>27</v>
      </c>
      <c r="BL12" s="1">
        <v>27</v>
      </c>
      <c r="BM12" s="13"/>
    </row>
    <row r="13" spans="1:76" x14ac:dyDescent="0.2">
      <c r="A13" s="1" t="s">
        <v>820</v>
      </c>
      <c r="B13" s="1" t="s">
        <v>129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20"/>
      <c r="S13" s="9"/>
      <c r="T13" s="9"/>
      <c r="U13" s="9"/>
      <c r="V13" s="61"/>
      <c r="W13" s="61"/>
      <c r="X13" s="20"/>
      <c r="Y13" s="20"/>
      <c r="Z13" s="19"/>
      <c r="AA13" s="19"/>
      <c r="AB13" s="9"/>
      <c r="AC13" s="19"/>
      <c r="AD13" s="19"/>
      <c r="AS13" s="19"/>
      <c r="AT13" s="19"/>
      <c r="AU13" s="19"/>
      <c r="AV13" s="8"/>
      <c r="AW13" s="8"/>
      <c r="AX13" s="8"/>
      <c r="AY13" s="8"/>
      <c r="AZ13" s="8"/>
      <c r="BE13" s="13"/>
      <c r="BG13" s="13"/>
      <c r="BH13" s="13"/>
      <c r="BI13" s="13"/>
      <c r="BJ13" s="13"/>
      <c r="BL13" s="13"/>
      <c r="BM13" s="13"/>
    </row>
    <row r="14" spans="1:76" x14ac:dyDescent="0.2">
      <c r="A14" s="1" t="s">
        <v>366</v>
      </c>
      <c r="B14" s="1" t="s">
        <v>130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20"/>
      <c r="S14" s="9"/>
      <c r="T14" s="9"/>
      <c r="U14" s="9"/>
      <c r="V14" s="9"/>
      <c r="W14" s="9"/>
      <c r="X14" s="20"/>
      <c r="Y14" s="20"/>
      <c r="Z14" s="19"/>
      <c r="AA14" s="19"/>
      <c r="AB14" s="9"/>
      <c r="AC14" s="19"/>
      <c r="AD14" s="19"/>
      <c r="AS14" s="19"/>
      <c r="AT14" s="19"/>
      <c r="AU14" s="19"/>
      <c r="AV14" s="8"/>
      <c r="AW14" s="8"/>
      <c r="AX14" s="8"/>
      <c r="AY14" s="8"/>
      <c r="AZ14" s="8"/>
      <c r="BE14" s="13"/>
      <c r="BG14" s="13"/>
      <c r="BH14" s="13"/>
      <c r="BI14" s="13"/>
      <c r="BJ14" s="13"/>
      <c r="BL14" s="13"/>
      <c r="BM14" s="13"/>
    </row>
    <row r="15" spans="1:76" x14ac:dyDescent="0.2">
      <c r="A15" s="58" t="s">
        <v>379</v>
      </c>
      <c r="B15" s="58" t="s">
        <v>130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/>
      <c r="P15" s="59">
        <v>62</v>
      </c>
      <c r="Q15" s="59"/>
      <c r="R15" s="60"/>
      <c r="S15" s="61">
        <v>0.25</v>
      </c>
      <c r="T15" s="61">
        <v>0.27</v>
      </c>
      <c r="U15" s="62"/>
      <c r="V15" s="61">
        <f>Tabelle5897111426[[#This Row],[Durchschnittliche Leistung MW Literatur]]/Tabelle5897111426[[#This Row],[Maximalleistung MW Literatur]]</f>
        <v>0.5</v>
      </c>
      <c r="W15" s="61">
        <f>Tabelle5897111426[[#This Row],[Durchschnittliche Leistung MW Hochrechnung]]/Tabelle5897111426[[#This Row],[Maximalleistung MW Hochrechnung]]</f>
        <v>0.5670995670995671</v>
      </c>
      <c r="X15" s="60">
        <v>167</v>
      </c>
      <c r="Y15" s="60">
        <v>131</v>
      </c>
      <c r="Z15" s="59">
        <f>Tabelle5897111426[[#This Row],[Durchschnittliche Leistung MW Literatur]]*2</f>
        <v>334</v>
      </c>
      <c r="AA15" s="59">
        <v>231</v>
      </c>
      <c r="AB15" s="62"/>
      <c r="AC15" s="59">
        <f>Tabelle5897111426[[#This Row],[Maximalleistung MW Literatur]]</f>
        <v>334</v>
      </c>
      <c r="AD15" s="59">
        <f>Tabelle5897111426[[#This Row],[Maximalleistung MW Hochrechnung]]</f>
        <v>231</v>
      </c>
      <c r="AE15" s="63"/>
      <c r="AF15" s="63"/>
      <c r="AG15" s="63"/>
      <c r="AH15" s="58"/>
      <c r="AI15" s="58"/>
      <c r="AJ15" s="58"/>
      <c r="AK15" s="58"/>
      <c r="AL15" s="58"/>
      <c r="AM15" s="58"/>
      <c r="AN15" s="58"/>
      <c r="AO15" s="58"/>
      <c r="AP15" s="58" t="s">
        <v>818</v>
      </c>
      <c r="AQ15" s="58"/>
      <c r="AR15" s="58"/>
      <c r="AS15" s="59"/>
      <c r="AT15" s="59"/>
      <c r="AU15" s="59"/>
      <c r="AV15" s="64">
        <f>690*Umrechnungsfaktoren!$B$15/Umrechnungsfaktoren!$B$8</f>
        <v>752.3319327731092</v>
      </c>
      <c r="AW15" s="64">
        <f>3150*Umrechnungsfaktoren!$B$15/Umrechnungsfaktoren!$B$8</f>
        <v>3434.5588235294117</v>
      </c>
      <c r="AX15" s="64"/>
      <c r="AY15" s="64"/>
      <c r="AZ15" s="64"/>
      <c r="BA15" s="58"/>
      <c r="BB15" s="1" t="s">
        <v>1133</v>
      </c>
      <c r="BC15" s="58"/>
      <c r="BD15" s="58"/>
      <c r="BE15" s="65">
        <v>67</v>
      </c>
      <c r="BF15" s="58">
        <v>67</v>
      </c>
      <c r="BG15" s="65"/>
      <c r="BH15" s="65">
        <v>67</v>
      </c>
      <c r="BI15" s="65">
        <v>10</v>
      </c>
      <c r="BJ15" s="13" t="s">
        <v>1018</v>
      </c>
      <c r="BK15" s="13" t="s">
        <v>1018</v>
      </c>
      <c r="BL15" s="58">
        <v>10</v>
      </c>
      <c r="BM15" s="65"/>
      <c r="BN15" s="58"/>
      <c r="BO15" s="58"/>
      <c r="BP15" s="58"/>
      <c r="BQ15" s="58">
        <v>10</v>
      </c>
      <c r="BR15" s="58"/>
      <c r="BS15" s="58"/>
      <c r="BT15" s="58">
        <v>125</v>
      </c>
      <c r="BU15" s="58"/>
      <c r="BV15" s="58"/>
      <c r="BW15" s="58">
        <v>9</v>
      </c>
      <c r="BX15" s="58"/>
    </row>
    <row r="16" spans="1:76" x14ac:dyDescent="0.2">
      <c r="A16" s="58" t="s">
        <v>298</v>
      </c>
      <c r="B16" s="58" t="s">
        <v>130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/>
      <c r="M16" s="59">
        <v>20</v>
      </c>
      <c r="N16" s="59"/>
      <c r="O16" s="59">
        <v>30</v>
      </c>
      <c r="P16" s="59">
        <v>17</v>
      </c>
      <c r="Q16" s="59"/>
      <c r="R16" s="60"/>
      <c r="S16" s="61">
        <v>0.21</v>
      </c>
      <c r="T16" s="61">
        <v>0.25</v>
      </c>
      <c r="U16" s="62"/>
      <c r="V16" s="61"/>
      <c r="W16" s="61">
        <f>Tabelle5897111426[[#This Row],[Durchschnittliche Leistung MW Hochrechnung]]/Tabelle5897111426[[#This Row],[Maximalleistung MW Hochrechnung]]</f>
        <v>0.32941176470588235</v>
      </c>
      <c r="X16" s="60"/>
      <c r="Y16" s="60">
        <v>28</v>
      </c>
      <c r="Z16" s="59"/>
      <c r="AA16" s="59">
        <v>85</v>
      </c>
      <c r="AB16" s="62"/>
      <c r="AC16" s="59"/>
      <c r="AD16" s="59">
        <v>85</v>
      </c>
      <c r="AE16" s="63"/>
      <c r="AF16" s="63"/>
      <c r="AG16" s="63"/>
      <c r="AH16" s="58"/>
      <c r="AI16" s="58"/>
      <c r="AJ16" s="58"/>
      <c r="AK16" s="58"/>
      <c r="AL16" s="58"/>
      <c r="AM16" s="58">
        <v>48</v>
      </c>
      <c r="AN16" s="58"/>
      <c r="AO16" s="58"/>
      <c r="AP16" s="66" t="s">
        <v>823</v>
      </c>
      <c r="AQ16" s="58">
        <v>3</v>
      </c>
      <c r="AR16" s="58"/>
      <c r="AS16" s="59"/>
      <c r="AT16" s="59"/>
      <c r="AU16" s="59"/>
      <c r="AV16" s="64"/>
      <c r="AW16" s="64"/>
      <c r="AX16" s="64"/>
      <c r="AY16" s="64"/>
      <c r="AZ16" s="64"/>
      <c r="BA16" s="58"/>
      <c r="BB16" s="58"/>
      <c r="BC16" s="58"/>
      <c r="BD16" s="58"/>
      <c r="BE16" s="13" t="s">
        <v>1019</v>
      </c>
      <c r="BF16" s="13" t="s">
        <v>1019</v>
      </c>
      <c r="BG16" s="65"/>
      <c r="BH16" s="65">
        <v>77</v>
      </c>
      <c r="BI16" s="65"/>
      <c r="BJ16" s="65">
        <v>77</v>
      </c>
      <c r="BK16" s="65">
        <v>77</v>
      </c>
      <c r="BL16" s="65"/>
      <c r="BM16" s="65"/>
      <c r="BN16" s="58"/>
      <c r="BO16" s="58" t="s">
        <v>822</v>
      </c>
      <c r="BP16" s="58">
        <v>68</v>
      </c>
      <c r="BQ16" s="58">
        <v>68</v>
      </c>
      <c r="BR16" s="58">
        <v>70</v>
      </c>
      <c r="BS16" s="58"/>
      <c r="BT16" s="58"/>
      <c r="BU16" s="58"/>
      <c r="BV16" s="58"/>
      <c r="BW16" s="58"/>
      <c r="BX16" s="58"/>
    </row>
    <row r="17" spans="1:76" x14ac:dyDescent="0.2">
      <c r="A17" s="58" t="s">
        <v>1159</v>
      </c>
      <c r="B17" s="58" t="s">
        <v>130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/>
      <c r="P17" s="59">
        <v>99</v>
      </c>
      <c r="Q17" s="59"/>
      <c r="R17" s="60"/>
      <c r="S17" s="61">
        <v>0.3</v>
      </c>
      <c r="T17" s="61">
        <v>0.37</v>
      </c>
      <c r="U17" s="62"/>
      <c r="V17" s="61"/>
      <c r="W17" s="61">
        <f>Tabelle5897111426[[#This Row],[Durchschnittliche Leistung MW Hochrechnung]]/Tabelle5897111426[[#This Row],[Maximalleistung MW Hochrechnung]]</f>
        <v>0.47601476014760147</v>
      </c>
      <c r="X17" s="60"/>
      <c r="Y17" s="60">
        <v>129</v>
      </c>
      <c r="Z17" s="59">
        <v>169</v>
      </c>
      <c r="AA17" s="59">
        <v>271</v>
      </c>
      <c r="AB17" s="62"/>
      <c r="AC17" s="59">
        <f>Tabelle5897111426[[#This Row],[Maximalleistung MW Literatur]]</f>
        <v>169</v>
      </c>
      <c r="AD17" s="59">
        <f>Tabelle5897111426[[#This Row],[Maximalleistung MW Hochrechnung]]</f>
        <v>271</v>
      </c>
      <c r="AE17" s="63"/>
      <c r="AF17" s="63"/>
      <c r="AG17" s="63"/>
      <c r="AH17" s="58"/>
      <c r="AI17" s="58"/>
      <c r="AJ17" s="58"/>
      <c r="AK17" s="58"/>
      <c r="AL17" s="58">
        <v>3</v>
      </c>
      <c r="AM17" s="58"/>
      <c r="AN17" s="58"/>
      <c r="AO17" s="58"/>
      <c r="AP17" s="58" t="s">
        <v>824</v>
      </c>
      <c r="AQ17" s="58"/>
      <c r="AR17" s="58"/>
      <c r="AS17" s="59"/>
      <c r="AT17" s="59"/>
      <c r="AU17" s="59"/>
      <c r="AV17" s="64">
        <f>300*Umrechnungsfaktoren!$B$15/Umrechnungsfaktoren!$B$8</f>
        <v>327.10084033613447</v>
      </c>
      <c r="AW17" s="64">
        <f>600*Umrechnungsfaktoren!$B$15/Umrechnungsfaktoren!$B$8</f>
        <v>654.20168067226894</v>
      </c>
      <c r="AX17" s="64"/>
      <c r="AY17" s="64"/>
      <c r="AZ17" s="64"/>
      <c r="BA17" s="58"/>
      <c r="BB17" s="58"/>
      <c r="BC17" s="58"/>
      <c r="BD17" s="58"/>
      <c r="BE17" s="65">
        <v>88</v>
      </c>
      <c r="BF17" s="58">
        <v>88</v>
      </c>
      <c r="BG17" s="65"/>
      <c r="BH17" s="65">
        <v>88</v>
      </c>
      <c r="BI17" s="65"/>
      <c r="BJ17" s="65">
        <v>88</v>
      </c>
      <c r="BK17" s="1" t="s">
        <v>1020</v>
      </c>
      <c r="BL17" s="58">
        <v>20</v>
      </c>
      <c r="BM17" s="65"/>
      <c r="BN17" s="58"/>
      <c r="BO17" s="58">
        <v>19</v>
      </c>
      <c r="BP17" s="58"/>
      <c r="BQ17" s="58">
        <v>78</v>
      </c>
      <c r="BR17" s="58"/>
      <c r="BS17" s="58"/>
      <c r="BT17" s="58">
        <v>125</v>
      </c>
      <c r="BU17" s="58"/>
      <c r="BV17" s="58"/>
      <c r="BW17" s="58"/>
      <c r="BX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CM123"/>
  <sheetViews>
    <sheetView zoomScale="80" zoomScaleNormal="80" workbookViewId="0">
      <pane xSplit="4" ySplit="1" topLeftCell="AL2" activePane="bottomRight" state="frozen"/>
      <selection pane="topRight" activeCell="D1" sqref="D1"/>
      <selection pane="bottomLeft" activeCell="A2" sqref="A2"/>
      <selection pane="bottomRight" activeCell="AN1" sqref="AN1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9.28515625" style="1" bestFit="1" customWidth="1"/>
    <col min="17" max="19" width="24.5703125" style="1" customWidth="1"/>
    <col min="20" max="28" width="24.42578125" style="1" customWidth="1"/>
    <col min="29" max="29" width="37.7109375" style="1" customWidth="1"/>
    <col min="30" max="31" width="24.7109375" style="1" customWidth="1"/>
    <col min="32" max="35" width="28.42578125" style="1" customWidth="1"/>
    <col min="36" max="36" width="27.42578125" style="1" bestFit="1" customWidth="1"/>
    <col min="37" max="38" width="27.42578125" style="1" customWidth="1"/>
    <col min="39" max="39" width="20.7109375" style="1" bestFit="1" customWidth="1"/>
    <col min="40" max="45" width="20.7109375" style="1" customWidth="1"/>
    <col min="46" max="46" width="25.85546875" style="1" bestFit="1" customWidth="1"/>
    <col min="47" max="47" width="29.7109375" style="1" bestFit="1" customWidth="1"/>
    <col min="48" max="48" width="24" style="1" bestFit="1" customWidth="1"/>
    <col min="49" max="49" width="24" style="1" customWidth="1"/>
    <col min="50" max="50" width="35" style="1" bestFit="1" customWidth="1"/>
    <col min="51" max="51" width="38.28515625" style="1" bestFit="1" customWidth="1"/>
    <col min="52" max="55" width="38.28515625" style="1" customWidth="1"/>
    <col min="56" max="56" width="38.28515625" style="1" bestFit="1" customWidth="1"/>
    <col min="57" max="57" width="38.28515625" style="1" customWidth="1"/>
    <col min="58" max="58" width="33.42578125" style="1" bestFit="1" customWidth="1"/>
    <col min="59" max="60" width="33.42578125" style="1" customWidth="1"/>
    <col min="61" max="61" width="25.7109375" style="1" bestFit="1" customWidth="1"/>
    <col min="62" max="63" width="25.7109375" style="1" customWidth="1"/>
    <col min="64" max="64" width="56.7109375" style="1" bestFit="1" customWidth="1"/>
    <col min="65" max="68" width="35.5703125" style="1" customWidth="1"/>
    <col min="69" max="69" width="31.7109375" style="1" bestFit="1" customWidth="1"/>
    <col min="70" max="70" width="31.5703125" style="1" bestFit="1" customWidth="1"/>
    <col min="71" max="76" width="31.5703125" style="1" customWidth="1"/>
    <col min="77" max="77" width="37.42578125" style="1" bestFit="1" customWidth="1"/>
    <col min="78" max="78" width="37.42578125" style="1" customWidth="1"/>
    <col min="79" max="79" width="35.7109375" style="1" bestFit="1" customWidth="1"/>
    <col min="80" max="80" width="28.85546875" style="1" bestFit="1" customWidth="1"/>
    <col min="81" max="81" width="34" style="1" bestFit="1" customWidth="1"/>
    <col min="82" max="82" width="37.85546875" style="1" bestFit="1" customWidth="1"/>
    <col min="83" max="83" width="34.42578125" style="1" bestFit="1" customWidth="1"/>
    <col min="84" max="84" width="38.140625" style="1" bestFit="1" customWidth="1"/>
    <col min="85" max="85" width="22.85546875" style="1" bestFit="1" customWidth="1"/>
    <col min="86" max="86" width="28.5703125" style="1" bestFit="1" customWidth="1"/>
    <col min="87" max="87" width="28.28515625" style="1" bestFit="1" customWidth="1"/>
    <col min="88" max="89" width="28.28515625" style="1" customWidth="1"/>
    <col min="90" max="90" width="31" style="1" bestFit="1" customWidth="1"/>
    <col min="91" max="91" width="28.85546875" style="1" bestFit="1" customWidth="1"/>
    <col min="92" max="16384" width="11.42578125" style="1"/>
  </cols>
  <sheetData>
    <row r="1" spans="1:91" x14ac:dyDescent="0.2">
      <c r="A1" s="2" t="s">
        <v>0</v>
      </c>
      <c r="B1" s="2" t="s">
        <v>131</v>
      </c>
      <c r="C1" s="2" t="s">
        <v>407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380</v>
      </c>
      <c r="I1" s="2" t="s">
        <v>381</v>
      </c>
      <c r="J1" s="2" t="s">
        <v>844</v>
      </c>
      <c r="K1" s="2" t="s">
        <v>926</v>
      </c>
      <c r="L1" s="2" t="s">
        <v>897</v>
      </c>
      <c r="M1" s="2" t="s">
        <v>49</v>
      </c>
      <c r="N1" s="2" t="s">
        <v>149</v>
      </c>
      <c r="O1" s="2" t="s">
        <v>1172</v>
      </c>
      <c r="P1" s="2" t="s">
        <v>50</v>
      </c>
      <c r="Q1" s="2" t="s">
        <v>97</v>
      </c>
      <c r="R1" s="2" t="s">
        <v>156</v>
      </c>
      <c r="S1" s="2" t="s">
        <v>158</v>
      </c>
      <c r="T1" s="2" t="s">
        <v>157</v>
      </c>
      <c r="U1" s="2" t="s">
        <v>56</v>
      </c>
      <c r="V1" s="2" t="s">
        <v>55</v>
      </c>
      <c r="W1" s="2" t="s">
        <v>87</v>
      </c>
      <c r="X1" s="2" t="s">
        <v>392</v>
      </c>
      <c r="Y1" s="2" t="s">
        <v>393</v>
      </c>
      <c r="Z1" s="2" t="s">
        <v>1150</v>
      </c>
      <c r="AA1" s="2" t="s">
        <v>237</v>
      </c>
      <c r="AB1" s="2" t="s">
        <v>1137</v>
      </c>
      <c r="AC1" s="2" t="s">
        <v>116</v>
      </c>
      <c r="AD1" s="2" t="s">
        <v>57</v>
      </c>
      <c r="AE1" s="2" t="s">
        <v>123</v>
      </c>
      <c r="AF1" s="2" t="s">
        <v>58</v>
      </c>
      <c r="AG1" s="2" t="s">
        <v>417</v>
      </c>
      <c r="AH1" s="2" t="s">
        <v>418</v>
      </c>
      <c r="AI1" s="2" t="s">
        <v>415</v>
      </c>
      <c r="AJ1" s="2" t="s">
        <v>9</v>
      </c>
      <c r="AK1" s="2" t="s">
        <v>431</v>
      </c>
      <c r="AL1" s="2" t="s">
        <v>227</v>
      </c>
      <c r="AM1" s="2" t="s">
        <v>159</v>
      </c>
      <c r="AN1" s="2" t="s">
        <v>1173</v>
      </c>
      <c r="AO1" s="2" t="s">
        <v>229</v>
      </c>
      <c r="AP1" s="2" t="s">
        <v>230</v>
      </c>
      <c r="AQ1" s="2" t="s">
        <v>160</v>
      </c>
      <c r="AR1" s="2" t="s">
        <v>216</v>
      </c>
      <c r="AS1" s="2" t="s">
        <v>217</v>
      </c>
      <c r="AT1" s="2" t="s">
        <v>3</v>
      </c>
      <c r="AU1" s="2" t="s">
        <v>10</v>
      </c>
      <c r="AV1" s="2" t="s">
        <v>16</v>
      </c>
      <c r="AW1" s="2" t="s">
        <v>383</v>
      </c>
      <c r="AX1" s="2" t="s">
        <v>508</v>
      </c>
      <c r="AY1" s="2" t="s">
        <v>4</v>
      </c>
      <c r="AZ1" s="2" t="s">
        <v>99</v>
      </c>
      <c r="BA1" s="2" t="s">
        <v>1122</v>
      </c>
      <c r="BB1" s="2" t="s">
        <v>185</v>
      </c>
      <c r="BC1" s="2" t="s">
        <v>184</v>
      </c>
      <c r="BD1" s="2" t="s">
        <v>12</v>
      </c>
      <c r="BE1" s="2" t="s">
        <v>233</v>
      </c>
      <c r="BF1" s="2" t="s">
        <v>232</v>
      </c>
      <c r="BG1" s="2" t="s">
        <v>567</v>
      </c>
      <c r="BH1" s="2" t="s">
        <v>334</v>
      </c>
      <c r="BI1" s="2" t="s">
        <v>335</v>
      </c>
      <c r="BJ1" s="2" t="s">
        <v>147</v>
      </c>
      <c r="BK1" s="2" t="s">
        <v>504</v>
      </c>
      <c r="BL1" s="2" t="s">
        <v>22</v>
      </c>
      <c r="BM1" s="2" t="s">
        <v>164</v>
      </c>
      <c r="BN1" s="2" t="s">
        <v>165</v>
      </c>
      <c r="BO1" s="2" t="s">
        <v>395</v>
      </c>
      <c r="BP1" s="2" t="s">
        <v>880</v>
      </c>
      <c r="BQ1" s="2" t="s">
        <v>1</v>
      </c>
      <c r="BR1" s="2" t="s">
        <v>2</v>
      </c>
      <c r="BS1" s="2" t="s">
        <v>59</v>
      </c>
      <c r="BT1" s="2" t="s">
        <v>396</v>
      </c>
      <c r="BU1" s="2" t="s">
        <v>1161</v>
      </c>
      <c r="BV1" s="2" t="s">
        <v>238</v>
      </c>
      <c r="BW1" s="2" t="s">
        <v>117</v>
      </c>
      <c r="BX1" s="2" t="s">
        <v>60</v>
      </c>
      <c r="BY1" s="2" t="s">
        <v>61</v>
      </c>
      <c r="BZ1" s="2" t="s">
        <v>416</v>
      </c>
      <c r="CA1" s="2" t="s">
        <v>98</v>
      </c>
      <c r="CB1" s="2" t="s">
        <v>5</v>
      </c>
      <c r="CC1" s="2" t="s">
        <v>6</v>
      </c>
      <c r="CD1" s="2" t="s">
        <v>17</v>
      </c>
      <c r="CE1" s="2" t="s">
        <v>18</v>
      </c>
      <c r="CF1" s="2" t="s">
        <v>7</v>
      </c>
      <c r="CG1" s="2" t="s">
        <v>19</v>
      </c>
      <c r="CH1" s="2" t="s">
        <v>20</v>
      </c>
      <c r="CI1" s="2" t="s">
        <v>21</v>
      </c>
      <c r="CJ1" s="2" t="s">
        <v>148</v>
      </c>
      <c r="CK1" s="2" t="s">
        <v>505</v>
      </c>
      <c r="CL1" s="2" t="s">
        <v>23</v>
      </c>
      <c r="CM1" s="2" t="s">
        <v>51</v>
      </c>
    </row>
    <row r="2" spans="1:91" x14ac:dyDescent="0.2">
      <c r="A2" s="1" t="s">
        <v>54</v>
      </c>
      <c r="B2" s="1" t="s">
        <v>129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07"/>
      <c r="O2" s="19">
        <v>211</v>
      </c>
      <c r="P2" s="19"/>
      <c r="Q2" s="19"/>
      <c r="R2" s="19"/>
      <c r="S2" s="19"/>
      <c r="T2" s="19"/>
      <c r="U2" s="19"/>
      <c r="V2" s="9">
        <v>0.75</v>
      </c>
      <c r="W2" s="9"/>
      <c r="X2" s="9">
        <v>0.25</v>
      </c>
      <c r="Y2" s="9"/>
      <c r="Z2" s="9">
        <v>1</v>
      </c>
      <c r="AA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2" s="9">
        <v>0.05</v>
      </c>
      <c r="AC2" s="20"/>
      <c r="AD2" s="19"/>
      <c r="AE2" s="9"/>
      <c r="AF2" s="19"/>
      <c r="AG2" s="42"/>
      <c r="AH2" s="42"/>
      <c r="AI2" s="42">
        <v>1</v>
      </c>
      <c r="AM2" s="108"/>
      <c r="AN2" s="1">
        <v>4</v>
      </c>
      <c r="AQ2" s="1">
        <v>0</v>
      </c>
      <c r="AR2" s="1">
        <v>0</v>
      </c>
      <c r="AS2" s="1">
        <v>0</v>
      </c>
      <c r="AT2" s="1">
        <v>0</v>
      </c>
      <c r="AU2" s="1">
        <v>24</v>
      </c>
      <c r="AV2" s="1" t="s">
        <v>373</v>
      </c>
      <c r="AW2" s="1" t="s">
        <v>279</v>
      </c>
      <c r="AX2" s="1">
        <f>24/4</f>
        <v>6</v>
      </c>
      <c r="AZ2" s="108"/>
      <c r="BA2" s="1">
        <v>40</v>
      </c>
      <c r="BB2" s="19"/>
      <c r="BC2" s="19"/>
      <c r="BD2" s="19">
        <v>0</v>
      </c>
      <c r="BE2" s="8"/>
      <c r="BF2" s="106"/>
      <c r="BG2" s="8">
        <f>1*10^3*Umrechnungsfaktoren!$B$15/Umrechnungsfaktoren!$B$11</f>
        <v>1043.21608040201</v>
      </c>
      <c r="BH2" s="8"/>
      <c r="BI2" s="8">
        <v>0</v>
      </c>
      <c r="BK2" s="7">
        <v>0.66</v>
      </c>
      <c r="BL2" s="1" t="s">
        <v>384</v>
      </c>
      <c r="BM2" s="1" t="s">
        <v>486</v>
      </c>
      <c r="BN2" s="1" t="s">
        <v>486</v>
      </c>
      <c r="BO2" s="1" t="s">
        <v>486</v>
      </c>
      <c r="BP2" s="1" t="s">
        <v>1138</v>
      </c>
      <c r="BQ2" s="13" t="s">
        <v>483</v>
      </c>
      <c r="BR2" s="13" t="s">
        <v>484</v>
      </c>
      <c r="BS2" s="13"/>
      <c r="BT2" s="13" t="s">
        <v>474</v>
      </c>
      <c r="BU2" s="13" t="s">
        <v>474</v>
      </c>
      <c r="BV2" s="13" t="s">
        <v>474</v>
      </c>
      <c r="BW2" s="13"/>
      <c r="BY2" s="13"/>
      <c r="BZ2" s="13" t="s">
        <v>503</v>
      </c>
      <c r="CA2" s="13"/>
      <c r="CB2" s="1" t="s">
        <v>482</v>
      </c>
      <c r="CC2" s="1" t="s">
        <v>472</v>
      </c>
      <c r="CD2" s="1" t="s">
        <v>480</v>
      </c>
      <c r="CE2" s="1" t="s">
        <v>472</v>
      </c>
      <c r="CF2" s="1" t="s">
        <v>509</v>
      </c>
      <c r="CG2" s="1" t="s">
        <v>506</v>
      </c>
      <c r="CH2" s="1" t="s">
        <v>507</v>
      </c>
      <c r="CI2" s="1" t="s">
        <v>506</v>
      </c>
      <c r="CK2" s="1" t="s">
        <v>506</v>
      </c>
    </row>
    <row r="3" spans="1:91" x14ac:dyDescent="0.2">
      <c r="A3" s="1" t="s">
        <v>54</v>
      </c>
      <c r="B3" s="1" t="s">
        <v>129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07"/>
      <c r="O3" s="19">
        <v>189</v>
      </c>
      <c r="P3" s="19"/>
      <c r="Q3" s="19"/>
      <c r="R3" s="19"/>
      <c r="S3" s="19"/>
      <c r="T3" s="19"/>
      <c r="U3" s="19"/>
      <c r="V3" s="9">
        <v>0.75</v>
      </c>
      <c r="W3" s="9"/>
      <c r="X3" s="9">
        <v>0.25</v>
      </c>
      <c r="Y3" s="9"/>
      <c r="Z3" s="9">
        <v>1</v>
      </c>
      <c r="AA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3" s="9">
        <v>0.05</v>
      </c>
      <c r="AC3" s="20"/>
      <c r="AD3" s="19"/>
      <c r="AE3" s="9"/>
      <c r="AF3" s="19"/>
      <c r="AG3" s="42"/>
      <c r="AH3" s="42"/>
      <c r="AI3" s="42">
        <v>1</v>
      </c>
      <c r="AM3" s="108"/>
      <c r="AN3" s="1">
        <v>4</v>
      </c>
      <c r="AQ3" s="1">
        <v>0</v>
      </c>
      <c r="AR3" s="1">
        <v>0</v>
      </c>
      <c r="AS3" s="1">
        <v>0</v>
      </c>
      <c r="AT3" s="1">
        <v>0</v>
      </c>
      <c r="AU3" s="1">
        <v>24</v>
      </c>
      <c r="AV3" s="1" t="s">
        <v>373</v>
      </c>
      <c r="AW3" s="1" t="s">
        <v>279</v>
      </c>
      <c r="AX3" s="1">
        <f t="shared" ref="AX3:AX17" si="0">24/4</f>
        <v>6</v>
      </c>
      <c r="AZ3" s="108"/>
      <c r="BA3" s="1">
        <v>40</v>
      </c>
      <c r="BB3" s="19"/>
      <c r="BC3" s="19"/>
      <c r="BD3" s="19">
        <v>0</v>
      </c>
      <c r="BE3" s="8"/>
      <c r="BF3" s="106"/>
      <c r="BG3" s="8">
        <f>1*10^3*Umrechnungsfaktoren!$B$15/Umrechnungsfaktoren!$B$11</f>
        <v>1043.21608040201</v>
      </c>
      <c r="BH3" s="8"/>
      <c r="BI3" s="8">
        <v>0</v>
      </c>
      <c r="BK3" s="7">
        <v>0.66</v>
      </c>
      <c r="BL3" s="1" t="s">
        <v>384</v>
      </c>
      <c r="BM3" s="1" t="s">
        <v>486</v>
      </c>
      <c r="BN3" s="1" t="s">
        <v>486</v>
      </c>
      <c r="BO3" s="1" t="s">
        <v>486</v>
      </c>
      <c r="BP3" s="1" t="s">
        <v>473</v>
      </c>
      <c r="BQ3" s="13" t="s">
        <v>477</v>
      </c>
      <c r="BR3" s="13" t="s">
        <v>477</v>
      </c>
      <c r="BS3" s="13"/>
      <c r="BT3" s="13" t="s">
        <v>474</v>
      </c>
      <c r="BU3" s="13" t="s">
        <v>474</v>
      </c>
      <c r="BV3" s="13" t="s">
        <v>474</v>
      </c>
      <c r="BW3" s="13"/>
      <c r="BY3" s="13"/>
      <c r="BZ3" s="13" t="s">
        <v>503</v>
      </c>
      <c r="CA3" s="13"/>
      <c r="CB3" s="1" t="s">
        <v>482</v>
      </c>
      <c r="CC3" s="1" t="s">
        <v>472</v>
      </c>
      <c r="CD3" s="1" t="s">
        <v>480</v>
      </c>
      <c r="CE3" s="1" t="s">
        <v>472</v>
      </c>
      <c r="CF3" s="1" t="s">
        <v>509</v>
      </c>
      <c r="CG3" s="1" t="s">
        <v>506</v>
      </c>
      <c r="CH3" s="1" t="s">
        <v>507</v>
      </c>
      <c r="CI3" s="1" t="s">
        <v>506</v>
      </c>
      <c r="CK3" s="1" t="s">
        <v>506</v>
      </c>
    </row>
    <row r="4" spans="1:91" x14ac:dyDescent="0.2">
      <c r="A4" s="1" t="s">
        <v>54</v>
      </c>
      <c r="B4" s="1" t="s">
        <v>129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07"/>
      <c r="O4" s="19">
        <v>171</v>
      </c>
      <c r="P4" s="19"/>
      <c r="Q4" s="19"/>
      <c r="R4" s="19"/>
      <c r="S4" s="19"/>
      <c r="T4" s="19"/>
      <c r="U4" s="19"/>
      <c r="V4" s="9">
        <v>0.75</v>
      </c>
      <c r="W4" s="9"/>
      <c r="X4" s="9">
        <v>0.25</v>
      </c>
      <c r="Y4" s="9"/>
      <c r="Z4" s="9">
        <v>1</v>
      </c>
      <c r="AA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4" s="9">
        <v>0.05</v>
      </c>
      <c r="AC4" s="20"/>
      <c r="AD4" s="19"/>
      <c r="AE4" s="9"/>
      <c r="AF4" s="19"/>
      <c r="AG4" s="42"/>
      <c r="AH4" s="42"/>
      <c r="AI4" s="42">
        <v>1</v>
      </c>
      <c r="AM4" s="108"/>
      <c r="AN4" s="1">
        <v>4</v>
      </c>
      <c r="AQ4" s="1">
        <v>0</v>
      </c>
      <c r="AR4" s="1">
        <v>0</v>
      </c>
      <c r="AS4" s="1">
        <v>0</v>
      </c>
      <c r="AT4" s="1">
        <v>0</v>
      </c>
      <c r="AU4" s="1">
        <v>24</v>
      </c>
      <c r="AV4" s="1" t="s">
        <v>373</v>
      </c>
      <c r="AW4" s="1" t="s">
        <v>279</v>
      </c>
      <c r="AX4" s="1">
        <f t="shared" si="0"/>
        <v>6</v>
      </c>
      <c r="AZ4" s="108"/>
      <c r="BA4" s="1">
        <v>40</v>
      </c>
      <c r="BB4" s="19"/>
      <c r="BC4" s="19"/>
      <c r="BD4" s="19">
        <v>0</v>
      </c>
      <c r="BE4" s="8"/>
      <c r="BF4" s="106"/>
      <c r="BG4" s="8">
        <f>1*10^3*Umrechnungsfaktoren!$B$15/Umrechnungsfaktoren!$B$11</f>
        <v>1043.21608040201</v>
      </c>
      <c r="BH4" s="8"/>
      <c r="BI4" s="8">
        <v>0</v>
      </c>
      <c r="BK4" s="7">
        <v>0.66</v>
      </c>
      <c r="BL4" s="1" t="s">
        <v>384</v>
      </c>
      <c r="BM4" s="1" t="s">
        <v>486</v>
      </c>
      <c r="BN4" s="1" t="s">
        <v>486</v>
      </c>
      <c r="BO4" s="1" t="s">
        <v>486</v>
      </c>
      <c r="BP4" s="1" t="s">
        <v>473</v>
      </c>
      <c r="BQ4" s="13" t="s">
        <v>478</v>
      </c>
      <c r="BR4" s="13" t="s">
        <v>478</v>
      </c>
      <c r="BS4" s="13"/>
      <c r="BT4" s="13" t="s">
        <v>474</v>
      </c>
      <c r="BU4" s="13" t="s">
        <v>474</v>
      </c>
      <c r="BV4" s="13" t="s">
        <v>474</v>
      </c>
      <c r="BW4" s="13"/>
      <c r="BY4" s="13"/>
      <c r="BZ4" s="13" t="s">
        <v>503</v>
      </c>
      <c r="CA4" s="13"/>
      <c r="CB4" s="1" t="s">
        <v>482</v>
      </c>
      <c r="CC4" s="1" t="s">
        <v>472</v>
      </c>
      <c r="CD4" s="1" t="s">
        <v>480</v>
      </c>
      <c r="CE4" s="1" t="s">
        <v>472</v>
      </c>
      <c r="CF4" s="1" t="s">
        <v>509</v>
      </c>
      <c r="CG4" s="1" t="s">
        <v>506</v>
      </c>
      <c r="CH4" s="1" t="s">
        <v>507</v>
      </c>
      <c r="CI4" s="1" t="s">
        <v>506</v>
      </c>
      <c r="CK4" s="1" t="s">
        <v>506</v>
      </c>
    </row>
    <row r="5" spans="1:91" x14ac:dyDescent="0.2">
      <c r="A5" s="1" t="s">
        <v>54</v>
      </c>
      <c r="B5" s="1" t="s">
        <v>129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07"/>
      <c r="O5" s="19">
        <v>140</v>
      </c>
      <c r="P5" s="19"/>
      <c r="Q5" s="19"/>
      <c r="R5" s="19"/>
      <c r="S5" s="19"/>
      <c r="T5" s="19"/>
      <c r="U5" s="19"/>
      <c r="V5" s="9">
        <v>0.75</v>
      </c>
      <c r="W5" s="9"/>
      <c r="X5" s="9">
        <v>0.25</v>
      </c>
      <c r="Y5" s="9"/>
      <c r="Z5" s="9">
        <v>1</v>
      </c>
      <c r="AA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5" s="9">
        <v>0.05</v>
      </c>
      <c r="AC5" s="20"/>
      <c r="AD5" s="19"/>
      <c r="AE5" s="9"/>
      <c r="AF5" s="19"/>
      <c r="AG5" s="42"/>
      <c r="AH5" s="42"/>
      <c r="AI5" s="42">
        <v>1</v>
      </c>
      <c r="AM5" s="108"/>
      <c r="AN5" s="1">
        <v>4</v>
      </c>
      <c r="AQ5" s="1">
        <v>0</v>
      </c>
      <c r="AR5" s="1">
        <v>0</v>
      </c>
      <c r="AS5" s="1">
        <v>0</v>
      </c>
      <c r="AT5" s="1">
        <v>0</v>
      </c>
      <c r="AU5" s="1">
        <v>24</v>
      </c>
      <c r="AV5" s="1" t="s">
        <v>373</v>
      </c>
      <c r="AW5" s="1" t="s">
        <v>279</v>
      </c>
      <c r="AX5" s="1">
        <f t="shared" si="0"/>
        <v>6</v>
      </c>
      <c r="AZ5" s="108"/>
      <c r="BA5" s="1">
        <v>40</v>
      </c>
      <c r="BB5" s="19"/>
      <c r="BC5" s="19"/>
      <c r="BD5" s="19">
        <v>0</v>
      </c>
      <c r="BE5" s="8"/>
      <c r="BF5" s="106"/>
      <c r="BG5" s="8">
        <f>1*10^3*Umrechnungsfaktoren!$B$15/Umrechnungsfaktoren!$B$11</f>
        <v>1043.21608040201</v>
      </c>
      <c r="BH5" s="8"/>
      <c r="BI5" s="8">
        <v>0</v>
      </c>
      <c r="BK5" s="7">
        <v>0.66</v>
      </c>
      <c r="BL5" s="1" t="s">
        <v>384</v>
      </c>
      <c r="BM5" s="1" t="s">
        <v>486</v>
      </c>
      <c r="BN5" s="1" t="s">
        <v>486</v>
      </c>
      <c r="BO5" s="1" t="s">
        <v>486</v>
      </c>
      <c r="BP5" s="1" t="s">
        <v>473</v>
      </c>
      <c r="BQ5" s="13" t="s">
        <v>479</v>
      </c>
      <c r="BR5" s="13" t="s">
        <v>479</v>
      </c>
      <c r="BS5" s="13"/>
      <c r="BT5" s="13" t="s">
        <v>474</v>
      </c>
      <c r="BU5" s="13" t="s">
        <v>474</v>
      </c>
      <c r="BV5" s="13" t="s">
        <v>474</v>
      </c>
      <c r="BW5" s="13"/>
      <c r="BY5" s="13"/>
      <c r="BZ5" s="13" t="s">
        <v>503</v>
      </c>
      <c r="CA5" s="13"/>
      <c r="CB5" s="1" t="s">
        <v>482</v>
      </c>
      <c r="CC5" s="1" t="s">
        <v>472</v>
      </c>
      <c r="CD5" s="1" t="s">
        <v>480</v>
      </c>
      <c r="CE5" s="1" t="s">
        <v>472</v>
      </c>
      <c r="CF5" s="1" t="s">
        <v>509</v>
      </c>
      <c r="CG5" s="1" t="s">
        <v>506</v>
      </c>
      <c r="CH5" s="1" t="s">
        <v>507</v>
      </c>
      <c r="CI5" s="1" t="s">
        <v>506</v>
      </c>
      <c r="CK5" s="1" t="s">
        <v>506</v>
      </c>
    </row>
    <row r="6" spans="1:91" x14ac:dyDescent="0.2">
      <c r="A6" s="1" t="s">
        <v>29</v>
      </c>
      <c r="B6" s="1" t="s">
        <v>129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07"/>
      <c r="O6" s="19">
        <v>575</v>
      </c>
      <c r="P6" s="19"/>
      <c r="Q6" s="19"/>
      <c r="R6" s="19"/>
      <c r="S6" s="19"/>
      <c r="T6" s="19"/>
      <c r="U6" s="19"/>
      <c r="V6" s="9">
        <f>2100/5600*50%+3600/5600*30%</f>
        <v>0.38035714285714284</v>
      </c>
      <c r="W6" s="9"/>
      <c r="X6" s="9">
        <f>2100/5600*(100%-50%)+3600/5600*(100%-30%)</f>
        <v>0.63749999999999996</v>
      </c>
      <c r="Y6" s="9"/>
      <c r="Z6" s="9">
        <v>0.95</v>
      </c>
      <c r="AA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B6" s="9">
        <v>0.05</v>
      </c>
      <c r="AC6" s="20"/>
      <c r="AD6" s="19"/>
      <c r="AE6" s="9"/>
      <c r="AF6" s="19"/>
      <c r="AG6" s="42"/>
      <c r="AH6" s="42"/>
      <c r="AI6" s="42">
        <v>1</v>
      </c>
      <c r="AM6" s="108"/>
      <c r="AN6" s="1">
        <v>4</v>
      </c>
      <c r="AQ6" s="1">
        <v>0</v>
      </c>
      <c r="AR6" s="1">
        <v>0</v>
      </c>
      <c r="AS6" s="1">
        <v>0</v>
      </c>
      <c r="AT6" s="1">
        <v>0</v>
      </c>
      <c r="AU6" s="1">
        <v>24</v>
      </c>
      <c r="AV6" s="1" t="s">
        <v>373</v>
      </c>
      <c r="AW6" s="1" t="s">
        <v>279</v>
      </c>
      <c r="AX6" s="1">
        <f t="shared" si="0"/>
        <v>6</v>
      </c>
      <c r="AZ6" s="108"/>
      <c r="BA6" s="1">
        <v>40</v>
      </c>
      <c r="BB6" s="19"/>
      <c r="BC6" s="19"/>
      <c r="BD6" s="19">
        <v>0</v>
      </c>
      <c r="BE6" s="8"/>
      <c r="BF6" s="106"/>
      <c r="BG6" s="8">
        <f>1*10^3*Umrechnungsfaktoren!$B$15/Umrechnungsfaktoren!$B$11</f>
        <v>1043.21608040201</v>
      </c>
      <c r="BH6" s="8"/>
      <c r="BI6" s="8">
        <v>0</v>
      </c>
      <c r="BK6" s="7">
        <v>0.66</v>
      </c>
      <c r="BL6" s="1" t="s">
        <v>384</v>
      </c>
      <c r="BM6" s="1" t="s">
        <v>486</v>
      </c>
      <c r="BN6" s="1" t="s">
        <v>486</v>
      </c>
      <c r="BO6" s="1" t="s">
        <v>486</v>
      </c>
      <c r="BP6" s="1" t="s">
        <v>1138</v>
      </c>
      <c r="BQ6" s="13" t="s">
        <v>483</v>
      </c>
      <c r="BR6" s="13" t="s">
        <v>484</v>
      </c>
      <c r="BS6" s="13"/>
      <c r="BT6" s="13" t="s">
        <v>474</v>
      </c>
      <c r="BU6" s="13" t="s">
        <v>474</v>
      </c>
      <c r="BV6" s="13" t="s">
        <v>474</v>
      </c>
      <c r="BW6" s="13"/>
      <c r="BY6" s="13"/>
      <c r="BZ6" s="13" t="s">
        <v>503</v>
      </c>
      <c r="CA6" s="13"/>
      <c r="CB6" s="1" t="s">
        <v>482</v>
      </c>
      <c r="CC6" s="1" t="s">
        <v>472</v>
      </c>
      <c r="CD6" s="1" t="s">
        <v>480</v>
      </c>
      <c r="CE6" s="1" t="s">
        <v>472</v>
      </c>
      <c r="CF6" s="1" t="s">
        <v>509</v>
      </c>
      <c r="CG6" s="1" t="s">
        <v>506</v>
      </c>
      <c r="CH6" s="1" t="s">
        <v>507</v>
      </c>
      <c r="CI6" s="1" t="s">
        <v>506</v>
      </c>
      <c r="CK6" s="1" t="s">
        <v>506</v>
      </c>
    </row>
    <row r="7" spans="1:91" x14ac:dyDescent="0.2">
      <c r="A7" s="1" t="s">
        <v>29</v>
      </c>
      <c r="B7" s="1" t="s">
        <v>129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07"/>
      <c r="O7" s="19">
        <v>514</v>
      </c>
      <c r="P7" s="19"/>
      <c r="Q7" s="19"/>
      <c r="R7" s="19"/>
      <c r="S7" s="19"/>
      <c r="T7" s="19"/>
      <c r="U7" s="19"/>
      <c r="V7" s="9">
        <f>2100/5600*50%+3600/5600*30%</f>
        <v>0.38035714285714284</v>
      </c>
      <c r="W7" s="9"/>
      <c r="X7" s="9">
        <f>2100/5600*(100%-50%)+3600/5600*(100%-30%)</f>
        <v>0.63749999999999996</v>
      </c>
      <c r="Y7" s="9"/>
      <c r="Z7" s="9">
        <v>0.95</v>
      </c>
      <c r="AA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B7" s="9">
        <v>0.05</v>
      </c>
      <c r="AC7" s="20"/>
      <c r="AD7" s="19"/>
      <c r="AE7" s="9"/>
      <c r="AF7" s="19"/>
      <c r="AG7" s="42"/>
      <c r="AH7" s="42"/>
      <c r="AI7" s="42">
        <v>1</v>
      </c>
      <c r="AM7" s="108"/>
      <c r="AN7" s="1">
        <v>4</v>
      </c>
      <c r="AQ7" s="1">
        <v>0</v>
      </c>
      <c r="AR7" s="1">
        <v>0</v>
      </c>
      <c r="AS7" s="1">
        <v>0</v>
      </c>
      <c r="AT7" s="1">
        <v>0</v>
      </c>
      <c r="AU7" s="1">
        <v>24</v>
      </c>
      <c r="AV7" s="1" t="s">
        <v>373</v>
      </c>
      <c r="AW7" s="1" t="s">
        <v>279</v>
      </c>
      <c r="AX7" s="1">
        <f t="shared" si="0"/>
        <v>6</v>
      </c>
      <c r="AZ7" s="108"/>
      <c r="BA7" s="1">
        <v>40</v>
      </c>
      <c r="BB7" s="19"/>
      <c r="BC7" s="19"/>
      <c r="BD7" s="19">
        <v>0</v>
      </c>
      <c r="BE7" s="8"/>
      <c r="BF7" s="106"/>
      <c r="BG7" s="8">
        <f>1*10^3*Umrechnungsfaktoren!$B$15/Umrechnungsfaktoren!$B$11</f>
        <v>1043.21608040201</v>
      </c>
      <c r="BH7" s="8"/>
      <c r="BI7" s="8">
        <v>0</v>
      </c>
      <c r="BK7" s="7">
        <v>0.66</v>
      </c>
      <c r="BL7" s="1" t="s">
        <v>384</v>
      </c>
      <c r="BM7" s="1" t="s">
        <v>486</v>
      </c>
      <c r="BN7" s="1" t="s">
        <v>486</v>
      </c>
      <c r="BO7" s="1" t="s">
        <v>486</v>
      </c>
      <c r="BP7" s="1" t="s">
        <v>473</v>
      </c>
      <c r="BQ7" s="13" t="s">
        <v>477</v>
      </c>
      <c r="BR7" s="13" t="s">
        <v>477</v>
      </c>
      <c r="BS7" s="13"/>
      <c r="BT7" s="13" t="s">
        <v>474</v>
      </c>
      <c r="BU7" s="13" t="s">
        <v>474</v>
      </c>
      <c r="BV7" s="13" t="s">
        <v>474</v>
      </c>
      <c r="BW7" s="13"/>
      <c r="BY7" s="13"/>
      <c r="BZ7" s="13" t="s">
        <v>503</v>
      </c>
      <c r="CA7" s="13"/>
      <c r="CB7" s="1" t="s">
        <v>482</v>
      </c>
      <c r="CC7" s="1" t="s">
        <v>472</v>
      </c>
      <c r="CD7" s="1" t="s">
        <v>480</v>
      </c>
      <c r="CE7" s="1" t="s">
        <v>472</v>
      </c>
      <c r="CF7" s="1" t="s">
        <v>509</v>
      </c>
      <c r="CG7" s="1" t="s">
        <v>506</v>
      </c>
      <c r="CH7" s="1" t="s">
        <v>507</v>
      </c>
      <c r="CI7" s="1" t="s">
        <v>506</v>
      </c>
      <c r="CK7" s="1" t="s">
        <v>506</v>
      </c>
    </row>
    <row r="8" spans="1:91" x14ac:dyDescent="0.2">
      <c r="A8" s="1" t="s">
        <v>29</v>
      </c>
      <c r="B8" s="1" t="s">
        <v>129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07"/>
      <c r="O8" s="19">
        <v>452</v>
      </c>
      <c r="P8" s="19"/>
      <c r="Q8" s="19"/>
      <c r="R8" s="19"/>
      <c r="S8" s="19"/>
      <c r="T8" s="19"/>
      <c r="U8" s="19"/>
      <c r="V8" s="9">
        <f>2100/5600*50%+3600/5600*30%</f>
        <v>0.38035714285714284</v>
      </c>
      <c r="W8" s="9"/>
      <c r="X8" s="9">
        <f>2100/5600*(100%-50%)+3600/5600*(100%-30%)</f>
        <v>0.63749999999999996</v>
      </c>
      <c r="Y8" s="9"/>
      <c r="Z8" s="9">
        <v>0.95</v>
      </c>
      <c r="AA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B8" s="9">
        <v>0.05</v>
      </c>
      <c r="AC8" s="20"/>
      <c r="AD8" s="19"/>
      <c r="AE8" s="9"/>
      <c r="AF8" s="19"/>
      <c r="AG8" s="42"/>
      <c r="AH8" s="42"/>
      <c r="AI8" s="42">
        <v>1</v>
      </c>
      <c r="AM8" s="108"/>
      <c r="AN8" s="1">
        <v>4</v>
      </c>
      <c r="AQ8" s="1">
        <v>0</v>
      </c>
      <c r="AR8" s="1">
        <v>0</v>
      </c>
      <c r="AS8" s="1">
        <v>0</v>
      </c>
      <c r="AT8" s="1">
        <v>0</v>
      </c>
      <c r="AU8" s="1">
        <v>24</v>
      </c>
      <c r="AV8" s="1" t="s">
        <v>373</v>
      </c>
      <c r="AW8" s="1" t="s">
        <v>279</v>
      </c>
      <c r="AX8" s="1">
        <f t="shared" si="0"/>
        <v>6</v>
      </c>
      <c r="AZ8" s="108"/>
      <c r="BA8" s="1">
        <v>40</v>
      </c>
      <c r="BB8" s="19"/>
      <c r="BC8" s="19"/>
      <c r="BD8" s="19">
        <v>0</v>
      </c>
      <c r="BE8" s="8"/>
      <c r="BF8" s="106"/>
      <c r="BG8" s="8">
        <f>1*10^3*Umrechnungsfaktoren!$B$15/Umrechnungsfaktoren!$B$11</f>
        <v>1043.21608040201</v>
      </c>
      <c r="BH8" s="8"/>
      <c r="BI8" s="8">
        <v>0</v>
      </c>
      <c r="BK8" s="7">
        <v>0.66</v>
      </c>
      <c r="BL8" s="1" t="s">
        <v>384</v>
      </c>
      <c r="BM8" s="1" t="s">
        <v>486</v>
      </c>
      <c r="BN8" s="1" t="s">
        <v>486</v>
      </c>
      <c r="BO8" s="1" t="s">
        <v>486</v>
      </c>
      <c r="BP8" s="1" t="s">
        <v>473</v>
      </c>
      <c r="BQ8" s="13" t="s">
        <v>478</v>
      </c>
      <c r="BR8" s="13" t="s">
        <v>478</v>
      </c>
      <c r="BS8" s="13"/>
      <c r="BT8" s="13" t="s">
        <v>474</v>
      </c>
      <c r="BU8" s="13" t="s">
        <v>474</v>
      </c>
      <c r="BV8" s="13" t="s">
        <v>474</v>
      </c>
      <c r="BW8" s="13"/>
      <c r="BY8" s="13"/>
      <c r="BZ8" s="13" t="s">
        <v>503</v>
      </c>
      <c r="CA8" s="13"/>
      <c r="CB8" s="1" t="s">
        <v>482</v>
      </c>
      <c r="CC8" s="1" t="s">
        <v>472</v>
      </c>
      <c r="CD8" s="1" t="s">
        <v>480</v>
      </c>
      <c r="CE8" s="1" t="s">
        <v>472</v>
      </c>
      <c r="CF8" s="1" t="s">
        <v>509</v>
      </c>
      <c r="CG8" s="1" t="s">
        <v>506</v>
      </c>
      <c r="CH8" s="1" t="s">
        <v>507</v>
      </c>
      <c r="CI8" s="1" t="s">
        <v>506</v>
      </c>
      <c r="CK8" s="1" t="s">
        <v>506</v>
      </c>
    </row>
    <row r="9" spans="1:91" x14ac:dyDescent="0.2">
      <c r="A9" s="1" t="s">
        <v>29</v>
      </c>
      <c r="B9" s="1" t="s">
        <v>129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07"/>
      <c r="O9" s="19">
        <v>393</v>
      </c>
      <c r="P9" s="19"/>
      <c r="Q9" s="19"/>
      <c r="R9" s="19"/>
      <c r="S9" s="19"/>
      <c r="T9" s="19"/>
      <c r="U9" s="19"/>
      <c r="V9" s="9">
        <f>2100/5600*50%+3600/5600*30%</f>
        <v>0.38035714285714284</v>
      </c>
      <c r="W9" s="9"/>
      <c r="X9" s="9">
        <f>2100/5600*(100%-50%)+3600/5600*(100%-30%)</f>
        <v>0.63749999999999996</v>
      </c>
      <c r="Y9" s="9"/>
      <c r="Z9" s="9">
        <v>0.95</v>
      </c>
      <c r="AA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AB9" s="9">
        <v>0.05</v>
      </c>
      <c r="AC9" s="20"/>
      <c r="AD9" s="19"/>
      <c r="AE9" s="9"/>
      <c r="AF9" s="19"/>
      <c r="AG9" s="42"/>
      <c r="AH9" s="42"/>
      <c r="AI9" s="42">
        <v>1</v>
      </c>
      <c r="AM9" s="108"/>
      <c r="AN9" s="1">
        <v>4</v>
      </c>
      <c r="AQ9" s="1">
        <v>0</v>
      </c>
      <c r="AR9" s="1">
        <v>0</v>
      </c>
      <c r="AS9" s="1">
        <v>0</v>
      </c>
      <c r="AT9" s="1">
        <v>0</v>
      </c>
      <c r="AU9" s="1">
        <v>24</v>
      </c>
      <c r="AV9" s="1" t="s">
        <v>373</v>
      </c>
      <c r="AW9" s="1" t="s">
        <v>279</v>
      </c>
      <c r="AX9" s="1">
        <f t="shared" si="0"/>
        <v>6</v>
      </c>
      <c r="AZ9" s="108"/>
      <c r="BA9" s="1">
        <v>40</v>
      </c>
      <c r="BB9" s="19"/>
      <c r="BC9" s="19"/>
      <c r="BD9" s="19">
        <v>0</v>
      </c>
      <c r="BE9" s="8"/>
      <c r="BF9" s="106"/>
      <c r="BG9" s="8">
        <f>1*10^3*Umrechnungsfaktoren!$B$15/Umrechnungsfaktoren!$B$11</f>
        <v>1043.21608040201</v>
      </c>
      <c r="BH9" s="8"/>
      <c r="BI9" s="8">
        <v>0</v>
      </c>
      <c r="BK9" s="7">
        <v>0.66</v>
      </c>
      <c r="BL9" s="1" t="s">
        <v>384</v>
      </c>
      <c r="BM9" s="1" t="s">
        <v>486</v>
      </c>
      <c r="BN9" s="1" t="s">
        <v>486</v>
      </c>
      <c r="BO9" s="1" t="s">
        <v>486</v>
      </c>
      <c r="BP9" s="1" t="s">
        <v>473</v>
      </c>
      <c r="BQ9" s="13" t="s">
        <v>479</v>
      </c>
      <c r="BR9" s="13" t="s">
        <v>479</v>
      </c>
      <c r="BS9" s="13"/>
      <c r="BT9" s="13" t="s">
        <v>474</v>
      </c>
      <c r="BU9" s="13" t="s">
        <v>474</v>
      </c>
      <c r="BV9" s="13" t="s">
        <v>474</v>
      </c>
      <c r="BW9" s="13"/>
      <c r="BY9" s="13"/>
      <c r="BZ9" s="13" t="s">
        <v>503</v>
      </c>
      <c r="CA9" s="13"/>
      <c r="CB9" s="1" t="s">
        <v>482</v>
      </c>
      <c r="CC9" s="1" t="s">
        <v>472</v>
      </c>
      <c r="CD9" s="1" t="s">
        <v>480</v>
      </c>
      <c r="CE9" s="1" t="s">
        <v>472</v>
      </c>
      <c r="CF9" s="1" t="s">
        <v>509</v>
      </c>
      <c r="CG9" s="1" t="s">
        <v>506</v>
      </c>
      <c r="CH9" s="1" t="s">
        <v>507</v>
      </c>
      <c r="CI9" s="1" t="s">
        <v>506</v>
      </c>
      <c r="CK9" s="1" t="s">
        <v>506</v>
      </c>
    </row>
    <row r="10" spans="1:91" x14ac:dyDescent="0.2">
      <c r="A10" s="1" t="s">
        <v>72</v>
      </c>
      <c r="B10" s="1" t="s">
        <v>129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07"/>
      <c r="O10" s="19">
        <v>5</v>
      </c>
      <c r="P10" s="19"/>
      <c r="Q10" s="19"/>
      <c r="R10" s="19"/>
      <c r="S10" s="19"/>
      <c r="T10" s="19"/>
      <c r="U10" s="19"/>
      <c r="V10" s="9">
        <v>0.75</v>
      </c>
      <c r="W10" s="9"/>
      <c r="X10" s="9">
        <v>0.25</v>
      </c>
      <c r="Y10" s="9"/>
      <c r="Z10" s="9">
        <v>1</v>
      </c>
      <c r="AA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0" s="9">
        <v>0.05</v>
      </c>
      <c r="AC10" s="20"/>
      <c r="AD10" s="19"/>
      <c r="AE10" s="9"/>
      <c r="AF10" s="19"/>
      <c r="AG10" s="42"/>
      <c r="AH10" s="42"/>
      <c r="AI10" s="42">
        <v>1</v>
      </c>
      <c r="AM10" s="108"/>
      <c r="AN10" s="1">
        <v>4</v>
      </c>
      <c r="AQ10" s="1">
        <v>0</v>
      </c>
      <c r="AR10" s="1">
        <v>0</v>
      </c>
      <c r="AS10" s="1">
        <v>0</v>
      </c>
      <c r="AT10" s="1">
        <v>0</v>
      </c>
      <c r="AU10" s="1">
        <v>24</v>
      </c>
      <c r="AV10" s="1" t="s">
        <v>373</v>
      </c>
      <c r="AW10" s="1" t="s">
        <v>279</v>
      </c>
      <c r="AX10" s="1">
        <f t="shared" si="0"/>
        <v>6</v>
      </c>
      <c r="AZ10" s="108"/>
      <c r="BA10" s="1">
        <v>40</v>
      </c>
      <c r="BB10" s="19"/>
      <c r="BC10" s="19"/>
      <c r="BD10" s="19">
        <v>0</v>
      </c>
      <c r="BE10" s="8"/>
      <c r="BF10" s="106"/>
      <c r="BG10" s="8">
        <f>1*10^3*Umrechnungsfaktoren!$B$15/Umrechnungsfaktoren!$B$11</f>
        <v>1043.21608040201</v>
      </c>
      <c r="BH10" s="8"/>
      <c r="BI10" s="8">
        <v>0</v>
      </c>
      <c r="BK10" s="7">
        <v>0.66</v>
      </c>
      <c r="BL10" s="1" t="s">
        <v>384</v>
      </c>
      <c r="BM10" s="1" t="s">
        <v>486</v>
      </c>
      <c r="BN10" s="1" t="s">
        <v>486</v>
      </c>
      <c r="BO10" s="1" t="s">
        <v>486</v>
      </c>
      <c r="BP10" s="1" t="s">
        <v>1138</v>
      </c>
      <c r="BQ10" s="13" t="s">
        <v>483</v>
      </c>
      <c r="BR10" s="13" t="s">
        <v>484</v>
      </c>
      <c r="BS10" s="13"/>
      <c r="BT10" s="13" t="s">
        <v>474</v>
      </c>
      <c r="BU10" s="13" t="s">
        <v>474</v>
      </c>
      <c r="BV10" s="13" t="s">
        <v>474</v>
      </c>
      <c r="BW10" s="13"/>
      <c r="BY10" s="13"/>
      <c r="BZ10" s="13" t="s">
        <v>503</v>
      </c>
      <c r="CA10" s="13"/>
      <c r="CB10" s="1" t="s">
        <v>482</v>
      </c>
      <c r="CC10" s="1" t="s">
        <v>472</v>
      </c>
      <c r="CD10" s="1" t="s">
        <v>480</v>
      </c>
      <c r="CE10" s="1" t="s">
        <v>472</v>
      </c>
      <c r="CF10" s="1" t="s">
        <v>509</v>
      </c>
      <c r="CG10" s="1" t="s">
        <v>506</v>
      </c>
      <c r="CH10" s="1" t="s">
        <v>507</v>
      </c>
      <c r="CI10" s="1" t="s">
        <v>506</v>
      </c>
      <c r="CK10" s="1" t="s">
        <v>506</v>
      </c>
    </row>
    <row r="11" spans="1:91" x14ac:dyDescent="0.2">
      <c r="A11" s="1" t="s">
        <v>72</v>
      </c>
      <c r="B11" s="1" t="s">
        <v>129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07"/>
      <c r="O11" s="19">
        <v>4</v>
      </c>
      <c r="P11" s="19"/>
      <c r="Q11" s="19"/>
      <c r="R11" s="19"/>
      <c r="S11" s="19"/>
      <c r="T11" s="19"/>
      <c r="U11" s="19"/>
      <c r="V11" s="9">
        <v>0.75</v>
      </c>
      <c r="W11" s="9"/>
      <c r="X11" s="9">
        <v>0.25</v>
      </c>
      <c r="Y11" s="9"/>
      <c r="Z11" s="9">
        <v>1</v>
      </c>
      <c r="AA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1" s="9">
        <v>0.05</v>
      </c>
      <c r="AC11" s="20"/>
      <c r="AD11" s="19"/>
      <c r="AE11" s="9"/>
      <c r="AF11" s="19"/>
      <c r="AG11" s="42"/>
      <c r="AH11" s="42"/>
      <c r="AI11" s="42">
        <v>1</v>
      </c>
      <c r="AM11" s="108"/>
      <c r="AN11" s="1">
        <v>4</v>
      </c>
      <c r="AQ11" s="1">
        <v>0</v>
      </c>
      <c r="AR11" s="1">
        <v>0</v>
      </c>
      <c r="AS11" s="1">
        <v>0</v>
      </c>
      <c r="AT11" s="1">
        <v>0</v>
      </c>
      <c r="AU11" s="1">
        <v>24</v>
      </c>
      <c r="AV11" s="1" t="s">
        <v>373</v>
      </c>
      <c r="AW11" s="1" t="s">
        <v>279</v>
      </c>
      <c r="AX11" s="1">
        <f t="shared" si="0"/>
        <v>6</v>
      </c>
      <c r="AZ11" s="108"/>
      <c r="BA11" s="1">
        <v>40</v>
      </c>
      <c r="BB11" s="19"/>
      <c r="BC11" s="19"/>
      <c r="BD11" s="19">
        <v>0</v>
      </c>
      <c r="BE11" s="8"/>
      <c r="BF11" s="106"/>
      <c r="BG11" s="8">
        <f>1*10^3*Umrechnungsfaktoren!$B$15/Umrechnungsfaktoren!$B$11</f>
        <v>1043.21608040201</v>
      </c>
      <c r="BH11" s="8"/>
      <c r="BI11" s="8">
        <v>0</v>
      </c>
      <c r="BK11" s="7">
        <v>0.66</v>
      </c>
      <c r="BL11" s="1" t="s">
        <v>384</v>
      </c>
      <c r="BM11" s="1" t="s">
        <v>486</v>
      </c>
      <c r="BN11" s="1" t="s">
        <v>486</v>
      </c>
      <c r="BO11" s="1" t="s">
        <v>486</v>
      </c>
      <c r="BP11" s="1" t="s">
        <v>473</v>
      </c>
      <c r="BQ11" s="13" t="s">
        <v>477</v>
      </c>
      <c r="BR11" s="13" t="s">
        <v>477</v>
      </c>
      <c r="BS11" s="13"/>
      <c r="BT11" s="13" t="s">
        <v>474</v>
      </c>
      <c r="BU11" s="13" t="s">
        <v>474</v>
      </c>
      <c r="BV11" s="13" t="s">
        <v>474</v>
      </c>
      <c r="BW11" s="13"/>
      <c r="BY11" s="13"/>
      <c r="BZ11" s="13" t="s">
        <v>503</v>
      </c>
      <c r="CA11" s="13"/>
      <c r="CB11" s="1" t="s">
        <v>482</v>
      </c>
      <c r="CC11" s="1" t="s">
        <v>472</v>
      </c>
      <c r="CD11" s="1" t="s">
        <v>480</v>
      </c>
      <c r="CE11" s="1" t="s">
        <v>472</v>
      </c>
      <c r="CF11" s="1" t="s">
        <v>509</v>
      </c>
      <c r="CG11" s="1" t="s">
        <v>506</v>
      </c>
      <c r="CH11" s="1" t="s">
        <v>507</v>
      </c>
      <c r="CI11" s="1" t="s">
        <v>506</v>
      </c>
      <c r="CK11" s="1" t="s">
        <v>506</v>
      </c>
    </row>
    <row r="12" spans="1:91" x14ac:dyDescent="0.2">
      <c r="A12" s="1" t="s">
        <v>72</v>
      </c>
      <c r="B12" s="1" t="s">
        <v>129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07"/>
      <c r="O12" s="19">
        <v>4</v>
      </c>
      <c r="P12" s="19"/>
      <c r="Q12" s="19"/>
      <c r="R12" s="19"/>
      <c r="S12" s="19"/>
      <c r="T12" s="19"/>
      <c r="U12" s="19"/>
      <c r="V12" s="9">
        <v>0.75</v>
      </c>
      <c r="W12" s="9"/>
      <c r="X12" s="9">
        <v>0.25</v>
      </c>
      <c r="Y12" s="9"/>
      <c r="Z12" s="9">
        <v>1</v>
      </c>
      <c r="AA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2" s="9">
        <v>0.05</v>
      </c>
      <c r="AC12" s="20"/>
      <c r="AD12" s="19"/>
      <c r="AE12" s="9"/>
      <c r="AF12" s="19"/>
      <c r="AG12" s="42"/>
      <c r="AH12" s="42"/>
      <c r="AI12" s="42">
        <v>1</v>
      </c>
      <c r="AM12" s="108"/>
      <c r="AN12" s="1">
        <v>4</v>
      </c>
      <c r="AQ12" s="1">
        <v>0</v>
      </c>
      <c r="AR12" s="1">
        <v>0</v>
      </c>
      <c r="AS12" s="1">
        <v>0</v>
      </c>
      <c r="AT12" s="1">
        <v>0</v>
      </c>
      <c r="AU12" s="1">
        <v>24</v>
      </c>
      <c r="AV12" s="1" t="s">
        <v>373</v>
      </c>
      <c r="AW12" s="1" t="s">
        <v>279</v>
      </c>
      <c r="AX12" s="1">
        <f t="shared" si="0"/>
        <v>6</v>
      </c>
      <c r="AZ12" s="108"/>
      <c r="BA12" s="1">
        <v>40</v>
      </c>
      <c r="BB12" s="19"/>
      <c r="BC12" s="19"/>
      <c r="BD12" s="19">
        <v>0</v>
      </c>
      <c r="BE12" s="8"/>
      <c r="BF12" s="106"/>
      <c r="BG12" s="8">
        <f>1*10^3*Umrechnungsfaktoren!$B$15/Umrechnungsfaktoren!$B$11</f>
        <v>1043.21608040201</v>
      </c>
      <c r="BH12" s="8"/>
      <c r="BI12" s="8">
        <v>0</v>
      </c>
      <c r="BK12" s="7">
        <v>0.66</v>
      </c>
      <c r="BL12" s="1" t="s">
        <v>384</v>
      </c>
      <c r="BM12" s="1" t="s">
        <v>486</v>
      </c>
      <c r="BN12" s="1" t="s">
        <v>486</v>
      </c>
      <c r="BO12" s="1" t="s">
        <v>486</v>
      </c>
      <c r="BP12" s="1" t="s">
        <v>473</v>
      </c>
      <c r="BQ12" s="13" t="s">
        <v>478</v>
      </c>
      <c r="BR12" s="13" t="s">
        <v>478</v>
      </c>
      <c r="BS12" s="13"/>
      <c r="BT12" s="13" t="s">
        <v>474</v>
      </c>
      <c r="BU12" s="13" t="s">
        <v>474</v>
      </c>
      <c r="BV12" s="13" t="s">
        <v>474</v>
      </c>
      <c r="BW12" s="13"/>
      <c r="BY12" s="13"/>
      <c r="BZ12" s="13" t="s">
        <v>503</v>
      </c>
      <c r="CA12" s="13"/>
      <c r="CB12" s="1" t="s">
        <v>482</v>
      </c>
      <c r="CC12" s="1" t="s">
        <v>472</v>
      </c>
      <c r="CD12" s="1" t="s">
        <v>480</v>
      </c>
      <c r="CE12" s="1" t="s">
        <v>472</v>
      </c>
      <c r="CF12" s="1" t="s">
        <v>509</v>
      </c>
      <c r="CG12" s="1" t="s">
        <v>506</v>
      </c>
      <c r="CH12" s="1" t="s">
        <v>507</v>
      </c>
      <c r="CI12" s="1" t="s">
        <v>506</v>
      </c>
      <c r="CK12" s="1" t="s">
        <v>506</v>
      </c>
    </row>
    <row r="13" spans="1:91" x14ac:dyDescent="0.2">
      <c r="A13" s="1" t="s">
        <v>72</v>
      </c>
      <c r="B13" s="1" t="s">
        <v>129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07"/>
      <c r="O13" s="19">
        <v>4</v>
      </c>
      <c r="P13" s="19"/>
      <c r="Q13" s="19"/>
      <c r="R13" s="19"/>
      <c r="S13" s="19"/>
      <c r="T13" s="19"/>
      <c r="U13" s="19"/>
      <c r="V13" s="9">
        <v>0.75</v>
      </c>
      <c r="W13" s="9"/>
      <c r="X13" s="9">
        <v>0.25</v>
      </c>
      <c r="Y13" s="9"/>
      <c r="Z13" s="9">
        <v>1</v>
      </c>
      <c r="AA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3" s="9">
        <v>0.05</v>
      </c>
      <c r="AC13" s="20"/>
      <c r="AD13" s="19"/>
      <c r="AE13" s="9"/>
      <c r="AF13" s="19"/>
      <c r="AG13" s="42"/>
      <c r="AH13" s="42"/>
      <c r="AI13" s="42">
        <v>1</v>
      </c>
      <c r="AM13" s="108"/>
      <c r="AN13" s="1">
        <v>4</v>
      </c>
      <c r="AQ13" s="1">
        <v>0</v>
      </c>
      <c r="AR13" s="1">
        <v>0</v>
      </c>
      <c r="AS13" s="1">
        <v>0</v>
      </c>
      <c r="AT13" s="1">
        <v>0</v>
      </c>
      <c r="AU13" s="1">
        <v>24</v>
      </c>
      <c r="AV13" s="1" t="s">
        <v>373</v>
      </c>
      <c r="AW13" s="1" t="s">
        <v>279</v>
      </c>
      <c r="AX13" s="1">
        <f t="shared" si="0"/>
        <v>6</v>
      </c>
      <c r="AZ13" s="108"/>
      <c r="BA13" s="1">
        <v>40</v>
      </c>
      <c r="BB13" s="19"/>
      <c r="BC13" s="19"/>
      <c r="BD13" s="19">
        <v>0</v>
      </c>
      <c r="BE13" s="8"/>
      <c r="BF13" s="106"/>
      <c r="BG13" s="8">
        <f>1*10^3*Umrechnungsfaktoren!$B$15/Umrechnungsfaktoren!$B$11</f>
        <v>1043.21608040201</v>
      </c>
      <c r="BH13" s="8"/>
      <c r="BI13" s="8">
        <v>0</v>
      </c>
      <c r="BK13" s="7">
        <v>0.66</v>
      </c>
      <c r="BL13" s="1" t="s">
        <v>384</v>
      </c>
      <c r="BM13" s="1" t="s">
        <v>486</v>
      </c>
      <c r="BN13" s="1" t="s">
        <v>486</v>
      </c>
      <c r="BO13" s="1" t="s">
        <v>486</v>
      </c>
      <c r="BP13" s="1" t="s">
        <v>473</v>
      </c>
      <c r="BQ13" s="13" t="s">
        <v>479</v>
      </c>
      <c r="BR13" s="13" t="s">
        <v>479</v>
      </c>
      <c r="BS13" s="13"/>
      <c r="BT13" s="13" t="s">
        <v>474</v>
      </c>
      <c r="BU13" s="13" t="s">
        <v>474</v>
      </c>
      <c r="BV13" s="13" t="s">
        <v>474</v>
      </c>
      <c r="BW13" s="13"/>
      <c r="BY13" s="13"/>
      <c r="BZ13" s="13" t="s">
        <v>503</v>
      </c>
      <c r="CA13" s="13"/>
      <c r="CB13" s="1" t="s">
        <v>482</v>
      </c>
      <c r="CC13" s="1" t="s">
        <v>472</v>
      </c>
      <c r="CD13" s="1" t="s">
        <v>480</v>
      </c>
      <c r="CE13" s="1" t="s">
        <v>472</v>
      </c>
      <c r="CF13" s="1" t="s">
        <v>509</v>
      </c>
      <c r="CG13" s="1" t="s">
        <v>506</v>
      </c>
      <c r="CH13" s="1" t="s">
        <v>507</v>
      </c>
      <c r="CI13" s="1" t="s">
        <v>506</v>
      </c>
      <c r="CK13" s="1" t="s">
        <v>506</v>
      </c>
    </row>
    <row r="14" spans="1:91" x14ac:dyDescent="0.2">
      <c r="A14" s="1" t="s">
        <v>76</v>
      </c>
      <c r="B14" s="1" t="s">
        <v>129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07"/>
      <c r="O14" s="19">
        <v>12</v>
      </c>
      <c r="P14" s="19"/>
      <c r="Q14" s="19"/>
      <c r="R14" s="19"/>
      <c r="S14" s="19"/>
      <c r="T14" s="19"/>
      <c r="U14" s="19"/>
      <c r="V14" s="9">
        <v>0.75</v>
      </c>
      <c r="W14" s="9"/>
      <c r="X14" s="9">
        <v>0.25</v>
      </c>
      <c r="Y14" s="9"/>
      <c r="Z14" s="9">
        <v>1</v>
      </c>
      <c r="AA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4" s="9">
        <v>0.05</v>
      </c>
      <c r="AC14" s="20"/>
      <c r="AD14" s="19"/>
      <c r="AE14" s="9"/>
      <c r="AF14" s="19"/>
      <c r="AG14" s="42"/>
      <c r="AH14" s="42"/>
      <c r="AI14" s="42">
        <v>1</v>
      </c>
      <c r="AM14" s="108"/>
      <c r="AN14" s="1">
        <v>4</v>
      </c>
      <c r="AQ14" s="1">
        <v>0</v>
      </c>
      <c r="AR14" s="1">
        <v>0</v>
      </c>
      <c r="AS14" s="1">
        <v>0</v>
      </c>
      <c r="AT14" s="1">
        <v>0</v>
      </c>
      <c r="AU14" s="1">
        <v>24</v>
      </c>
      <c r="AV14" s="1" t="s">
        <v>373</v>
      </c>
      <c r="AW14" s="1" t="s">
        <v>279</v>
      </c>
      <c r="AX14" s="1">
        <f t="shared" si="0"/>
        <v>6</v>
      </c>
      <c r="AZ14" s="108"/>
      <c r="BA14" s="1">
        <v>40</v>
      </c>
      <c r="BB14" s="19"/>
      <c r="BC14" s="19"/>
      <c r="BD14" s="19">
        <v>0</v>
      </c>
      <c r="BE14" s="8"/>
      <c r="BF14" s="106"/>
      <c r="BG14" s="8">
        <f>1*10^3*Umrechnungsfaktoren!$B$15/Umrechnungsfaktoren!$B$11</f>
        <v>1043.21608040201</v>
      </c>
      <c r="BH14" s="8"/>
      <c r="BI14" s="8">
        <v>0</v>
      </c>
      <c r="BK14" s="7">
        <v>0.66</v>
      </c>
      <c r="BL14" s="1" t="s">
        <v>384</v>
      </c>
      <c r="BM14" s="1" t="s">
        <v>486</v>
      </c>
      <c r="BN14" s="1" t="s">
        <v>486</v>
      </c>
      <c r="BO14" s="1" t="s">
        <v>486</v>
      </c>
      <c r="BP14" s="1" t="s">
        <v>1138</v>
      </c>
      <c r="BQ14" s="13" t="s">
        <v>483</v>
      </c>
      <c r="BR14" s="13" t="s">
        <v>484</v>
      </c>
      <c r="BS14" s="13"/>
      <c r="BT14" s="13" t="s">
        <v>474</v>
      </c>
      <c r="BU14" s="13" t="s">
        <v>474</v>
      </c>
      <c r="BV14" s="13" t="s">
        <v>474</v>
      </c>
      <c r="BW14" s="13"/>
      <c r="BY14" s="13"/>
      <c r="BZ14" s="13" t="s">
        <v>503</v>
      </c>
      <c r="CA14" s="13"/>
      <c r="CB14" s="1" t="s">
        <v>481</v>
      </c>
      <c r="CC14" s="1" t="s">
        <v>472</v>
      </c>
      <c r="CD14" s="1" t="s">
        <v>480</v>
      </c>
      <c r="CE14" s="1" t="s">
        <v>472</v>
      </c>
      <c r="CF14" s="1" t="s">
        <v>510</v>
      </c>
      <c r="CG14" s="1" t="s">
        <v>506</v>
      </c>
      <c r="CH14" s="1" t="s">
        <v>507</v>
      </c>
      <c r="CI14" s="1" t="s">
        <v>506</v>
      </c>
      <c r="CK14" s="1" t="s">
        <v>506</v>
      </c>
    </row>
    <row r="15" spans="1:91" x14ac:dyDescent="0.2">
      <c r="A15" s="1" t="s">
        <v>76</v>
      </c>
      <c r="B15" s="1" t="s">
        <v>129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07"/>
      <c r="O15" s="19">
        <v>12</v>
      </c>
      <c r="P15" s="19"/>
      <c r="Q15" s="19"/>
      <c r="R15" s="19"/>
      <c r="S15" s="19"/>
      <c r="T15" s="19"/>
      <c r="U15" s="19"/>
      <c r="V15" s="9">
        <v>0.75</v>
      </c>
      <c r="W15" s="9"/>
      <c r="X15" s="9">
        <v>0.25</v>
      </c>
      <c r="Y15" s="9"/>
      <c r="Z15" s="9">
        <v>1</v>
      </c>
      <c r="AA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5" s="9">
        <v>0.05</v>
      </c>
      <c r="AC15" s="20"/>
      <c r="AD15" s="19"/>
      <c r="AE15" s="9"/>
      <c r="AF15" s="19"/>
      <c r="AG15" s="42"/>
      <c r="AH15" s="42"/>
      <c r="AI15" s="42">
        <v>1</v>
      </c>
      <c r="AM15" s="108"/>
      <c r="AN15" s="1">
        <v>4</v>
      </c>
      <c r="AQ15" s="1">
        <v>0</v>
      </c>
      <c r="AR15" s="1">
        <v>0</v>
      </c>
      <c r="AS15" s="1">
        <v>0</v>
      </c>
      <c r="AT15" s="1">
        <v>0</v>
      </c>
      <c r="AU15" s="1">
        <v>24</v>
      </c>
      <c r="AV15" s="1" t="s">
        <v>373</v>
      </c>
      <c r="AW15" s="1" t="s">
        <v>279</v>
      </c>
      <c r="AX15" s="1">
        <f t="shared" si="0"/>
        <v>6</v>
      </c>
      <c r="AZ15" s="108"/>
      <c r="BA15" s="1">
        <v>40</v>
      </c>
      <c r="BB15" s="19"/>
      <c r="BC15" s="19"/>
      <c r="BD15" s="19">
        <v>0</v>
      </c>
      <c r="BE15" s="8"/>
      <c r="BF15" s="106"/>
      <c r="BG15" s="8">
        <f>1*10^3*Umrechnungsfaktoren!$B$15/Umrechnungsfaktoren!$B$11</f>
        <v>1043.21608040201</v>
      </c>
      <c r="BH15" s="8"/>
      <c r="BI15" s="8">
        <v>0</v>
      </c>
      <c r="BK15" s="7">
        <v>0.66</v>
      </c>
      <c r="BL15" s="1" t="s">
        <v>384</v>
      </c>
      <c r="BM15" s="1" t="s">
        <v>486</v>
      </c>
      <c r="BN15" s="1" t="s">
        <v>486</v>
      </c>
      <c r="BO15" s="1" t="s">
        <v>486</v>
      </c>
      <c r="BP15" s="1" t="s">
        <v>473</v>
      </c>
      <c r="BQ15" s="13" t="s">
        <v>477</v>
      </c>
      <c r="BR15" s="13" t="s">
        <v>477</v>
      </c>
      <c r="BS15" s="13"/>
      <c r="BT15" s="13" t="s">
        <v>474</v>
      </c>
      <c r="BU15" s="13" t="s">
        <v>474</v>
      </c>
      <c r="BV15" s="13" t="s">
        <v>474</v>
      </c>
      <c r="BW15" s="13"/>
      <c r="BY15" s="13"/>
      <c r="BZ15" s="13" t="s">
        <v>503</v>
      </c>
      <c r="CA15" s="13"/>
      <c r="CB15" s="1" t="s">
        <v>481</v>
      </c>
      <c r="CC15" s="1" t="s">
        <v>472</v>
      </c>
      <c r="CD15" s="1" t="s">
        <v>480</v>
      </c>
      <c r="CE15" s="1" t="s">
        <v>472</v>
      </c>
      <c r="CF15" s="1" t="s">
        <v>510</v>
      </c>
      <c r="CG15" s="1" t="s">
        <v>506</v>
      </c>
      <c r="CH15" s="1" t="s">
        <v>507</v>
      </c>
      <c r="CI15" s="1" t="s">
        <v>506</v>
      </c>
      <c r="CK15" s="1" t="s">
        <v>506</v>
      </c>
    </row>
    <row r="16" spans="1:91" x14ac:dyDescent="0.2">
      <c r="A16" s="1" t="s">
        <v>76</v>
      </c>
      <c r="B16" s="1" t="s">
        <v>129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07"/>
      <c r="O16" s="19">
        <v>12</v>
      </c>
      <c r="P16" s="19"/>
      <c r="Q16" s="19"/>
      <c r="R16" s="19"/>
      <c r="S16" s="19"/>
      <c r="T16" s="19"/>
      <c r="U16" s="19"/>
      <c r="V16" s="9">
        <v>0.75</v>
      </c>
      <c r="W16" s="9"/>
      <c r="X16" s="9">
        <v>0.25</v>
      </c>
      <c r="Y16" s="9"/>
      <c r="Z16" s="9">
        <v>1</v>
      </c>
      <c r="AA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6" s="9">
        <v>0.05</v>
      </c>
      <c r="AC16" s="20"/>
      <c r="AD16" s="19"/>
      <c r="AE16" s="9"/>
      <c r="AF16" s="19"/>
      <c r="AG16" s="42"/>
      <c r="AH16" s="42"/>
      <c r="AI16" s="42">
        <v>1</v>
      </c>
      <c r="AM16" s="108"/>
      <c r="AN16" s="1">
        <v>4</v>
      </c>
      <c r="AQ16" s="1">
        <v>0</v>
      </c>
      <c r="AR16" s="1">
        <v>0</v>
      </c>
      <c r="AS16" s="1">
        <v>0</v>
      </c>
      <c r="AT16" s="1">
        <v>0</v>
      </c>
      <c r="AU16" s="1">
        <v>24</v>
      </c>
      <c r="AV16" s="1" t="s">
        <v>373</v>
      </c>
      <c r="AW16" s="1" t="s">
        <v>279</v>
      </c>
      <c r="AX16" s="1">
        <f t="shared" si="0"/>
        <v>6</v>
      </c>
      <c r="AZ16" s="108"/>
      <c r="BA16" s="1">
        <v>40</v>
      </c>
      <c r="BB16" s="19"/>
      <c r="BC16" s="19"/>
      <c r="BD16" s="19">
        <v>0</v>
      </c>
      <c r="BE16" s="8"/>
      <c r="BF16" s="106"/>
      <c r="BG16" s="8">
        <f>1*10^3*Umrechnungsfaktoren!$B$15/Umrechnungsfaktoren!$B$11</f>
        <v>1043.21608040201</v>
      </c>
      <c r="BH16" s="8"/>
      <c r="BI16" s="8">
        <v>0</v>
      </c>
      <c r="BK16" s="7">
        <v>0.66</v>
      </c>
      <c r="BL16" s="1" t="s">
        <v>384</v>
      </c>
      <c r="BM16" s="1" t="s">
        <v>486</v>
      </c>
      <c r="BN16" s="1" t="s">
        <v>486</v>
      </c>
      <c r="BO16" s="1" t="s">
        <v>486</v>
      </c>
      <c r="BP16" s="1" t="s">
        <v>473</v>
      </c>
      <c r="BQ16" s="13" t="s">
        <v>478</v>
      </c>
      <c r="BR16" s="13" t="s">
        <v>478</v>
      </c>
      <c r="BS16" s="13"/>
      <c r="BT16" s="13" t="s">
        <v>474</v>
      </c>
      <c r="BU16" s="13" t="s">
        <v>474</v>
      </c>
      <c r="BV16" s="13" t="s">
        <v>474</v>
      </c>
      <c r="BW16" s="13"/>
      <c r="BY16" s="13"/>
      <c r="BZ16" s="13" t="s">
        <v>503</v>
      </c>
      <c r="CA16" s="13"/>
      <c r="CB16" s="1" t="s">
        <v>481</v>
      </c>
      <c r="CC16" s="1" t="s">
        <v>472</v>
      </c>
      <c r="CD16" s="1" t="s">
        <v>480</v>
      </c>
      <c r="CE16" s="1" t="s">
        <v>472</v>
      </c>
      <c r="CF16" s="1" t="s">
        <v>510</v>
      </c>
      <c r="CG16" s="1" t="s">
        <v>506</v>
      </c>
      <c r="CH16" s="1" t="s">
        <v>507</v>
      </c>
      <c r="CI16" s="1" t="s">
        <v>506</v>
      </c>
      <c r="CK16" s="1" t="s">
        <v>506</v>
      </c>
    </row>
    <row r="17" spans="1:89" x14ac:dyDescent="0.2">
      <c r="A17" s="1" t="s">
        <v>76</v>
      </c>
      <c r="B17" s="1" t="s">
        <v>129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07"/>
      <c r="O17" s="19">
        <v>11</v>
      </c>
      <c r="P17" s="19"/>
      <c r="Q17" s="19"/>
      <c r="R17" s="19"/>
      <c r="S17" s="19"/>
      <c r="T17" s="19"/>
      <c r="U17" s="19"/>
      <c r="V17" s="9">
        <v>0.75</v>
      </c>
      <c r="W17" s="9"/>
      <c r="X17" s="9">
        <v>0.25</v>
      </c>
      <c r="Y17" s="9"/>
      <c r="Z17" s="9">
        <v>1</v>
      </c>
      <c r="AA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17" s="9">
        <v>0.05</v>
      </c>
      <c r="AC17" s="20"/>
      <c r="AD17" s="19"/>
      <c r="AE17" s="9"/>
      <c r="AF17" s="19"/>
      <c r="AG17" s="42"/>
      <c r="AH17" s="42"/>
      <c r="AI17" s="42">
        <v>1</v>
      </c>
      <c r="AM17" s="108"/>
      <c r="AN17" s="1">
        <v>4</v>
      </c>
      <c r="AQ17" s="1">
        <v>0</v>
      </c>
      <c r="AR17" s="1">
        <v>0</v>
      </c>
      <c r="AS17" s="1">
        <v>0</v>
      </c>
      <c r="AT17" s="1">
        <v>0</v>
      </c>
      <c r="AU17" s="1">
        <v>24</v>
      </c>
      <c r="AV17" s="1" t="s">
        <v>373</v>
      </c>
      <c r="AW17" s="1" t="s">
        <v>279</v>
      </c>
      <c r="AX17" s="1">
        <f t="shared" si="0"/>
        <v>6</v>
      </c>
      <c r="AZ17" s="108"/>
      <c r="BA17" s="1">
        <v>40</v>
      </c>
      <c r="BB17" s="19"/>
      <c r="BC17" s="19"/>
      <c r="BD17" s="19">
        <v>0</v>
      </c>
      <c r="BE17" s="8"/>
      <c r="BF17" s="106"/>
      <c r="BG17" s="8">
        <f>1*10^3*Umrechnungsfaktoren!$B$15/Umrechnungsfaktoren!$B$11</f>
        <v>1043.21608040201</v>
      </c>
      <c r="BH17" s="8"/>
      <c r="BI17" s="8">
        <v>0</v>
      </c>
      <c r="BK17" s="7">
        <v>0.66</v>
      </c>
      <c r="BL17" s="1" t="s">
        <v>384</v>
      </c>
      <c r="BM17" s="1" t="s">
        <v>486</v>
      </c>
      <c r="BN17" s="1" t="s">
        <v>486</v>
      </c>
      <c r="BO17" s="1" t="s">
        <v>486</v>
      </c>
      <c r="BP17" s="1" t="s">
        <v>473</v>
      </c>
      <c r="BQ17" s="13" t="s">
        <v>479</v>
      </c>
      <c r="BR17" s="13" t="s">
        <v>479</v>
      </c>
      <c r="BS17" s="13"/>
      <c r="BT17" s="13" t="s">
        <v>474</v>
      </c>
      <c r="BU17" s="13" t="s">
        <v>474</v>
      </c>
      <c r="BV17" s="13" t="s">
        <v>474</v>
      </c>
      <c r="BW17" s="13"/>
      <c r="BY17" s="13"/>
      <c r="BZ17" s="13" t="s">
        <v>503</v>
      </c>
      <c r="CA17" s="13"/>
      <c r="CB17" s="1" t="s">
        <v>481</v>
      </c>
      <c r="CC17" s="1" t="s">
        <v>472</v>
      </c>
      <c r="CD17" s="1" t="s">
        <v>480</v>
      </c>
      <c r="CE17" s="1" t="s">
        <v>472</v>
      </c>
      <c r="CF17" s="1" t="s">
        <v>510</v>
      </c>
      <c r="CG17" s="1" t="s">
        <v>506</v>
      </c>
      <c r="CH17" s="1" t="s">
        <v>507</v>
      </c>
      <c r="CI17" s="1" t="s">
        <v>506</v>
      </c>
      <c r="CK17" s="1" t="s">
        <v>506</v>
      </c>
    </row>
    <row r="18" spans="1:89" x14ac:dyDescent="0.2">
      <c r="A18" s="1" t="s">
        <v>77</v>
      </c>
      <c r="B18" s="1" t="s">
        <v>129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/>
      <c r="Q18" s="19"/>
      <c r="R18" s="19"/>
      <c r="S18" s="19">
        <v>63</v>
      </c>
      <c r="T18" s="19"/>
      <c r="U18" s="19"/>
      <c r="V18" s="9">
        <v>0</v>
      </c>
      <c r="W18" s="9"/>
      <c r="X18" s="9">
        <v>1</v>
      </c>
      <c r="Y18" s="9">
        <v>1</v>
      </c>
      <c r="Z18" s="9">
        <v>0.8</v>
      </c>
      <c r="AA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18" s="9">
        <v>0.05</v>
      </c>
      <c r="AC18" s="20"/>
      <c r="AD18" s="19"/>
      <c r="AE18" s="9"/>
      <c r="AF18" s="19"/>
      <c r="AG18" s="42"/>
      <c r="AH18" s="42"/>
      <c r="AI18" s="42">
        <v>0.99</v>
      </c>
      <c r="AM18" s="1">
        <v>3</v>
      </c>
      <c r="AQ18" s="1">
        <v>3</v>
      </c>
      <c r="AR18" s="1">
        <v>4</v>
      </c>
      <c r="AS18" s="1">
        <v>36</v>
      </c>
      <c r="AT18" s="1">
        <v>24</v>
      </c>
      <c r="AU18" s="1">
        <v>24</v>
      </c>
      <c r="AV18" s="1" t="s">
        <v>373</v>
      </c>
      <c r="AW18" s="1" t="s">
        <v>279</v>
      </c>
      <c r="AX18" s="1">
        <f>24/3</f>
        <v>8</v>
      </c>
      <c r="AZ18" s="1">
        <v>365</v>
      </c>
      <c r="BB18" s="19"/>
      <c r="BC18" s="19"/>
      <c r="BD18" s="8">
        <f>0*10^3*Umrechnungsfaktoren!$B$15/Umrechnungsfaktoren!$B$12</f>
        <v>0</v>
      </c>
      <c r="BE18" s="8"/>
      <c r="BF18" s="8">
        <f>150*Umrechnungsfaktoren!$B$15/Umrechnungsfaktoren!$B$12</f>
        <v>155.69999999999999</v>
      </c>
      <c r="BG18" s="8"/>
      <c r="BH18" s="8"/>
      <c r="BI18" s="8">
        <f>Tabelle58971115[[#This Row],[Investitionsausgaben €_2018/kW]]</f>
        <v>0</v>
      </c>
      <c r="BK18" s="7">
        <v>0.44</v>
      </c>
      <c r="BL18" s="1" t="s">
        <v>384</v>
      </c>
      <c r="BM18" s="1" t="s">
        <v>486</v>
      </c>
      <c r="BN18" s="1" t="s">
        <v>486</v>
      </c>
      <c r="BO18" s="1" t="s">
        <v>486</v>
      </c>
      <c r="BP18" s="1" t="s">
        <v>1138</v>
      </c>
      <c r="BQ18" s="13" t="s">
        <v>483</v>
      </c>
      <c r="BR18" s="13" t="s">
        <v>484</v>
      </c>
      <c r="BS18" s="13"/>
      <c r="BT18" s="13" t="s">
        <v>474</v>
      </c>
      <c r="BU18" s="13" t="s">
        <v>474</v>
      </c>
      <c r="BV18" s="13" t="s">
        <v>474</v>
      </c>
      <c r="BW18" s="13"/>
      <c r="BY18" s="13"/>
      <c r="BZ18" s="13" t="s">
        <v>503</v>
      </c>
      <c r="CA18" s="13"/>
      <c r="CB18" s="1" t="s">
        <v>481</v>
      </c>
      <c r="CC18" s="1" t="s">
        <v>481</v>
      </c>
      <c r="CD18" s="1" t="s">
        <v>480</v>
      </c>
      <c r="CE18" s="1" t="s">
        <v>472</v>
      </c>
      <c r="CF18" s="1" t="s">
        <v>511</v>
      </c>
      <c r="CG18" s="1" t="s">
        <v>506</v>
      </c>
      <c r="CH18" s="1" t="s">
        <v>507</v>
      </c>
      <c r="CI18" s="1" t="s">
        <v>506</v>
      </c>
      <c r="CK18" s="1" t="s">
        <v>506</v>
      </c>
    </row>
    <row r="19" spans="1:89" x14ac:dyDescent="0.2">
      <c r="A19" s="1" t="s">
        <v>77</v>
      </c>
      <c r="B19" s="1" t="s">
        <v>129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/>
      <c r="Q19" s="19"/>
      <c r="R19" s="19"/>
      <c r="S19" s="19">
        <v>60</v>
      </c>
      <c r="T19" s="19"/>
      <c r="U19" s="19"/>
      <c r="V19" s="9">
        <v>0</v>
      </c>
      <c r="W19" s="9"/>
      <c r="X19" s="9">
        <v>1</v>
      </c>
      <c r="Y19" s="9">
        <v>1</v>
      </c>
      <c r="Z19" s="9">
        <v>0.8</v>
      </c>
      <c r="AA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19" s="9">
        <v>0.05</v>
      </c>
      <c r="AC19" s="20"/>
      <c r="AD19" s="19"/>
      <c r="AE19" s="9"/>
      <c r="AF19" s="19"/>
      <c r="AG19" s="42"/>
      <c r="AH19" s="42"/>
      <c r="AI19" s="42">
        <v>0.99</v>
      </c>
      <c r="AM19" s="1">
        <v>3</v>
      </c>
      <c r="AQ19" s="1">
        <v>3</v>
      </c>
      <c r="AR19" s="1">
        <v>4</v>
      </c>
      <c r="AS19" s="1">
        <v>36</v>
      </c>
      <c r="AT19" s="1">
        <v>24</v>
      </c>
      <c r="AU19" s="1">
        <v>24</v>
      </c>
      <c r="AV19" s="1" t="s">
        <v>373</v>
      </c>
      <c r="AW19" s="1" t="s">
        <v>279</v>
      </c>
      <c r="AX19" s="1">
        <f t="shared" ref="AX19:AX29" si="1">24/3</f>
        <v>8</v>
      </c>
      <c r="AZ19" s="1">
        <v>365</v>
      </c>
      <c r="BB19" s="19"/>
      <c r="BC19" s="19"/>
      <c r="BD19" s="8">
        <f>0*10^3*Umrechnungsfaktoren!$B$15/Umrechnungsfaktoren!$B$12</f>
        <v>0</v>
      </c>
      <c r="BE19" s="8"/>
      <c r="BF19" s="8">
        <f>150*Umrechnungsfaktoren!$B$15/Umrechnungsfaktoren!$B$12</f>
        <v>155.69999999999999</v>
      </c>
      <c r="BG19" s="8"/>
      <c r="BH19" s="8"/>
      <c r="BI19" s="8">
        <f>Tabelle58971115[[#This Row],[Investitionsausgaben €_2018/kW]]</f>
        <v>0</v>
      </c>
      <c r="BK19" s="7">
        <v>0.44</v>
      </c>
      <c r="BL19" s="1" t="s">
        <v>384</v>
      </c>
      <c r="BM19" s="1" t="s">
        <v>486</v>
      </c>
      <c r="BN19" s="1" t="s">
        <v>486</v>
      </c>
      <c r="BO19" s="1" t="s">
        <v>486</v>
      </c>
      <c r="BP19" s="1" t="s">
        <v>473</v>
      </c>
      <c r="BQ19" s="13" t="s">
        <v>477</v>
      </c>
      <c r="BR19" s="13" t="s">
        <v>477</v>
      </c>
      <c r="BS19" s="13"/>
      <c r="BT19" s="13" t="s">
        <v>474</v>
      </c>
      <c r="BU19" s="13" t="s">
        <v>474</v>
      </c>
      <c r="BV19" s="13" t="s">
        <v>474</v>
      </c>
      <c r="BW19" s="13"/>
      <c r="BY19" s="13"/>
      <c r="BZ19" s="13" t="s">
        <v>503</v>
      </c>
      <c r="CA19" s="13"/>
      <c r="CB19" s="1" t="s">
        <v>481</v>
      </c>
      <c r="CC19" s="1" t="s">
        <v>481</v>
      </c>
      <c r="CD19" s="1" t="s">
        <v>480</v>
      </c>
      <c r="CE19" s="1" t="s">
        <v>472</v>
      </c>
      <c r="CF19" s="1" t="s">
        <v>511</v>
      </c>
      <c r="CG19" s="1" t="s">
        <v>506</v>
      </c>
      <c r="CH19" s="1" t="s">
        <v>507</v>
      </c>
      <c r="CI19" s="1" t="s">
        <v>506</v>
      </c>
      <c r="CK19" s="1" t="s">
        <v>506</v>
      </c>
    </row>
    <row r="20" spans="1:89" x14ac:dyDescent="0.2">
      <c r="A20" s="1" t="s">
        <v>77</v>
      </c>
      <c r="B20" s="1" t="s">
        <v>129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/>
      <c r="Q20" s="19"/>
      <c r="R20" s="19"/>
      <c r="S20" s="19">
        <v>59</v>
      </c>
      <c r="T20" s="19"/>
      <c r="U20" s="19"/>
      <c r="V20" s="9">
        <v>0</v>
      </c>
      <c r="W20" s="9"/>
      <c r="X20" s="9">
        <v>1</v>
      </c>
      <c r="Y20" s="9">
        <v>1</v>
      </c>
      <c r="Z20" s="9">
        <v>0.8</v>
      </c>
      <c r="AA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0" s="9">
        <v>0.05</v>
      </c>
      <c r="AC20" s="20"/>
      <c r="AD20" s="19"/>
      <c r="AE20" s="9"/>
      <c r="AF20" s="19"/>
      <c r="AG20" s="42"/>
      <c r="AH20" s="42"/>
      <c r="AI20" s="42">
        <v>0.99</v>
      </c>
      <c r="AM20" s="1">
        <v>3</v>
      </c>
      <c r="AQ20" s="1">
        <v>3</v>
      </c>
      <c r="AR20" s="1">
        <v>4</v>
      </c>
      <c r="AS20" s="1">
        <v>36</v>
      </c>
      <c r="AT20" s="1">
        <v>24</v>
      </c>
      <c r="AU20" s="1">
        <v>24</v>
      </c>
      <c r="AV20" s="1" t="s">
        <v>373</v>
      </c>
      <c r="AW20" s="1" t="s">
        <v>279</v>
      </c>
      <c r="AX20" s="1">
        <f t="shared" si="1"/>
        <v>8</v>
      </c>
      <c r="AZ20" s="1">
        <v>365</v>
      </c>
      <c r="BB20" s="19"/>
      <c r="BC20" s="19"/>
      <c r="BD20" s="8">
        <f>0*10^3*Umrechnungsfaktoren!$B$15/Umrechnungsfaktoren!$B$12</f>
        <v>0</v>
      </c>
      <c r="BE20" s="8"/>
      <c r="BF20" s="8">
        <f>150*Umrechnungsfaktoren!$B$15/Umrechnungsfaktoren!$B$12</f>
        <v>155.69999999999999</v>
      </c>
      <c r="BG20" s="8"/>
      <c r="BH20" s="8"/>
      <c r="BI20" s="8">
        <f>Tabelle58971115[[#This Row],[Investitionsausgaben €_2018/kW]]</f>
        <v>0</v>
      </c>
      <c r="BK20" s="7">
        <v>0.44</v>
      </c>
      <c r="BL20" s="1" t="s">
        <v>384</v>
      </c>
      <c r="BM20" s="1" t="s">
        <v>486</v>
      </c>
      <c r="BN20" s="1" t="s">
        <v>486</v>
      </c>
      <c r="BO20" s="1" t="s">
        <v>486</v>
      </c>
      <c r="BP20" s="1" t="s">
        <v>473</v>
      </c>
      <c r="BQ20" s="13" t="s">
        <v>478</v>
      </c>
      <c r="BR20" s="13" t="s">
        <v>478</v>
      </c>
      <c r="BS20" s="13"/>
      <c r="BT20" s="13" t="s">
        <v>474</v>
      </c>
      <c r="BU20" s="13" t="s">
        <v>474</v>
      </c>
      <c r="BV20" s="13" t="s">
        <v>474</v>
      </c>
      <c r="BW20" s="13"/>
      <c r="BY20" s="13"/>
      <c r="BZ20" s="13" t="s">
        <v>503</v>
      </c>
      <c r="CA20" s="13"/>
      <c r="CB20" s="1" t="s">
        <v>481</v>
      </c>
      <c r="CC20" s="1" t="s">
        <v>481</v>
      </c>
      <c r="CD20" s="1" t="s">
        <v>480</v>
      </c>
      <c r="CE20" s="1" t="s">
        <v>472</v>
      </c>
      <c r="CF20" s="1" t="s">
        <v>511</v>
      </c>
      <c r="CG20" s="1" t="s">
        <v>506</v>
      </c>
      <c r="CH20" s="1" t="s">
        <v>507</v>
      </c>
      <c r="CI20" s="1" t="s">
        <v>506</v>
      </c>
      <c r="CK20" s="1" t="s">
        <v>506</v>
      </c>
    </row>
    <row r="21" spans="1:89" x14ac:dyDescent="0.2">
      <c r="A21" s="1" t="s">
        <v>77</v>
      </c>
      <c r="B21" s="1" t="s">
        <v>129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/>
      <c r="Q21" s="19"/>
      <c r="R21" s="19"/>
      <c r="S21" s="19">
        <v>56</v>
      </c>
      <c r="T21" s="19"/>
      <c r="U21" s="19"/>
      <c r="V21" s="9">
        <v>0</v>
      </c>
      <c r="W21" s="9"/>
      <c r="X21" s="9">
        <v>1</v>
      </c>
      <c r="Y21" s="9">
        <v>1</v>
      </c>
      <c r="Z21" s="9">
        <v>0.8</v>
      </c>
      <c r="AA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1" s="9">
        <v>0.05</v>
      </c>
      <c r="AC21" s="20"/>
      <c r="AD21" s="19"/>
      <c r="AE21" s="9"/>
      <c r="AF21" s="19"/>
      <c r="AG21" s="42"/>
      <c r="AH21" s="42"/>
      <c r="AI21" s="42">
        <v>0.99</v>
      </c>
      <c r="AM21" s="1">
        <v>3</v>
      </c>
      <c r="AQ21" s="1">
        <v>3</v>
      </c>
      <c r="AR21" s="1">
        <v>4</v>
      </c>
      <c r="AS21" s="1">
        <v>36</v>
      </c>
      <c r="AT21" s="1">
        <v>24</v>
      </c>
      <c r="AU21" s="1">
        <v>24</v>
      </c>
      <c r="AV21" s="1" t="s">
        <v>373</v>
      </c>
      <c r="AW21" s="1" t="s">
        <v>279</v>
      </c>
      <c r="AX21" s="1">
        <f t="shared" si="1"/>
        <v>8</v>
      </c>
      <c r="AZ21" s="1">
        <v>365</v>
      </c>
      <c r="BB21" s="19"/>
      <c r="BC21" s="19"/>
      <c r="BD21" s="8">
        <f>0*10^3*Umrechnungsfaktoren!$B$15/Umrechnungsfaktoren!$B$12</f>
        <v>0</v>
      </c>
      <c r="BE21" s="8"/>
      <c r="BF21" s="8">
        <f>150*Umrechnungsfaktoren!$B$15/Umrechnungsfaktoren!$B$12</f>
        <v>155.69999999999999</v>
      </c>
      <c r="BG21" s="8"/>
      <c r="BH21" s="8"/>
      <c r="BI21" s="8">
        <f>Tabelle58971115[[#This Row],[Investitionsausgaben €_2018/kW]]</f>
        <v>0</v>
      </c>
      <c r="BK21" s="7">
        <v>0.44</v>
      </c>
      <c r="BL21" s="1" t="s">
        <v>384</v>
      </c>
      <c r="BM21" s="1" t="s">
        <v>486</v>
      </c>
      <c r="BN21" s="1" t="s">
        <v>486</v>
      </c>
      <c r="BO21" s="1" t="s">
        <v>486</v>
      </c>
      <c r="BP21" s="1" t="s">
        <v>473</v>
      </c>
      <c r="BQ21" s="13" t="s">
        <v>479</v>
      </c>
      <c r="BR21" s="13" t="s">
        <v>479</v>
      </c>
      <c r="BS21" s="13"/>
      <c r="BT21" s="13" t="s">
        <v>474</v>
      </c>
      <c r="BU21" s="13" t="s">
        <v>474</v>
      </c>
      <c r="BV21" s="13" t="s">
        <v>474</v>
      </c>
      <c r="BW21" s="13"/>
      <c r="BY21" s="13"/>
      <c r="BZ21" s="13" t="s">
        <v>503</v>
      </c>
      <c r="CA21" s="13"/>
      <c r="CB21" s="1" t="s">
        <v>481</v>
      </c>
      <c r="CC21" s="1" t="s">
        <v>481</v>
      </c>
      <c r="CD21" s="1" t="s">
        <v>480</v>
      </c>
      <c r="CE21" s="1" t="s">
        <v>472</v>
      </c>
      <c r="CF21" s="1" t="s">
        <v>511</v>
      </c>
      <c r="CG21" s="1" t="s">
        <v>506</v>
      </c>
      <c r="CH21" s="1" t="s">
        <v>507</v>
      </c>
      <c r="CI21" s="1" t="s">
        <v>506</v>
      </c>
      <c r="CK21" s="1" t="s">
        <v>506</v>
      </c>
    </row>
    <row r="22" spans="1:89" x14ac:dyDescent="0.2">
      <c r="A22" s="1" t="s">
        <v>80</v>
      </c>
      <c r="B22" s="1" t="s">
        <v>129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/>
      <c r="Q22" s="19"/>
      <c r="R22" s="19"/>
      <c r="S22" s="19">
        <v>125</v>
      </c>
      <c r="T22" s="19"/>
      <c r="U22" s="19"/>
      <c r="V22" s="9">
        <v>0</v>
      </c>
      <c r="W22" s="9"/>
      <c r="X22" s="9">
        <v>1</v>
      </c>
      <c r="Y22" s="9">
        <v>1</v>
      </c>
      <c r="Z22" s="9">
        <v>0.8</v>
      </c>
      <c r="AA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2" s="9">
        <v>0.05</v>
      </c>
      <c r="AC22" s="20"/>
      <c r="AD22" s="19"/>
      <c r="AE22" s="9"/>
      <c r="AF22" s="19"/>
      <c r="AG22" s="42"/>
      <c r="AH22" s="42"/>
      <c r="AI22" s="42">
        <v>0.99</v>
      </c>
      <c r="AM22" s="1">
        <v>3</v>
      </c>
      <c r="AQ22" s="1">
        <v>3</v>
      </c>
      <c r="AR22" s="1">
        <v>4</v>
      </c>
      <c r="AS22" s="1">
        <v>36</v>
      </c>
      <c r="AT22" s="1">
        <v>24</v>
      </c>
      <c r="AU22" s="1">
        <v>24</v>
      </c>
      <c r="AV22" s="1" t="s">
        <v>373</v>
      </c>
      <c r="AW22" s="1" t="s">
        <v>279</v>
      </c>
      <c r="AX22" s="1">
        <f t="shared" si="1"/>
        <v>8</v>
      </c>
      <c r="AZ22" s="1">
        <v>365</v>
      </c>
      <c r="BB22" s="19"/>
      <c r="BC22" s="19"/>
      <c r="BD22" s="8">
        <f>0*10^3*Umrechnungsfaktoren!$B$15/Umrechnungsfaktoren!$B$12</f>
        <v>0</v>
      </c>
      <c r="BE22" s="8"/>
      <c r="BF22" s="8">
        <f>150*Umrechnungsfaktoren!$B$15/Umrechnungsfaktoren!$B$12</f>
        <v>155.69999999999999</v>
      </c>
      <c r="BG22" s="8"/>
      <c r="BH22" s="8"/>
      <c r="BI22" s="8">
        <f>Tabelle58971115[[#This Row],[Investitionsausgaben €_2018/kW]]</f>
        <v>0</v>
      </c>
      <c r="BK22" s="7">
        <v>0.44</v>
      </c>
      <c r="BL22" s="1" t="s">
        <v>384</v>
      </c>
      <c r="BM22" s="1" t="s">
        <v>486</v>
      </c>
      <c r="BN22" s="1" t="s">
        <v>486</v>
      </c>
      <c r="BO22" s="1" t="s">
        <v>486</v>
      </c>
      <c r="BP22" s="1" t="s">
        <v>1138</v>
      </c>
      <c r="BQ22" s="13" t="s">
        <v>483</v>
      </c>
      <c r="BR22" s="13" t="s">
        <v>484</v>
      </c>
      <c r="BS22" s="13"/>
      <c r="BT22" s="13" t="s">
        <v>474</v>
      </c>
      <c r="BU22" s="13" t="s">
        <v>474</v>
      </c>
      <c r="BV22" s="13" t="s">
        <v>474</v>
      </c>
      <c r="BW22" s="13"/>
      <c r="BY22" s="13"/>
      <c r="BZ22" s="13" t="s">
        <v>503</v>
      </c>
      <c r="CA22" s="13"/>
      <c r="CB22" s="1" t="s">
        <v>481</v>
      </c>
      <c r="CC22" s="1" t="s">
        <v>481</v>
      </c>
      <c r="CD22" s="1" t="s">
        <v>480</v>
      </c>
      <c r="CE22" s="1" t="s">
        <v>472</v>
      </c>
      <c r="CF22" s="1" t="s">
        <v>511</v>
      </c>
      <c r="CG22" s="1" t="s">
        <v>506</v>
      </c>
      <c r="CH22" s="1" t="s">
        <v>507</v>
      </c>
      <c r="CI22" s="1" t="s">
        <v>506</v>
      </c>
      <c r="CK22" s="1" t="s">
        <v>506</v>
      </c>
    </row>
    <row r="23" spans="1:89" x14ac:dyDescent="0.2">
      <c r="A23" s="1" t="s">
        <v>80</v>
      </c>
      <c r="B23" s="1" t="s">
        <v>129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/>
      <c r="Q23" s="19"/>
      <c r="R23" s="19"/>
      <c r="S23" s="19">
        <v>156</v>
      </c>
      <c r="T23" s="19"/>
      <c r="U23" s="19"/>
      <c r="V23" s="9">
        <v>0</v>
      </c>
      <c r="W23" s="9"/>
      <c r="X23" s="9">
        <v>1</v>
      </c>
      <c r="Y23" s="9">
        <v>1</v>
      </c>
      <c r="Z23" s="9">
        <v>0.8</v>
      </c>
      <c r="AA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3" s="9">
        <v>0.05</v>
      </c>
      <c r="AC23" s="20"/>
      <c r="AD23" s="19"/>
      <c r="AE23" s="9"/>
      <c r="AF23" s="19"/>
      <c r="AG23" s="42"/>
      <c r="AH23" s="42"/>
      <c r="AI23" s="42">
        <v>0.99</v>
      </c>
      <c r="AM23" s="1">
        <v>3</v>
      </c>
      <c r="AQ23" s="1">
        <v>3</v>
      </c>
      <c r="AR23" s="1">
        <v>4</v>
      </c>
      <c r="AS23" s="1">
        <v>36</v>
      </c>
      <c r="AT23" s="1">
        <v>24</v>
      </c>
      <c r="AU23" s="1">
        <v>24</v>
      </c>
      <c r="AV23" s="1" t="s">
        <v>373</v>
      </c>
      <c r="AW23" s="1" t="s">
        <v>279</v>
      </c>
      <c r="AX23" s="1">
        <f t="shared" si="1"/>
        <v>8</v>
      </c>
      <c r="AZ23" s="1">
        <v>365</v>
      </c>
      <c r="BB23" s="19"/>
      <c r="BC23" s="19"/>
      <c r="BD23" s="8">
        <f>0*10^3*Umrechnungsfaktoren!$B$15/Umrechnungsfaktoren!$B$12</f>
        <v>0</v>
      </c>
      <c r="BE23" s="8"/>
      <c r="BF23" s="8">
        <f>150*Umrechnungsfaktoren!$B$15/Umrechnungsfaktoren!$B$12</f>
        <v>155.69999999999999</v>
      </c>
      <c r="BG23" s="8"/>
      <c r="BH23" s="8"/>
      <c r="BI23" s="8">
        <f>Tabelle58971115[[#This Row],[Investitionsausgaben €_2018/kW]]</f>
        <v>0</v>
      </c>
      <c r="BK23" s="7">
        <v>0.44</v>
      </c>
      <c r="BL23" s="1" t="s">
        <v>384</v>
      </c>
      <c r="BM23" s="1" t="s">
        <v>486</v>
      </c>
      <c r="BN23" s="1" t="s">
        <v>486</v>
      </c>
      <c r="BO23" s="1" t="s">
        <v>486</v>
      </c>
      <c r="BP23" s="1" t="s">
        <v>473</v>
      </c>
      <c r="BQ23" s="13" t="s">
        <v>477</v>
      </c>
      <c r="BR23" s="13" t="s">
        <v>477</v>
      </c>
      <c r="BS23" s="13"/>
      <c r="BT23" s="13" t="s">
        <v>474</v>
      </c>
      <c r="BU23" s="13" t="s">
        <v>474</v>
      </c>
      <c r="BV23" s="13" t="s">
        <v>474</v>
      </c>
      <c r="BW23" s="13"/>
      <c r="BY23" s="13"/>
      <c r="BZ23" s="13" t="s">
        <v>503</v>
      </c>
      <c r="CA23" s="13"/>
      <c r="CB23" s="1" t="s">
        <v>481</v>
      </c>
      <c r="CC23" s="1" t="s">
        <v>481</v>
      </c>
      <c r="CD23" s="1" t="s">
        <v>480</v>
      </c>
      <c r="CE23" s="1" t="s">
        <v>472</v>
      </c>
      <c r="CF23" s="1" t="s">
        <v>511</v>
      </c>
      <c r="CG23" s="1" t="s">
        <v>506</v>
      </c>
      <c r="CH23" s="1" t="s">
        <v>507</v>
      </c>
      <c r="CI23" s="1" t="s">
        <v>506</v>
      </c>
      <c r="CK23" s="1" t="s">
        <v>506</v>
      </c>
    </row>
    <row r="24" spans="1:89" x14ac:dyDescent="0.2">
      <c r="A24" s="1" t="s">
        <v>80</v>
      </c>
      <c r="B24" s="1" t="s">
        <v>129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/>
      <c r="Q24" s="19"/>
      <c r="R24" s="19"/>
      <c r="S24" s="19">
        <v>180</v>
      </c>
      <c r="T24" s="19"/>
      <c r="U24" s="19"/>
      <c r="V24" s="9">
        <v>0</v>
      </c>
      <c r="W24" s="9"/>
      <c r="X24" s="9">
        <v>1</v>
      </c>
      <c r="Y24" s="9">
        <v>1</v>
      </c>
      <c r="Z24" s="9">
        <v>0.8</v>
      </c>
      <c r="AA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4" s="9">
        <v>0.05</v>
      </c>
      <c r="AC24" s="20"/>
      <c r="AD24" s="19"/>
      <c r="AE24" s="9"/>
      <c r="AF24" s="19"/>
      <c r="AG24" s="42"/>
      <c r="AH24" s="42"/>
      <c r="AI24" s="42">
        <v>0.99</v>
      </c>
      <c r="AM24" s="1">
        <v>3</v>
      </c>
      <c r="AQ24" s="1">
        <v>3</v>
      </c>
      <c r="AR24" s="1">
        <v>4</v>
      </c>
      <c r="AS24" s="1">
        <v>36</v>
      </c>
      <c r="AT24" s="1">
        <v>24</v>
      </c>
      <c r="AU24" s="1">
        <v>24</v>
      </c>
      <c r="AV24" s="1" t="s">
        <v>373</v>
      </c>
      <c r="AW24" s="1" t="s">
        <v>279</v>
      </c>
      <c r="AX24" s="1">
        <f t="shared" si="1"/>
        <v>8</v>
      </c>
      <c r="AZ24" s="1">
        <v>365</v>
      </c>
      <c r="BB24" s="19"/>
      <c r="BC24" s="19"/>
      <c r="BD24" s="8">
        <f>0*10^3*Umrechnungsfaktoren!$B$15/Umrechnungsfaktoren!$B$12</f>
        <v>0</v>
      </c>
      <c r="BE24" s="8"/>
      <c r="BF24" s="8">
        <f>150*Umrechnungsfaktoren!$B$15/Umrechnungsfaktoren!$B$12</f>
        <v>155.69999999999999</v>
      </c>
      <c r="BG24" s="8"/>
      <c r="BH24" s="8"/>
      <c r="BI24" s="8">
        <f>Tabelle58971115[[#This Row],[Investitionsausgaben €_2018/kW]]</f>
        <v>0</v>
      </c>
      <c r="BK24" s="7">
        <v>0.44</v>
      </c>
      <c r="BL24" s="1" t="s">
        <v>384</v>
      </c>
      <c r="BM24" s="1" t="s">
        <v>486</v>
      </c>
      <c r="BN24" s="1" t="s">
        <v>486</v>
      </c>
      <c r="BO24" s="1" t="s">
        <v>486</v>
      </c>
      <c r="BP24" s="1" t="s">
        <v>473</v>
      </c>
      <c r="BQ24" s="13" t="s">
        <v>478</v>
      </c>
      <c r="BR24" s="13" t="s">
        <v>478</v>
      </c>
      <c r="BS24" s="13"/>
      <c r="BT24" s="13" t="s">
        <v>474</v>
      </c>
      <c r="BU24" s="13" t="s">
        <v>474</v>
      </c>
      <c r="BV24" s="13" t="s">
        <v>474</v>
      </c>
      <c r="BW24" s="13"/>
      <c r="BY24" s="13"/>
      <c r="BZ24" s="13" t="s">
        <v>503</v>
      </c>
      <c r="CA24" s="13"/>
      <c r="CB24" s="1" t="s">
        <v>481</v>
      </c>
      <c r="CC24" s="1" t="s">
        <v>481</v>
      </c>
      <c r="CD24" s="1" t="s">
        <v>480</v>
      </c>
      <c r="CE24" s="1" t="s">
        <v>472</v>
      </c>
      <c r="CF24" s="1" t="s">
        <v>511</v>
      </c>
      <c r="CG24" s="1" t="s">
        <v>506</v>
      </c>
      <c r="CH24" s="1" t="s">
        <v>507</v>
      </c>
      <c r="CI24" s="1" t="s">
        <v>506</v>
      </c>
      <c r="CK24" s="1" t="s">
        <v>506</v>
      </c>
    </row>
    <row r="25" spans="1:89" x14ac:dyDescent="0.2">
      <c r="A25" s="1" t="s">
        <v>80</v>
      </c>
      <c r="B25" s="1" t="s">
        <v>129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/>
      <c r="Q25" s="19"/>
      <c r="R25" s="19"/>
      <c r="S25" s="19">
        <v>243</v>
      </c>
      <c r="T25" s="19"/>
      <c r="U25" s="19"/>
      <c r="V25" s="9">
        <v>0</v>
      </c>
      <c r="W25" s="9"/>
      <c r="X25" s="9">
        <v>1</v>
      </c>
      <c r="Y25" s="9">
        <v>1</v>
      </c>
      <c r="Z25" s="9">
        <v>0.8</v>
      </c>
      <c r="AA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25" s="9">
        <v>0.05</v>
      </c>
      <c r="AC25" s="20"/>
      <c r="AD25" s="19"/>
      <c r="AE25" s="9"/>
      <c r="AF25" s="19"/>
      <c r="AG25" s="42"/>
      <c r="AH25" s="42"/>
      <c r="AI25" s="42">
        <v>0.99</v>
      </c>
      <c r="AM25" s="1">
        <v>3</v>
      </c>
      <c r="AQ25" s="1">
        <v>3</v>
      </c>
      <c r="AR25" s="1">
        <v>4</v>
      </c>
      <c r="AS25" s="1">
        <v>36</v>
      </c>
      <c r="AT25" s="1">
        <v>24</v>
      </c>
      <c r="AU25" s="1">
        <v>24</v>
      </c>
      <c r="AV25" s="1" t="s">
        <v>373</v>
      </c>
      <c r="AW25" s="1" t="s">
        <v>279</v>
      </c>
      <c r="AX25" s="1">
        <f t="shared" si="1"/>
        <v>8</v>
      </c>
      <c r="AZ25" s="1">
        <v>365</v>
      </c>
      <c r="BB25" s="19"/>
      <c r="BC25" s="19"/>
      <c r="BD25" s="8">
        <f>0*10^3*Umrechnungsfaktoren!$B$15/Umrechnungsfaktoren!$B$12</f>
        <v>0</v>
      </c>
      <c r="BE25" s="8"/>
      <c r="BF25" s="8">
        <f>150*Umrechnungsfaktoren!$B$15/Umrechnungsfaktoren!$B$12</f>
        <v>155.69999999999999</v>
      </c>
      <c r="BG25" s="8"/>
      <c r="BH25" s="8"/>
      <c r="BI25" s="8">
        <f>Tabelle58971115[[#This Row],[Investitionsausgaben €_2018/kW]]</f>
        <v>0</v>
      </c>
      <c r="BK25" s="7">
        <v>0.44</v>
      </c>
      <c r="BL25" s="1" t="s">
        <v>384</v>
      </c>
      <c r="BM25" s="1" t="s">
        <v>486</v>
      </c>
      <c r="BN25" s="1" t="s">
        <v>486</v>
      </c>
      <c r="BO25" s="1" t="s">
        <v>486</v>
      </c>
      <c r="BP25" s="1" t="s">
        <v>473</v>
      </c>
      <c r="BQ25" s="13" t="s">
        <v>479</v>
      </c>
      <c r="BR25" s="13" t="s">
        <v>479</v>
      </c>
      <c r="BS25" s="13"/>
      <c r="BT25" s="13" t="s">
        <v>474</v>
      </c>
      <c r="BU25" s="13" t="s">
        <v>474</v>
      </c>
      <c r="BV25" s="13" t="s">
        <v>474</v>
      </c>
      <c r="BW25" s="13"/>
      <c r="BY25" s="13"/>
      <c r="BZ25" s="13" t="s">
        <v>503</v>
      </c>
      <c r="CA25" s="13"/>
      <c r="CB25" s="1" t="s">
        <v>481</v>
      </c>
      <c r="CC25" s="1" t="s">
        <v>481</v>
      </c>
      <c r="CD25" s="1" t="s">
        <v>480</v>
      </c>
      <c r="CE25" s="1" t="s">
        <v>472</v>
      </c>
      <c r="CF25" s="1" t="s">
        <v>511</v>
      </c>
      <c r="CG25" s="1" t="s">
        <v>506</v>
      </c>
      <c r="CH25" s="1" t="s">
        <v>507</v>
      </c>
      <c r="CI25" s="1" t="s">
        <v>506</v>
      </c>
      <c r="CK25" s="1" t="s">
        <v>506</v>
      </c>
    </row>
    <row r="26" spans="1:89" x14ac:dyDescent="0.2">
      <c r="A26" s="1" t="s">
        <v>81</v>
      </c>
      <c r="B26" s="1" t="s">
        <v>129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/>
      <c r="Q26" s="19"/>
      <c r="R26" s="19"/>
      <c r="S26" s="19">
        <v>112</v>
      </c>
      <c r="T26" s="19"/>
      <c r="U26" s="19"/>
      <c r="V26" s="9">
        <v>0.7</v>
      </c>
      <c r="W26" s="9"/>
      <c r="X26" s="9">
        <v>0.3</v>
      </c>
      <c r="Y26" s="9">
        <v>1</v>
      </c>
      <c r="Z26" s="9">
        <v>0.9</v>
      </c>
      <c r="AA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B26" s="9">
        <v>0.05</v>
      </c>
      <c r="AC26" s="20"/>
      <c r="AD26" s="19"/>
      <c r="AE26" s="9"/>
      <c r="AF26" s="19"/>
      <c r="AG26" s="42"/>
      <c r="AH26" s="42"/>
      <c r="AI26" s="42">
        <v>0.99</v>
      </c>
      <c r="AM26" s="1">
        <v>3</v>
      </c>
      <c r="AQ26" s="1">
        <v>3</v>
      </c>
      <c r="AR26" s="1">
        <v>4</v>
      </c>
      <c r="AS26" s="1">
        <v>36</v>
      </c>
      <c r="AT26" s="1">
        <v>24</v>
      </c>
      <c r="AU26" s="1">
        <v>24</v>
      </c>
      <c r="AV26" s="1" t="s">
        <v>373</v>
      </c>
      <c r="AW26" s="1" t="s">
        <v>279</v>
      </c>
      <c r="AX26" s="1">
        <f t="shared" si="1"/>
        <v>8</v>
      </c>
      <c r="AZ26" s="1">
        <v>365</v>
      </c>
      <c r="BB26" s="19"/>
      <c r="BC26" s="19"/>
      <c r="BD26" s="8">
        <f>0*10^3*Umrechnungsfaktoren!$B$15/Umrechnungsfaktoren!$B$12</f>
        <v>0</v>
      </c>
      <c r="BE26" s="8"/>
      <c r="BF26" s="8">
        <f>150*Umrechnungsfaktoren!$B$15/Umrechnungsfaktoren!$B$12</f>
        <v>155.69999999999999</v>
      </c>
      <c r="BG26" s="8"/>
      <c r="BH26" s="8"/>
      <c r="BI26" s="8">
        <f>Tabelle58971115[[#This Row],[Investitionsausgaben €_2018/kW]]</f>
        <v>0</v>
      </c>
      <c r="BK26" s="7">
        <v>0.44</v>
      </c>
      <c r="BL26" s="1" t="s">
        <v>384</v>
      </c>
      <c r="BM26" s="1" t="s">
        <v>486</v>
      </c>
      <c r="BN26" s="1" t="s">
        <v>486</v>
      </c>
      <c r="BO26" s="1" t="s">
        <v>486</v>
      </c>
      <c r="BP26" s="1" t="s">
        <v>1138</v>
      </c>
      <c r="BQ26" s="13" t="s">
        <v>483</v>
      </c>
      <c r="BR26" s="13" t="s">
        <v>484</v>
      </c>
      <c r="BS26" s="13"/>
      <c r="BT26" s="13" t="s">
        <v>474</v>
      </c>
      <c r="BU26" s="13" t="s">
        <v>474</v>
      </c>
      <c r="BV26" s="13" t="s">
        <v>474</v>
      </c>
      <c r="BW26" s="13"/>
      <c r="BY26" s="13"/>
      <c r="BZ26" s="13" t="s">
        <v>503</v>
      </c>
      <c r="CA26" s="13"/>
      <c r="CB26" s="1" t="s">
        <v>481</v>
      </c>
      <c r="CC26" s="1" t="s">
        <v>481</v>
      </c>
      <c r="CD26" s="1" t="s">
        <v>480</v>
      </c>
      <c r="CE26" s="1" t="s">
        <v>472</v>
      </c>
      <c r="CF26" s="1" t="s">
        <v>511</v>
      </c>
      <c r="CG26" s="1" t="s">
        <v>506</v>
      </c>
      <c r="CH26" s="1" t="s">
        <v>507</v>
      </c>
      <c r="CI26" s="1" t="s">
        <v>506</v>
      </c>
      <c r="CK26" s="1" t="s">
        <v>506</v>
      </c>
    </row>
    <row r="27" spans="1:89" x14ac:dyDescent="0.2">
      <c r="A27" s="1" t="s">
        <v>81</v>
      </c>
      <c r="B27" s="1" t="s">
        <v>129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/>
      <c r="Q27" s="19"/>
      <c r="R27" s="19"/>
      <c r="S27" s="19">
        <v>145</v>
      </c>
      <c r="T27" s="19"/>
      <c r="U27" s="19"/>
      <c r="V27" s="9">
        <v>0.7</v>
      </c>
      <c r="W27" s="9"/>
      <c r="X27" s="9">
        <v>0.3</v>
      </c>
      <c r="Y27" s="9">
        <v>1</v>
      </c>
      <c r="Z27" s="9">
        <v>0.9</v>
      </c>
      <c r="AA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B27" s="9">
        <v>0.05</v>
      </c>
      <c r="AC27" s="20"/>
      <c r="AD27" s="19"/>
      <c r="AE27" s="9"/>
      <c r="AF27" s="19"/>
      <c r="AG27" s="42"/>
      <c r="AH27" s="42"/>
      <c r="AI27" s="42">
        <v>0.99</v>
      </c>
      <c r="AM27" s="1">
        <v>3</v>
      </c>
      <c r="AQ27" s="1">
        <v>3</v>
      </c>
      <c r="AR27" s="1">
        <v>4</v>
      </c>
      <c r="AS27" s="1">
        <v>36</v>
      </c>
      <c r="AT27" s="1">
        <v>24</v>
      </c>
      <c r="AU27" s="1">
        <v>24</v>
      </c>
      <c r="AV27" s="1" t="s">
        <v>373</v>
      </c>
      <c r="AW27" s="1" t="s">
        <v>279</v>
      </c>
      <c r="AX27" s="1">
        <f t="shared" si="1"/>
        <v>8</v>
      </c>
      <c r="AZ27" s="1">
        <v>365</v>
      </c>
      <c r="BB27" s="19"/>
      <c r="BC27" s="19"/>
      <c r="BD27" s="8">
        <f>0*10^3*Umrechnungsfaktoren!$B$15/Umrechnungsfaktoren!$B$12</f>
        <v>0</v>
      </c>
      <c r="BE27" s="8"/>
      <c r="BF27" s="8">
        <f>150*Umrechnungsfaktoren!$B$15/Umrechnungsfaktoren!$B$12</f>
        <v>155.69999999999999</v>
      </c>
      <c r="BG27" s="8"/>
      <c r="BH27" s="8"/>
      <c r="BI27" s="8">
        <f>Tabelle58971115[[#This Row],[Investitionsausgaben €_2018/kW]]</f>
        <v>0</v>
      </c>
      <c r="BK27" s="7">
        <v>0.44</v>
      </c>
      <c r="BL27" s="1" t="s">
        <v>384</v>
      </c>
      <c r="BM27" s="1" t="s">
        <v>486</v>
      </c>
      <c r="BN27" s="1" t="s">
        <v>486</v>
      </c>
      <c r="BO27" s="1" t="s">
        <v>486</v>
      </c>
      <c r="BP27" s="1" t="s">
        <v>473</v>
      </c>
      <c r="BQ27" s="13" t="s">
        <v>477</v>
      </c>
      <c r="BR27" s="13" t="s">
        <v>477</v>
      </c>
      <c r="BS27" s="13"/>
      <c r="BT27" s="13" t="s">
        <v>474</v>
      </c>
      <c r="BU27" s="13" t="s">
        <v>474</v>
      </c>
      <c r="BV27" s="13" t="s">
        <v>474</v>
      </c>
      <c r="BW27" s="13"/>
      <c r="BY27" s="13"/>
      <c r="BZ27" s="13" t="s">
        <v>503</v>
      </c>
      <c r="CA27" s="13"/>
      <c r="CB27" s="1" t="s">
        <v>481</v>
      </c>
      <c r="CC27" s="1" t="s">
        <v>481</v>
      </c>
      <c r="CD27" s="1" t="s">
        <v>480</v>
      </c>
      <c r="CE27" s="1" t="s">
        <v>472</v>
      </c>
      <c r="CF27" s="1" t="s">
        <v>511</v>
      </c>
      <c r="CG27" s="1" t="s">
        <v>506</v>
      </c>
      <c r="CH27" s="1" t="s">
        <v>507</v>
      </c>
      <c r="CI27" s="1" t="s">
        <v>506</v>
      </c>
      <c r="CK27" s="1" t="s">
        <v>506</v>
      </c>
    </row>
    <row r="28" spans="1:89" x14ac:dyDescent="0.2">
      <c r="A28" s="1" t="s">
        <v>81</v>
      </c>
      <c r="B28" s="1" t="s">
        <v>129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/>
      <c r="Q28" s="19"/>
      <c r="R28" s="19"/>
      <c r="S28" s="19">
        <v>156</v>
      </c>
      <c r="T28" s="19"/>
      <c r="U28" s="19"/>
      <c r="V28" s="9">
        <v>0.7</v>
      </c>
      <c r="W28" s="9"/>
      <c r="X28" s="9">
        <v>0.3</v>
      </c>
      <c r="Y28" s="9">
        <v>1</v>
      </c>
      <c r="Z28" s="9">
        <v>0.9</v>
      </c>
      <c r="AA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B28" s="9">
        <v>0.05</v>
      </c>
      <c r="AC28" s="20"/>
      <c r="AD28" s="19"/>
      <c r="AE28" s="9"/>
      <c r="AF28" s="19"/>
      <c r="AG28" s="42"/>
      <c r="AH28" s="42"/>
      <c r="AI28" s="42">
        <v>0.99</v>
      </c>
      <c r="AM28" s="1">
        <v>3</v>
      </c>
      <c r="AQ28" s="1">
        <v>3</v>
      </c>
      <c r="AR28" s="1">
        <v>4</v>
      </c>
      <c r="AS28" s="1">
        <v>36</v>
      </c>
      <c r="AT28" s="1">
        <v>24</v>
      </c>
      <c r="AU28" s="1">
        <v>24</v>
      </c>
      <c r="AV28" s="1" t="s">
        <v>373</v>
      </c>
      <c r="AW28" s="1" t="s">
        <v>279</v>
      </c>
      <c r="AX28" s="1">
        <f t="shared" si="1"/>
        <v>8</v>
      </c>
      <c r="AZ28" s="1">
        <v>365</v>
      </c>
      <c r="BB28" s="19"/>
      <c r="BC28" s="19"/>
      <c r="BD28" s="8">
        <f>0*10^3*Umrechnungsfaktoren!$B$15/Umrechnungsfaktoren!$B$12</f>
        <v>0</v>
      </c>
      <c r="BE28" s="8"/>
      <c r="BF28" s="8">
        <f>150*Umrechnungsfaktoren!$B$15/Umrechnungsfaktoren!$B$12</f>
        <v>155.69999999999999</v>
      </c>
      <c r="BG28" s="8"/>
      <c r="BH28" s="8"/>
      <c r="BI28" s="8">
        <f>Tabelle58971115[[#This Row],[Investitionsausgaben €_2018/kW]]</f>
        <v>0</v>
      </c>
      <c r="BK28" s="7">
        <v>0.44</v>
      </c>
      <c r="BL28" s="1" t="s">
        <v>384</v>
      </c>
      <c r="BM28" s="1" t="s">
        <v>486</v>
      </c>
      <c r="BN28" s="1" t="s">
        <v>486</v>
      </c>
      <c r="BO28" s="1" t="s">
        <v>486</v>
      </c>
      <c r="BP28" s="1" t="s">
        <v>473</v>
      </c>
      <c r="BQ28" s="13" t="s">
        <v>478</v>
      </c>
      <c r="BR28" s="13" t="s">
        <v>478</v>
      </c>
      <c r="BS28" s="13"/>
      <c r="BT28" s="13" t="s">
        <v>474</v>
      </c>
      <c r="BU28" s="13" t="s">
        <v>474</v>
      </c>
      <c r="BV28" s="13" t="s">
        <v>474</v>
      </c>
      <c r="BW28" s="13"/>
      <c r="BY28" s="13"/>
      <c r="BZ28" s="13" t="s">
        <v>503</v>
      </c>
      <c r="CA28" s="13"/>
      <c r="CB28" s="1" t="s">
        <v>481</v>
      </c>
      <c r="CC28" s="1" t="s">
        <v>481</v>
      </c>
      <c r="CD28" s="1" t="s">
        <v>480</v>
      </c>
      <c r="CE28" s="1" t="s">
        <v>472</v>
      </c>
      <c r="CF28" s="1" t="s">
        <v>511</v>
      </c>
      <c r="CG28" s="1" t="s">
        <v>506</v>
      </c>
      <c r="CH28" s="1" t="s">
        <v>507</v>
      </c>
      <c r="CI28" s="1" t="s">
        <v>506</v>
      </c>
      <c r="CK28" s="1" t="s">
        <v>506</v>
      </c>
    </row>
    <row r="29" spans="1:89" x14ac:dyDescent="0.2">
      <c r="A29" s="1" t="s">
        <v>81</v>
      </c>
      <c r="B29" s="1" t="s">
        <v>129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/>
      <c r="Q29" s="19"/>
      <c r="R29" s="19"/>
      <c r="S29" s="19">
        <v>181</v>
      </c>
      <c r="T29" s="19"/>
      <c r="U29" s="19"/>
      <c r="V29" s="9">
        <v>0.7</v>
      </c>
      <c r="W29" s="9"/>
      <c r="X29" s="9">
        <v>0.3</v>
      </c>
      <c r="Y29" s="9">
        <v>1</v>
      </c>
      <c r="Z29" s="9">
        <v>0.9</v>
      </c>
      <c r="AA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AB29" s="9">
        <v>0.05</v>
      </c>
      <c r="AC29" s="20"/>
      <c r="AD29" s="19"/>
      <c r="AE29" s="9"/>
      <c r="AF29" s="19"/>
      <c r="AG29" s="42"/>
      <c r="AH29" s="42"/>
      <c r="AI29" s="42">
        <v>0.99</v>
      </c>
      <c r="AM29" s="1">
        <v>3</v>
      </c>
      <c r="AQ29" s="1">
        <v>3</v>
      </c>
      <c r="AR29" s="1">
        <v>4</v>
      </c>
      <c r="AS29" s="1">
        <v>36</v>
      </c>
      <c r="AT29" s="1">
        <v>24</v>
      </c>
      <c r="AU29" s="1">
        <v>24</v>
      </c>
      <c r="AV29" s="1" t="s">
        <v>373</v>
      </c>
      <c r="AW29" s="1" t="s">
        <v>279</v>
      </c>
      <c r="AX29" s="1">
        <f t="shared" si="1"/>
        <v>8</v>
      </c>
      <c r="AZ29" s="1">
        <v>365</v>
      </c>
      <c r="BB29" s="19"/>
      <c r="BC29" s="19"/>
      <c r="BD29" s="8">
        <f>0*10^3*Umrechnungsfaktoren!$B$15/Umrechnungsfaktoren!$B$12</f>
        <v>0</v>
      </c>
      <c r="BE29" s="8"/>
      <c r="BF29" s="8">
        <f>150*Umrechnungsfaktoren!$B$15/Umrechnungsfaktoren!$B$12</f>
        <v>155.69999999999999</v>
      </c>
      <c r="BG29" s="8"/>
      <c r="BH29" s="8"/>
      <c r="BI29" s="8">
        <f>Tabelle58971115[[#This Row],[Investitionsausgaben €_2018/kW]]</f>
        <v>0</v>
      </c>
      <c r="BK29" s="7">
        <v>0.44</v>
      </c>
      <c r="BL29" s="1" t="s">
        <v>384</v>
      </c>
      <c r="BM29" s="1" t="s">
        <v>486</v>
      </c>
      <c r="BN29" s="1" t="s">
        <v>486</v>
      </c>
      <c r="BO29" s="1" t="s">
        <v>486</v>
      </c>
      <c r="BP29" s="1" t="s">
        <v>473</v>
      </c>
      <c r="BQ29" s="13" t="s">
        <v>479</v>
      </c>
      <c r="BR29" s="13" t="s">
        <v>479</v>
      </c>
      <c r="BS29" s="13"/>
      <c r="BT29" s="13" t="s">
        <v>474</v>
      </c>
      <c r="BU29" s="13" t="s">
        <v>474</v>
      </c>
      <c r="BV29" s="13" t="s">
        <v>474</v>
      </c>
      <c r="BW29" s="13"/>
      <c r="BY29" s="13"/>
      <c r="BZ29" s="13" t="s">
        <v>503</v>
      </c>
      <c r="CA29" s="13"/>
      <c r="CB29" s="1" t="s">
        <v>481</v>
      </c>
      <c r="CC29" s="1" t="s">
        <v>481</v>
      </c>
      <c r="CD29" s="1" t="s">
        <v>480</v>
      </c>
      <c r="CE29" s="1" t="s">
        <v>472</v>
      </c>
      <c r="CF29" s="1" t="s">
        <v>511</v>
      </c>
      <c r="CG29" s="1" t="s">
        <v>506</v>
      </c>
      <c r="CH29" s="1" t="s">
        <v>507</v>
      </c>
      <c r="CI29" s="1" t="s">
        <v>506</v>
      </c>
      <c r="CK29" s="1" t="s">
        <v>506</v>
      </c>
    </row>
    <row r="30" spans="1:89" x14ac:dyDescent="0.2">
      <c r="A30" s="1" t="s">
        <v>84</v>
      </c>
      <c r="B30" s="1" t="s">
        <v>129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07"/>
      <c r="O30" s="19">
        <v>931</v>
      </c>
      <c r="P30" s="19"/>
      <c r="Q30" s="19"/>
      <c r="R30" s="19"/>
      <c r="S30" s="19"/>
      <c r="T30" s="19"/>
      <c r="U30" s="19"/>
      <c r="V30" s="9">
        <v>0</v>
      </c>
      <c r="W30" s="9"/>
      <c r="X30" s="9">
        <v>1</v>
      </c>
      <c r="Y30" s="9">
        <v>1</v>
      </c>
      <c r="Z30" s="9">
        <v>1</v>
      </c>
      <c r="AA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30" s="9">
        <v>0.05</v>
      </c>
      <c r="AC30" s="20"/>
      <c r="AD30" s="19"/>
      <c r="AE30" s="9"/>
      <c r="AF30" s="19"/>
      <c r="AG30" s="42"/>
      <c r="AH30" s="42"/>
      <c r="AI30" s="42">
        <v>1</v>
      </c>
      <c r="AM30" s="108"/>
      <c r="AN30" s="1">
        <v>4</v>
      </c>
      <c r="AQ30" s="1">
        <v>0</v>
      </c>
      <c r="AR30" s="1">
        <v>0</v>
      </c>
      <c r="AS30" s="1">
        <v>0</v>
      </c>
      <c r="AT30" s="1">
        <v>0</v>
      </c>
      <c r="AU30" s="1">
        <v>24</v>
      </c>
      <c r="AV30" s="1" t="s">
        <v>373</v>
      </c>
      <c r="AW30" s="1" t="s">
        <v>279</v>
      </c>
      <c r="AX30" s="1">
        <f>24/4</f>
        <v>6</v>
      </c>
      <c r="AZ30" s="108"/>
      <c r="BA30" s="1">
        <v>40</v>
      </c>
      <c r="BB30" s="19"/>
      <c r="BC30" s="19"/>
      <c r="BD30" s="19">
        <v>0</v>
      </c>
      <c r="BE30" s="8"/>
      <c r="BF30" s="8"/>
      <c r="BG30" s="8">
        <f>1*10^3*Umrechnungsfaktoren!$B$15/Umrechnungsfaktoren!$B$11</f>
        <v>1043.21608040201</v>
      </c>
      <c r="BH30" s="8"/>
      <c r="BI30" s="8">
        <v>0</v>
      </c>
      <c r="BK30" s="7">
        <v>0.66</v>
      </c>
      <c r="BL30" s="1" t="s">
        <v>384</v>
      </c>
      <c r="BM30" s="1" t="s">
        <v>486</v>
      </c>
      <c r="BN30" s="1" t="s">
        <v>486</v>
      </c>
      <c r="BO30" s="1" t="s">
        <v>486</v>
      </c>
      <c r="BP30" s="1" t="s">
        <v>1138</v>
      </c>
      <c r="BQ30" s="13" t="s">
        <v>483</v>
      </c>
      <c r="BR30" s="13" t="s">
        <v>484</v>
      </c>
      <c r="BS30" s="13"/>
      <c r="BT30" s="13" t="s">
        <v>474</v>
      </c>
      <c r="BU30" s="13" t="s">
        <v>474</v>
      </c>
      <c r="BV30" s="13" t="s">
        <v>474</v>
      </c>
      <c r="BW30" s="13"/>
      <c r="BY30" s="13"/>
      <c r="BZ30" s="13" t="s">
        <v>503</v>
      </c>
      <c r="CA30" s="13"/>
      <c r="CB30" s="1" t="s">
        <v>482</v>
      </c>
      <c r="CC30" s="1" t="s">
        <v>472</v>
      </c>
      <c r="CD30" s="1" t="s">
        <v>480</v>
      </c>
      <c r="CE30" s="1" t="s">
        <v>472</v>
      </c>
      <c r="CF30" s="1" t="s">
        <v>509</v>
      </c>
      <c r="CG30" s="1" t="s">
        <v>506</v>
      </c>
      <c r="CH30" s="1" t="s">
        <v>507</v>
      </c>
      <c r="CI30" s="1" t="s">
        <v>506</v>
      </c>
      <c r="CK30" s="1" t="s">
        <v>506</v>
      </c>
    </row>
    <row r="31" spans="1:89" x14ac:dyDescent="0.2">
      <c r="A31" s="1" t="s">
        <v>84</v>
      </c>
      <c r="B31" s="1" t="s">
        <v>129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07"/>
      <c r="O31" s="19">
        <v>1173</v>
      </c>
      <c r="P31" s="19"/>
      <c r="Q31" s="19"/>
      <c r="R31" s="19"/>
      <c r="S31" s="19"/>
      <c r="T31" s="19"/>
      <c r="U31" s="19"/>
      <c r="V31" s="9">
        <v>0</v>
      </c>
      <c r="W31" s="9"/>
      <c r="X31" s="9">
        <v>1</v>
      </c>
      <c r="Y31" s="9">
        <v>1</v>
      </c>
      <c r="Z31" s="9">
        <v>1</v>
      </c>
      <c r="AA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31" s="9">
        <v>0.05</v>
      </c>
      <c r="AC31" s="20"/>
      <c r="AD31" s="19"/>
      <c r="AE31" s="9"/>
      <c r="AF31" s="19"/>
      <c r="AG31" s="42"/>
      <c r="AH31" s="42"/>
      <c r="AI31" s="42">
        <v>1</v>
      </c>
      <c r="AM31" s="108"/>
      <c r="AN31" s="1">
        <v>4</v>
      </c>
      <c r="AQ31" s="1">
        <v>0</v>
      </c>
      <c r="AR31" s="1">
        <v>0</v>
      </c>
      <c r="AS31" s="1">
        <v>0</v>
      </c>
      <c r="AT31" s="1">
        <v>0</v>
      </c>
      <c r="AU31" s="1">
        <v>24</v>
      </c>
      <c r="AV31" s="1" t="s">
        <v>373</v>
      </c>
      <c r="AW31" s="1" t="s">
        <v>279</v>
      </c>
      <c r="AX31" s="1">
        <f>24/4</f>
        <v>6</v>
      </c>
      <c r="AZ31" s="108"/>
      <c r="BA31" s="1">
        <v>40</v>
      </c>
      <c r="BB31" s="19"/>
      <c r="BC31" s="19"/>
      <c r="BD31" s="19">
        <v>0</v>
      </c>
      <c r="BE31" s="8"/>
      <c r="BF31" s="8"/>
      <c r="BG31" s="8">
        <f>1*10^3*Umrechnungsfaktoren!$B$15/Umrechnungsfaktoren!$B$11</f>
        <v>1043.21608040201</v>
      </c>
      <c r="BH31" s="8"/>
      <c r="BI31" s="8">
        <v>0</v>
      </c>
      <c r="BK31" s="7">
        <v>0.66</v>
      </c>
      <c r="BL31" s="1" t="s">
        <v>384</v>
      </c>
      <c r="BM31" s="1" t="s">
        <v>486</v>
      </c>
      <c r="BN31" s="1" t="s">
        <v>486</v>
      </c>
      <c r="BO31" s="1" t="s">
        <v>486</v>
      </c>
      <c r="BP31" s="1" t="s">
        <v>473</v>
      </c>
      <c r="BQ31" s="13" t="s">
        <v>477</v>
      </c>
      <c r="BR31" s="13" t="s">
        <v>477</v>
      </c>
      <c r="BS31" s="13"/>
      <c r="BT31" s="13" t="s">
        <v>474</v>
      </c>
      <c r="BU31" s="13" t="s">
        <v>474</v>
      </c>
      <c r="BV31" s="13" t="s">
        <v>474</v>
      </c>
      <c r="BW31" s="13"/>
      <c r="BY31" s="13"/>
      <c r="BZ31" s="13" t="s">
        <v>503</v>
      </c>
      <c r="CA31" s="13"/>
      <c r="CB31" s="1" t="s">
        <v>482</v>
      </c>
      <c r="CC31" s="1" t="s">
        <v>472</v>
      </c>
      <c r="CD31" s="1" t="s">
        <v>480</v>
      </c>
      <c r="CE31" s="1" t="s">
        <v>472</v>
      </c>
      <c r="CF31" s="1" t="s">
        <v>509</v>
      </c>
      <c r="CG31" s="1" t="s">
        <v>506</v>
      </c>
      <c r="CH31" s="1" t="s">
        <v>507</v>
      </c>
      <c r="CI31" s="1" t="s">
        <v>506</v>
      </c>
      <c r="CK31" s="1" t="s">
        <v>506</v>
      </c>
    </row>
    <row r="32" spans="1:89" x14ac:dyDescent="0.2">
      <c r="A32" s="1" t="s">
        <v>84</v>
      </c>
      <c r="B32" s="1" t="s">
        <v>129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07"/>
      <c r="O32" s="19">
        <v>1448</v>
      </c>
      <c r="P32" s="19"/>
      <c r="Q32" s="19"/>
      <c r="R32" s="19"/>
      <c r="S32" s="19"/>
      <c r="T32" s="19"/>
      <c r="U32" s="19"/>
      <c r="V32" s="9">
        <v>0</v>
      </c>
      <c r="W32" s="9"/>
      <c r="X32" s="9">
        <v>1</v>
      </c>
      <c r="Y32" s="9">
        <v>1</v>
      </c>
      <c r="Z32" s="9">
        <v>1</v>
      </c>
      <c r="AA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32" s="9">
        <v>0.05</v>
      </c>
      <c r="AC32" s="20"/>
      <c r="AD32" s="19"/>
      <c r="AE32" s="9"/>
      <c r="AF32" s="19"/>
      <c r="AG32" s="42"/>
      <c r="AH32" s="42"/>
      <c r="AI32" s="42">
        <v>1</v>
      </c>
      <c r="AM32" s="108"/>
      <c r="AN32" s="1">
        <v>4</v>
      </c>
      <c r="AQ32" s="1">
        <v>0</v>
      </c>
      <c r="AR32" s="1">
        <v>0</v>
      </c>
      <c r="AS32" s="1">
        <v>0</v>
      </c>
      <c r="AT32" s="1">
        <v>0</v>
      </c>
      <c r="AU32" s="1">
        <v>24</v>
      </c>
      <c r="AV32" s="1" t="s">
        <v>373</v>
      </c>
      <c r="AW32" s="1" t="s">
        <v>279</v>
      </c>
      <c r="AX32" s="1">
        <f>24/4</f>
        <v>6</v>
      </c>
      <c r="AZ32" s="108"/>
      <c r="BA32" s="1">
        <v>40</v>
      </c>
      <c r="BB32" s="19"/>
      <c r="BC32" s="19"/>
      <c r="BD32" s="19">
        <v>0</v>
      </c>
      <c r="BE32" s="8"/>
      <c r="BF32" s="8"/>
      <c r="BG32" s="8">
        <f>1*10^3*Umrechnungsfaktoren!$B$15/Umrechnungsfaktoren!$B$11</f>
        <v>1043.21608040201</v>
      </c>
      <c r="BH32" s="8"/>
      <c r="BI32" s="8">
        <v>0</v>
      </c>
      <c r="BK32" s="7">
        <v>0.66</v>
      </c>
      <c r="BL32" s="1" t="s">
        <v>384</v>
      </c>
      <c r="BM32" s="1" t="s">
        <v>486</v>
      </c>
      <c r="BN32" s="1" t="s">
        <v>486</v>
      </c>
      <c r="BO32" s="1" t="s">
        <v>486</v>
      </c>
      <c r="BP32" s="1" t="s">
        <v>473</v>
      </c>
      <c r="BQ32" s="13" t="s">
        <v>478</v>
      </c>
      <c r="BR32" s="13" t="s">
        <v>478</v>
      </c>
      <c r="BS32" s="13"/>
      <c r="BT32" s="13" t="s">
        <v>474</v>
      </c>
      <c r="BU32" s="13" t="s">
        <v>474</v>
      </c>
      <c r="BV32" s="13" t="s">
        <v>474</v>
      </c>
      <c r="BW32" s="13"/>
      <c r="BY32" s="13"/>
      <c r="BZ32" s="13" t="s">
        <v>503</v>
      </c>
      <c r="CA32" s="13"/>
      <c r="CB32" s="1" t="s">
        <v>482</v>
      </c>
      <c r="CC32" s="1" t="s">
        <v>472</v>
      </c>
      <c r="CD32" s="1" t="s">
        <v>480</v>
      </c>
      <c r="CE32" s="1" t="s">
        <v>472</v>
      </c>
      <c r="CF32" s="1" t="s">
        <v>509</v>
      </c>
      <c r="CG32" s="1" t="s">
        <v>506</v>
      </c>
      <c r="CH32" s="1" t="s">
        <v>507</v>
      </c>
      <c r="CI32" s="1" t="s">
        <v>506</v>
      </c>
      <c r="CK32" s="1" t="s">
        <v>506</v>
      </c>
    </row>
    <row r="33" spans="1:89" x14ac:dyDescent="0.2">
      <c r="A33" s="1" t="s">
        <v>84</v>
      </c>
      <c r="B33" s="1" t="s">
        <v>129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07"/>
      <c r="O33" s="19">
        <v>1967</v>
      </c>
      <c r="P33" s="19"/>
      <c r="Q33" s="19"/>
      <c r="R33" s="19"/>
      <c r="S33" s="19"/>
      <c r="T33" s="19"/>
      <c r="U33" s="19"/>
      <c r="V33" s="9">
        <v>0</v>
      </c>
      <c r="W33" s="9"/>
      <c r="X33" s="9">
        <v>1</v>
      </c>
      <c r="Y33" s="9">
        <v>1</v>
      </c>
      <c r="Z33" s="9">
        <v>1</v>
      </c>
      <c r="AA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AB33" s="9">
        <v>0.05</v>
      </c>
      <c r="AC33" s="20"/>
      <c r="AD33" s="19"/>
      <c r="AE33" s="9"/>
      <c r="AF33" s="19"/>
      <c r="AG33" s="42"/>
      <c r="AH33" s="42"/>
      <c r="AI33" s="42">
        <v>1</v>
      </c>
      <c r="AM33" s="108"/>
      <c r="AN33" s="1">
        <v>4</v>
      </c>
      <c r="AQ33" s="1">
        <v>0</v>
      </c>
      <c r="AR33" s="1">
        <v>0</v>
      </c>
      <c r="AS33" s="1">
        <v>0</v>
      </c>
      <c r="AT33" s="1">
        <v>0</v>
      </c>
      <c r="AU33" s="1">
        <v>24</v>
      </c>
      <c r="AV33" s="1" t="s">
        <v>373</v>
      </c>
      <c r="AW33" s="1" t="s">
        <v>279</v>
      </c>
      <c r="AX33" s="1">
        <f>24/4</f>
        <v>6</v>
      </c>
      <c r="AZ33" s="108"/>
      <c r="BA33" s="1">
        <v>40</v>
      </c>
      <c r="BB33" s="19"/>
      <c r="BC33" s="19"/>
      <c r="BD33" s="19">
        <v>0</v>
      </c>
      <c r="BE33" s="8"/>
      <c r="BF33" s="8"/>
      <c r="BG33" s="8">
        <f>1*10^3*Umrechnungsfaktoren!$B$15/Umrechnungsfaktoren!$B$11</f>
        <v>1043.21608040201</v>
      </c>
      <c r="BH33" s="8"/>
      <c r="BI33" s="8">
        <v>0</v>
      </c>
      <c r="BK33" s="7">
        <v>0.66</v>
      </c>
      <c r="BL33" s="1" t="s">
        <v>384</v>
      </c>
      <c r="BM33" s="1" t="s">
        <v>486</v>
      </c>
      <c r="BN33" s="1" t="s">
        <v>486</v>
      </c>
      <c r="BO33" s="1" t="s">
        <v>486</v>
      </c>
      <c r="BP33" s="1" t="s">
        <v>473</v>
      </c>
      <c r="BQ33" s="13" t="s">
        <v>479</v>
      </c>
      <c r="BR33" s="13" t="s">
        <v>479</v>
      </c>
      <c r="BS33" s="13"/>
      <c r="BT33" s="13" t="s">
        <v>474</v>
      </c>
      <c r="BU33" s="13" t="s">
        <v>474</v>
      </c>
      <c r="BV33" s="13" t="s">
        <v>474</v>
      </c>
      <c r="BW33" s="13"/>
      <c r="BY33" s="13"/>
      <c r="BZ33" s="13" t="s">
        <v>503</v>
      </c>
      <c r="CA33" s="13"/>
      <c r="CB33" s="1" t="s">
        <v>482</v>
      </c>
      <c r="CC33" s="1" t="s">
        <v>472</v>
      </c>
      <c r="CD33" s="1" t="s">
        <v>480</v>
      </c>
      <c r="CE33" s="1" t="s">
        <v>472</v>
      </c>
      <c r="CF33" s="1" t="s">
        <v>509</v>
      </c>
      <c r="CG33" s="1" t="s">
        <v>506</v>
      </c>
      <c r="CH33" s="1" t="s">
        <v>507</v>
      </c>
      <c r="CI33" s="1" t="s">
        <v>506</v>
      </c>
      <c r="CK33" s="1" t="s">
        <v>506</v>
      </c>
    </row>
    <row r="34" spans="1:89" x14ac:dyDescent="0.2">
      <c r="A34" s="1" t="s">
        <v>953</v>
      </c>
      <c r="B34" s="1" t="s">
        <v>129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/>
      <c r="Q34" s="19"/>
      <c r="R34" s="19"/>
      <c r="S34" s="19">
        <v>105</v>
      </c>
      <c r="T34" s="19"/>
      <c r="U34" s="19"/>
      <c r="V34" s="9">
        <v>0.5</v>
      </c>
      <c r="W34" s="9"/>
      <c r="X34" s="9">
        <v>0.5</v>
      </c>
      <c r="Y34" s="9">
        <v>1</v>
      </c>
      <c r="Z34" s="9">
        <v>0.8</v>
      </c>
      <c r="AA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4" s="9">
        <v>0.05</v>
      </c>
      <c r="AC34" s="20"/>
      <c r="AD34" s="19"/>
      <c r="AE34" s="9"/>
      <c r="AF34" s="19"/>
      <c r="AG34" s="42"/>
      <c r="AH34" s="42"/>
      <c r="AI34" s="42">
        <v>0.99</v>
      </c>
      <c r="AM34" s="1">
        <v>3</v>
      </c>
      <c r="AQ34" s="1">
        <v>3</v>
      </c>
      <c r="AR34" s="1">
        <v>4</v>
      </c>
      <c r="AS34" s="1">
        <v>36</v>
      </c>
      <c r="AT34" s="1">
        <v>24</v>
      </c>
      <c r="AU34" s="1">
        <v>24</v>
      </c>
      <c r="AV34" s="1" t="s">
        <v>485</v>
      </c>
      <c r="AW34" s="1" t="s">
        <v>279</v>
      </c>
      <c r="AX34" s="1">
        <f t="shared" ref="AX34:AX45" si="2">24/3</f>
        <v>8</v>
      </c>
      <c r="AZ34" s="1">
        <v>365</v>
      </c>
      <c r="BB34" s="19"/>
      <c r="BC34" s="19"/>
      <c r="BD34" s="8">
        <f>0*10^3*Umrechnungsfaktoren!$B$15/Umrechnungsfaktoren!$B$12</f>
        <v>0</v>
      </c>
      <c r="BE34" s="8"/>
      <c r="BF34" s="8">
        <f>150*Umrechnungsfaktoren!$B$15/Umrechnungsfaktoren!$B$12</f>
        <v>155.69999999999999</v>
      </c>
      <c r="BG34" s="8"/>
      <c r="BH34" s="8"/>
      <c r="BI34" s="8">
        <f>Tabelle58971115[[#This Row],[Investitionsausgaben €_2018/kW]]</f>
        <v>0</v>
      </c>
      <c r="BK34" s="7">
        <v>0.44</v>
      </c>
      <c r="BL34" s="1" t="s">
        <v>385</v>
      </c>
      <c r="BM34" s="1" t="s">
        <v>486</v>
      </c>
      <c r="BN34" s="1" t="s">
        <v>486</v>
      </c>
      <c r="BO34" s="1" t="s">
        <v>486</v>
      </c>
      <c r="BP34" s="1" t="s">
        <v>1138</v>
      </c>
      <c r="BQ34" s="13" t="s">
        <v>483</v>
      </c>
      <c r="BR34" s="13" t="s">
        <v>484</v>
      </c>
      <c r="BS34" s="13"/>
      <c r="BT34" s="13" t="s">
        <v>474</v>
      </c>
      <c r="BU34" s="13" t="s">
        <v>474</v>
      </c>
      <c r="BV34" s="13" t="s">
        <v>474</v>
      </c>
      <c r="BW34" s="13"/>
      <c r="BY34" s="13"/>
      <c r="BZ34" s="13" t="s">
        <v>503</v>
      </c>
      <c r="CA34" s="13"/>
      <c r="CB34" s="1" t="s">
        <v>482</v>
      </c>
      <c r="CC34" s="1" t="s">
        <v>481</v>
      </c>
      <c r="CD34" s="1" t="s">
        <v>480</v>
      </c>
      <c r="CE34" s="1" t="s">
        <v>486</v>
      </c>
      <c r="CF34" s="1" t="s">
        <v>512</v>
      </c>
      <c r="CG34" s="1" t="s">
        <v>506</v>
      </c>
      <c r="CH34" s="1" t="s">
        <v>507</v>
      </c>
      <c r="CI34" s="1" t="s">
        <v>506</v>
      </c>
      <c r="CK34" s="1" t="s">
        <v>506</v>
      </c>
    </row>
    <row r="35" spans="1:89" x14ac:dyDescent="0.2">
      <c r="A35" s="1" t="s">
        <v>953</v>
      </c>
      <c r="B35" s="1" t="s">
        <v>129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/>
      <c r="Q35" s="19"/>
      <c r="R35" s="19"/>
      <c r="S35" s="19">
        <v>99</v>
      </c>
      <c r="T35" s="19"/>
      <c r="U35" s="19"/>
      <c r="V35" s="9">
        <v>0.5</v>
      </c>
      <c r="W35" s="9"/>
      <c r="X35" s="9">
        <v>0.5</v>
      </c>
      <c r="Y35" s="9">
        <v>1</v>
      </c>
      <c r="Z35" s="9">
        <v>0.8</v>
      </c>
      <c r="AA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5" s="9">
        <v>0.05</v>
      </c>
      <c r="AC35" s="20"/>
      <c r="AD35" s="19"/>
      <c r="AE35" s="9"/>
      <c r="AF35" s="19"/>
      <c r="AG35" s="42"/>
      <c r="AH35" s="42"/>
      <c r="AI35" s="42">
        <v>0.99</v>
      </c>
      <c r="AM35" s="1">
        <v>3</v>
      </c>
      <c r="AQ35" s="1">
        <v>3</v>
      </c>
      <c r="AR35" s="1">
        <v>4</v>
      </c>
      <c r="AS35" s="1">
        <v>36</v>
      </c>
      <c r="AT35" s="1">
        <v>24</v>
      </c>
      <c r="AU35" s="1">
        <v>24</v>
      </c>
      <c r="AV35" s="1" t="s">
        <v>485</v>
      </c>
      <c r="AW35" s="1" t="s">
        <v>279</v>
      </c>
      <c r="AX35" s="1">
        <f t="shared" si="2"/>
        <v>8</v>
      </c>
      <c r="AZ35" s="1">
        <v>365</v>
      </c>
      <c r="BB35" s="19"/>
      <c r="BC35" s="19"/>
      <c r="BD35" s="8">
        <f>0*10^3*Umrechnungsfaktoren!$B$15/Umrechnungsfaktoren!$B$12</f>
        <v>0</v>
      </c>
      <c r="BE35" s="8"/>
      <c r="BF35" s="8">
        <f>150*Umrechnungsfaktoren!$B$15/Umrechnungsfaktoren!$B$12</f>
        <v>155.69999999999999</v>
      </c>
      <c r="BG35" s="8"/>
      <c r="BH35" s="8"/>
      <c r="BI35" s="8">
        <f>Tabelle58971115[[#This Row],[Investitionsausgaben €_2018/kW]]</f>
        <v>0</v>
      </c>
      <c r="BK35" s="7">
        <v>0.44</v>
      </c>
      <c r="BL35" s="1" t="s">
        <v>385</v>
      </c>
      <c r="BM35" s="1" t="s">
        <v>486</v>
      </c>
      <c r="BN35" s="1" t="s">
        <v>486</v>
      </c>
      <c r="BO35" s="1" t="s">
        <v>486</v>
      </c>
      <c r="BP35" s="1" t="s">
        <v>473</v>
      </c>
      <c r="BQ35" s="13" t="s">
        <v>477</v>
      </c>
      <c r="BR35" s="13" t="s">
        <v>477</v>
      </c>
      <c r="BS35" s="13"/>
      <c r="BT35" s="13" t="s">
        <v>474</v>
      </c>
      <c r="BU35" s="13" t="s">
        <v>474</v>
      </c>
      <c r="BV35" s="13" t="s">
        <v>474</v>
      </c>
      <c r="BW35" s="13"/>
      <c r="BY35" s="13"/>
      <c r="BZ35" s="13" t="s">
        <v>503</v>
      </c>
      <c r="CA35" s="13"/>
      <c r="CB35" s="1" t="s">
        <v>482</v>
      </c>
      <c r="CC35" s="1" t="s">
        <v>481</v>
      </c>
      <c r="CD35" s="1" t="s">
        <v>480</v>
      </c>
      <c r="CE35" s="1" t="s">
        <v>486</v>
      </c>
      <c r="CF35" s="1" t="s">
        <v>512</v>
      </c>
      <c r="CG35" s="1" t="s">
        <v>506</v>
      </c>
      <c r="CH35" s="1" t="s">
        <v>507</v>
      </c>
      <c r="CI35" s="1" t="s">
        <v>506</v>
      </c>
      <c r="CK35" s="1" t="s">
        <v>506</v>
      </c>
    </row>
    <row r="36" spans="1:89" x14ac:dyDescent="0.2">
      <c r="A36" s="1" t="s">
        <v>953</v>
      </c>
      <c r="B36" s="1" t="s">
        <v>129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/>
      <c r="Q36" s="19"/>
      <c r="R36" s="19"/>
      <c r="S36" s="19">
        <v>94</v>
      </c>
      <c r="T36" s="19"/>
      <c r="U36" s="19"/>
      <c r="V36" s="9">
        <v>0.5</v>
      </c>
      <c r="W36" s="9"/>
      <c r="X36" s="9">
        <v>0.5</v>
      </c>
      <c r="Y36" s="9">
        <v>1</v>
      </c>
      <c r="Z36" s="9">
        <v>0.8</v>
      </c>
      <c r="AA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6" s="9">
        <v>0.05</v>
      </c>
      <c r="AC36" s="20"/>
      <c r="AD36" s="19"/>
      <c r="AE36" s="9"/>
      <c r="AF36" s="19"/>
      <c r="AG36" s="42"/>
      <c r="AH36" s="42"/>
      <c r="AI36" s="42">
        <v>0.99</v>
      </c>
      <c r="AM36" s="1">
        <v>3</v>
      </c>
      <c r="AQ36" s="1">
        <v>3</v>
      </c>
      <c r="AR36" s="1">
        <v>4</v>
      </c>
      <c r="AS36" s="1">
        <v>36</v>
      </c>
      <c r="AT36" s="1">
        <v>24</v>
      </c>
      <c r="AU36" s="1">
        <v>24</v>
      </c>
      <c r="AV36" s="1" t="s">
        <v>485</v>
      </c>
      <c r="AW36" s="1" t="s">
        <v>279</v>
      </c>
      <c r="AX36" s="1">
        <f t="shared" si="2"/>
        <v>8</v>
      </c>
      <c r="AZ36" s="1">
        <v>365</v>
      </c>
      <c r="BB36" s="19"/>
      <c r="BC36" s="19"/>
      <c r="BD36" s="8">
        <f>0*10^3*Umrechnungsfaktoren!$B$15/Umrechnungsfaktoren!$B$12</f>
        <v>0</v>
      </c>
      <c r="BE36" s="8"/>
      <c r="BF36" s="8">
        <f>150*Umrechnungsfaktoren!$B$15/Umrechnungsfaktoren!$B$12</f>
        <v>155.69999999999999</v>
      </c>
      <c r="BG36" s="8"/>
      <c r="BH36" s="8"/>
      <c r="BI36" s="8">
        <f>Tabelle58971115[[#This Row],[Investitionsausgaben €_2018/kW]]</f>
        <v>0</v>
      </c>
      <c r="BK36" s="7">
        <v>0.44</v>
      </c>
      <c r="BL36" s="1" t="s">
        <v>385</v>
      </c>
      <c r="BM36" s="1" t="s">
        <v>486</v>
      </c>
      <c r="BN36" s="1" t="s">
        <v>486</v>
      </c>
      <c r="BO36" s="1" t="s">
        <v>486</v>
      </c>
      <c r="BP36" s="1" t="s">
        <v>473</v>
      </c>
      <c r="BQ36" s="13" t="s">
        <v>478</v>
      </c>
      <c r="BR36" s="13" t="s">
        <v>478</v>
      </c>
      <c r="BS36" s="13"/>
      <c r="BT36" s="13" t="s">
        <v>474</v>
      </c>
      <c r="BU36" s="13" t="s">
        <v>474</v>
      </c>
      <c r="BV36" s="13" t="s">
        <v>474</v>
      </c>
      <c r="BW36" s="13"/>
      <c r="BY36" s="13"/>
      <c r="BZ36" s="13" t="s">
        <v>503</v>
      </c>
      <c r="CA36" s="13"/>
      <c r="CB36" s="1" t="s">
        <v>482</v>
      </c>
      <c r="CC36" s="1" t="s">
        <v>481</v>
      </c>
      <c r="CD36" s="1" t="s">
        <v>480</v>
      </c>
      <c r="CE36" s="1" t="s">
        <v>486</v>
      </c>
      <c r="CF36" s="1" t="s">
        <v>512</v>
      </c>
      <c r="CG36" s="1" t="s">
        <v>506</v>
      </c>
      <c r="CH36" s="1" t="s">
        <v>507</v>
      </c>
      <c r="CI36" s="1" t="s">
        <v>506</v>
      </c>
      <c r="CK36" s="1" t="s">
        <v>506</v>
      </c>
    </row>
    <row r="37" spans="1:89" x14ac:dyDescent="0.2">
      <c r="A37" s="1" t="s">
        <v>953</v>
      </c>
      <c r="B37" s="1" t="s">
        <v>129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/>
      <c r="Q37" s="19"/>
      <c r="R37" s="19"/>
      <c r="S37" s="19">
        <v>85</v>
      </c>
      <c r="T37" s="19"/>
      <c r="U37" s="19"/>
      <c r="V37" s="9">
        <v>0.5</v>
      </c>
      <c r="W37" s="9"/>
      <c r="X37" s="9">
        <v>0.5</v>
      </c>
      <c r="Y37" s="9">
        <v>1</v>
      </c>
      <c r="Z37" s="9">
        <v>0.8</v>
      </c>
      <c r="AA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7" s="9">
        <v>0.05</v>
      </c>
      <c r="AC37" s="20"/>
      <c r="AD37" s="19"/>
      <c r="AE37" s="9"/>
      <c r="AF37" s="19"/>
      <c r="AG37" s="42"/>
      <c r="AH37" s="42"/>
      <c r="AI37" s="42">
        <v>0.99</v>
      </c>
      <c r="AM37" s="1">
        <v>3</v>
      </c>
      <c r="AQ37" s="1">
        <v>3</v>
      </c>
      <c r="AR37" s="1">
        <v>4</v>
      </c>
      <c r="AS37" s="1">
        <v>36</v>
      </c>
      <c r="AT37" s="1">
        <v>24</v>
      </c>
      <c r="AU37" s="1">
        <v>24</v>
      </c>
      <c r="AV37" s="1" t="s">
        <v>485</v>
      </c>
      <c r="AW37" s="1" t="s">
        <v>279</v>
      </c>
      <c r="AX37" s="1">
        <f t="shared" si="2"/>
        <v>8</v>
      </c>
      <c r="AZ37" s="1">
        <v>365</v>
      </c>
      <c r="BB37" s="19"/>
      <c r="BC37" s="19"/>
      <c r="BD37" s="8">
        <f>0*10^3*Umrechnungsfaktoren!$B$15/Umrechnungsfaktoren!$B$12</f>
        <v>0</v>
      </c>
      <c r="BE37" s="8"/>
      <c r="BF37" s="8">
        <f>150*Umrechnungsfaktoren!$B$15/Umrechnungsfaktoren!$B$12</f>
        <v>155.69999999999999</v>
      </c>
      <c r="BG37" s="8"/>
      <c r="BH37" s="8"/>
      <c r="BI37" s="8">
        <f>Tabelle58971115[[#This Row],[Investitionsausgaben €_2018/kW]]</f>
        <v>0</v>
      </c>
      <c r="BK37" s="7">
        <v>0.44</v>
      </c>
      <c r="BL37" s="1" t="s">
        <v>385</v>
      </c>
      <c r="BM37" s="1" t="s">
        <v>486</v>
      </c>
      <c r="BN37" s="1" t="s">
        <v>486</v>
      </c>
      <c r="BO37" s="1" t="s">
        <v>486</v>
      </c>
      <c r="BP37" s="1" t="s">
        <v>473</v>
      </c>
      <c r="BQ37" s="13" t="s">
        <v>479</v>
      </c>
      <c r="BR37" s="13" t="s">
        <v>479</v>
      </c>
      <c r="BS37" s="13"/>
      <c r="BT37" s="13" t="s">
        <v>474</v>
      </c>
      <c r="BU37" s="13" t="s">
        <v>474</v>
      </c>
      <c r="BV37" s="13" t="s">
        <v>474</v>
      </c>
      <c r="BW37" s="13"/>
      <c r="BY37" s="13"/>
      <c r="BZ37" s="13" t="s">
        <v>503</v>
      </c>
      <c r="CA37" s="13"/>
      <c r="CB37" s="1" t="s">
        <v>482</v>
      </c>
      <c r="CC37" s="1" t="s">
        <v>481</v>
      </c>
      <c r="CD37" s="1" t="s">
        <v>480</v>
      </c>
      <c r="CE37" s="1" t="s">
        <v>486</v>
      </c>
      <c r="CF37" s="1" t="s">
        <v>512</v>
      </c>
      <c r="CG37" s="1" t="s">
        <v>506</v>
      </c>
      <c r="CH37" s="1" t="s">
        <v>507</v>
      </c>
      <c r="CI37" s="1" t="s">
        <v>506</v>
      </c>
      <c r="CK37" s="1" t="s">
        <v>506</v>
      </c>
    </row>
    <row r="38" spans="1:89" x14ac:dyDescent="0.2">
      <c r="A38" s="1" t="s">
        <v>375</v>
      </c>
      <c r="B38" s="1" t="s">
        <v>129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/>
      <c r="Q38" s="19"/>
      <c r="R38" s="19"/>
      <c r="S38" s="19">
        <v>14</v>
      </c>
      <c r="T38" s="19"/>
      <c r="U38" s="19"/>
      <c r="V38" s="9">
        <v>0</v>
      </c>
      <c r="W38" s="9"/>
      <c r="X38" s="9">
        <v>1</v>
      </c>
      <c r="Y38" s="9">
        <v>1</v>
      </c>
      <c r="Z38" s="9">
        <v>0.8</v>
      </c>
      <c r="AA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8" s="9">
        <v>0.05</v>
      </c>
      <c r="AC38" s="20"/>
      <c r="AD38" s="19"/>
      <c r="AE38" s="9"/>
      <c r="AF38" s="19"/>
      <c r="AG38" s="42"/>
      <c r="AH38" s="42"/>
      <c r="AI38" s="42">
        <v>0.99</v>
      </c>
      <c r="AM38" s="1">
        <v>3</v>
      </c>
      <c r="AQ38" s="1">
        <v>3</v>
      </c>
      <c r="AR38" s="1">
        <v>4</v>
      </c>
      <c r="AS38" s="1">
        <v>36</v>
      </c>
      <c r="AT38" s="1">
        <v>24</v>
      </c>
      <c r="AU38" s="1">
        <v>24</v>
      </c>
      <c r="AV38" s="1" t="s">
        <v>373</v>
      </c>
      <c r="AW38" s="1" t="s">
        <v>279</v>
      </c>
      <c r="AX38" s="1">
        <f t="shared" si="2"/>
        <v>8</v>
      </c>
      <c r="AZ38" s="1">
        <v>365</v>
      </c>
      <c r="BB38" s="19"/>
      <c r="BC38" s="19"/>
      <c r="BD38" s="8">
        <f>0*10^3*Umrechnungsfaktoren!$B$15/Umrechnungsfaktoren!$B$12</f>
        <v>0</v>
      </c>
      <c r="BE38" s="8"/>
      <c r="BF38" s="8">
        <f>150*Umrechnungsfaktoren!$B$15/Umrechnungsfaktoren!$B$12</f>
        <v>155.69999999999999</v>
      </c>
      <c r="BG38" s="8"/>
      <c r="BH38" s="8"/>
      <c r="BI38" s="8">
        <f>Tabelle58971115[[#This Row],[Investitionsausgaben €_2018/kW]]</f>
        <v>0</v>
      </c>
      <c r="BK38" s="7">
        <v>0.44</v>
      </c>
      <c r="BL38" s="1" t="s">
        <v>384</v>
      </c>
      <c r="BM38" s="1" t="s">
        <v>486</v>
      </c>
      <c r="BN38" s="1" t="s">
        <v>486</v>
      </c>
      <c r="BO38" s="1" t="s">
        <v>486</v>
      </c>
      <c r="BP38" s="1" t="s">
        <v>1138</v>
      </c>
      <c r="BQ38" s="13" t="s">
        <v>483</v>
      </c>
      <c r="BR38" s="13" t="s">
        <v>484</v>
      </c>
      <c r="BS38" s="13"/>
      <c r="BT38" s="13" t="s">
        <v>474</v>
      </c>
      <c r="BU38" s="13" t="s">
        <v>474</v>
      </c>
      <c r="BV38" s="13" t="s">
        <v>474</v>
      </c>
      <c r="BW38" s="13"/>
      <c r="BY38" s="13"/>
      <c r="BZ38" s="13" t="s">
        <v>503</v>
      </c>
      <c r="CA38" s="13"/>
      <c r="CB38" s="1" t="s">
        <v>481</v>
      </c>
      <c r="CC38" s="1" t="s">
        <v>481</v>
      </c>
      <c r="CD38" s="1" t="s">
        <v>480</v>
      </c>
      <c r="CE38" s="1" t="s">
        <v>472</v>
      </c>
      <c r="CF38" s="1" t="s">
        <v>511</v>
      </c>
      <c r="CG38" s="1" t="s">
        <v>506</v>
      </c>
      <c r="CH38" s="1" t="s">
        <v>507</v>
      </c>
      <c r="CI38" s="1" t="s">
        <v>506</v>
      </c>
      <c r="CK38" s="1" t="s">
        <v>506</v>
      </c>
    </row>
    <row r="39" spans="1:89" x14ac:dyDescent="0.2">
      <c r="A39" s="1" t="s">
        <v>375</v>
      </c>
      <c r="B39" s="1" t="s">
        <v>129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/>
      <c r="Q39" s="19"/>
      <c r="R39" s="19"/>
      <c r="S39" s="19">
        <v>12</v>
      </c>
      <c r="T39" s="19"/>
      <c r="U39" s="19"/>
      <c r="V39" s="9">
        <v>0</v>
      </c>
      <c r="W39" s="9"/>
      <c r="X39" s="9">
        <v>1</v>
      </c>
      <c r="Y39" s="9">
        <v>1</v>
      </c>
      <c r="Z39" s="9">
        <v>0.8</v>
      </c>
      <c r="AA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39" s="9">
        <v>0.05</v>
      </c>
      <c r="AC39" s="20"/>
      <c r="AD39" s="19"/>
      <c r="AE39" s="9"/>
      <c r="AF39" s="19"/>
      <c r="AG39" s="42"/>
      <c r="AH39" s="42"/>
      <c r="AI39" s="42">
        <v>0.99</v>
      </c>
      <c r="AM39" s="1">
        <v>3</v>
      </c>
      <c r="AQ39" s="1">
        <v>3</v>
      </c>
      <c r="AR39" s="1">
        <v>4</v>
      </c>
      <c r="AS39" s="1">
        <v>36</v>
      </c>
      <c r="AT39" s="1">
        <v>24</v>
      </c>
      <c r="AU39" s="1">
        <v>24</v>
      </c>
      <c r="AV39" s="1" t="s">
        <v>373</v>
      </c>
      <c r="AW39" s="1" t="s">
        <v>279</v>
      </c>
      <c r="AX39" s="1">
        <f t="shared" si="2"/>
        <v>8</v>
      </c>
      <c r="AZ39" s="1">
        <v>365</v>
      </c>
      <c r="BB39" s="19"/>
      <c r="BC39" s="19"/>
      <c r="BD39" s="8">
        <f>0*10^3*Umrechnungsfaktoren!$B$15/Umrechnungsfaktoren!$B$12</f>
        <v>0</v>
      </c>
      <c r="BE39" s="8"/>
      <c r="BF39" s="8">
        <f>150*Umrechnungsfaktoren!$B$15/Umrechnungsfaktoren!$B$12</f>
        <v>155.69999999999999</v>
      </c>
      <c r="BG39" s="8"/>
      <c r="BH39" s="8"/>
      <c r="BI39" s="8">
        <f>Tabelle58971115[[#This Row],[Investitionsausgaben €_2018/kW]]</f>
        <v>0</v>
      </c>
      <c r="BK39" s="7">
        <v>0.44</v>
      </c>
      <c r="BL39" s="1" t="s">
        <v>384</v>
      </c>
      <c r="BM39" s="1" t="s">
        <v>486</v>
      </c>
      <c r="BN39" s="1" t="s">
        <v>486</v>
      </c>
      <c r="BO39" s="1" t="s">
        <v>486</v>
      </c>
      <c r="BP39" s="1" t="s">
        <v>473</v>
      </c>
      <c r="BQ39" s="13" t="s">
        <v>477</v>
      </c>
      <c r="BR39" s="13" t="s">
        <v>477</v>
      </c>
      <c r="BS39" s="13"/>
      <c r="BT39" s="13" t="s">
        <v>474</v>
      </c>
      <c r="BU39" s="13" t="s">
        <v>474</v>
      </c>
      <c r="BV39" s="13" t="s">
        <v>474</v>
      </c>
      <c r="BW39" s="13"/>
      <c r="BY39" s="13"/>
      <c r="BZ39" s="13" t="s">
        <v>503</v>
      </c>
      <c r="CA39" s="13"/>
      <c r="CB39" s="1" t="s">
        <v>481</v>
      </c>
      <c r="CC39" s="1" t="s">
        <v>481</v>
      </c>
      <c r="CD39" s="1" t="s">
        <v>480</v>
      </c>
      <c r="CE39" s="1" t="s">
        <v>472</v>
      </c>
      <c r="CF39" s="1" t="s">
        <v>511</v>
      </c>
      <c r="CG39" s="1" t="s">
        <v>506</v>
      </c>
      <c r="CH39" s="1" t="s">
        <v>507</v>
      </c>
      <c r="CI39" s="1" t="s">
        <v>506</v>
      </c>
      <c r="CK39" s="1" t="s">
        <v>506</v>
      </c>
    </row>
    <row r="40" spans="1:89" x14ac:dyDescent="0.2">
      <c r="A40" s="1" t="s">
        <v>375</v>
      </c>
      <c r="B40" s="1" t="s">
        <v>129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/>
      <c r="Q40" s="19"/>
      <c r="R40" s="19"/>
      <c r="S40" s="19">
        <v>11</v>
      </c>
      <c r="T40" s="19"/>
      <c r="U40" s="19"/>
      <c r="V40" s="9">
        <v>0</v>
      </c>
      <c r="W40" s="9"/>
      <c r="X40" s="9">
        <v>1</v>
      </c>
      <c r="Y40" s="9">
        <v>1</v>
      </c>
      <c r="Z40" s="9">
        <v>0.8</v>
      </c>
      <c r="AA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0" s="9">
        <v>0.05</v>
      </c>
      <c r="AC40" s="20"/>
      <c r="AD40" s="19"/>
      <c r="AE40" s="9"/>
      <c r="AF40" s="19"/>
      <c r="AG40" s="42"/>
      <c r="AH40" s="42"/>
      <c r="AI40" s="42">
        <v>0.99</v>
      </c>
      <c r="AM40" s="1">
        <v>3</v>
      </c>
      <c r="AQ40" s="1">
        <v>3</v>
      </c>
      <c r="AR40" s="1">
        <v>4</v>
      </c>
      <c r="AS40" s="1">
        <v>36</v>
      </c>
      <c r="AT40" s="1">
        <v>24</v>
      </c>
      <c r="AU40" s="1">
        <v>24</v>
      </c>
      <c r="AV40" s="1" t="s">
        <v>373</v>
      </c>
      <c r="AW40" s="1" t="s">
        <v>279</v>
      </c>
      <c r="AX40" s="1">
        <f t="shared" si="2"/>
        <v>8</v>
      </c>
      <c r="AZ40" s="1">
        <v>365</v>
      </c>
      <c r="BB40" s="19"/>
      <c r="BC40" s="19"/>
      <c r="BD40" s="8">
        <f>0*10^3*Umrechnungsfaktoren!$B$15/Umrechnungsfaktoren!$B$12</f>
        <v>0</v>
      </c>
      <c r="BE40" s="8"/>
      <c r="BF40" s="8">
        <f>150*Umrechnungsfaktoren!$B$15/Umrechnungsfaktoren!$B$12</f>
        <v>155.69999999999999</v>
      </c>
      <c r="BG40" s="8"/>
      <c r="BH40" s="8"/>
      <c r="BI40" s="8">
        <f>Tabelle58971115[[#This Row],[Investitionsausgaben €_2018/kW]]</f>
        <v>0</v>
      </c>
      <c r="BK40" s="7">
        <v>0.44</v>
      </c>
      <c r="BL40" s="1" t="s">
        <v>384</v>
      </c>
      <c r="BM40" s="1" t="s">
        <v>486</v>
      </c>
      <c r="BN40" s="1" t="s">
        <v>486</v>
      </c>
      <c r="BO40" s="1" t="s">
        <v>486</v>
      </c>
      <c r="BP40" s="1" t="s">
        <v>473</v>
      </c>
      <c r="BQ40" s="13" t="s">
        <v>478</v>
      </c>
      <c r="BR40" s="13" t="s">
        <v>478</v>
      </c>
      <c r="BS40" s="13"/>
      <c r="BT40" s="13" t="s">
        <v>474</v>
      </c>
      <c r="BU40" s="13" t="s">
        <v>474</v>
      </c>
      <c r="BV40" s="13" t="s">
        <v>474</v>
      </c>
      <c r="BW40" s="13"/>
      <c r="BY40" s="13"/>
      <c r="BZ40" s="13" t="s">
        <v>503</v>
      </c>
      <c r="CA40" s="13"/>
      <c r="CB40" s="1" t="s">
        <v>481</v>
      </c>
      <c r="CC40" s="1" t="s">
        <v>481</v>
      </c>
      <c r="CD40" s="1" t="s">
        <v>480</v>
      </c>
      <c r="CE40" s="1" t="s">
        <v>472</v>
      </c>
      <c r="CF40" s="1" t="s">
        <v>511</v>
      </c>
      <c r="CG40" s="1" t="s">
        <v>506</v>
      </c>
      <c r="CH40" s="1" t="s">
        <v>507</v>
      </c>
      <c r="CI40" s="1" t="s">
        <v>506</v>
      </c>
      <c r="CK40" s="1" t="s">
        <v>506</v>
      </c>
    </row>
    <row r="41" spans="1:89" x14ac:dyDescent="0.2">
      <c r="A41" s="1" t="s">
        <v>375</v>
      </c>
      <c r="B41" s="1" t="s">
        <v>129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/>
      <c r="Q41" s="19"/>
      <c r="R41" s="19"/>
      <c r="S41" s="19">
        <v>8</v>
      </c>
      <c r="T41" s="19"/>
      <c r="U41" s="19"/>
      <c r="V41" s="9">
        <v>0</v>
      </c>
      <c r="W41" s="9"/>
      <c r="X41" s="9">
        <v>1</v>
      </c>
      <c r="Y41" s="9">
        <v>1</v>
      </c>
      <c r="Z41" s="9">
        <v>0.8</v>
      </c>
      <c r="AA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1" s="9">
        <v>0.05</v>
      </c>
      <c r="AC41" s="20"/>
      <c r="AD41" s="19"/>
      <c r="AE41" s="9"/>
      <c r="AF41" s="19"/>
      <c r="AG41" s="42"/>
      <c r="AH41" s="42"/>
      <c r="AI41" s="42">
        <v>0.99</v>
      </c>
      <c r="AM41" s="1">
        <v>3</v>
      </c>
      <c r="AQ41" s="1">
        <v>3</v>
      </c>
      <c r="AR41" s="1">
        <v>4</v>
      </c>
      <c r="AS41" s="1">
        <v>36</v>
      </c>
      <c r="AT41" s="1">
        <v>24</v>
      </c>
      <c r="AU41" s="1">
        <v>24</v>
      </c>
      <c r="AV41" s="1" t="s">
        <v>373</v>
      </c>
      <c r="AW41" s="1" t="s">
        <v>279</v>
      </c>
      <c r="AX41" s="1">
        <f t="shared" si="2"/>
        <v>8</v>
      </c>
      <c r="AZ41" s="1">
        <v>365</v>
      </c>
      <c r="BB41" s="19"/>
      <c r="BC41" s="19"/>
      <c r="BD41" s="8">
        <f>0*10^3*Umrechnungsfaktoren!$B$15/Umrechnungsfaktoren!$B$12</f>
        <v>0</v>
      </c>
      <c r="BE41" s="8"/>
      <c r="BF41" s="8">
        <f>150*Umrechnungsfaktoren!$B$15/Umrechnungsfaktoren!$B$12</f>
        <v>155.69999999999999</v>
      </c>
      <c r="BG41" s="8"/>
      <c r="BH41" s="8"/>
      <c r="BI41" s="8">
        <f>Tabelle58971115[[#This Row],[Investitionsausgaben €_2018/kW]]</f>
        <v>0</v>
      </c>
      <c r="BK41" s="7">
        <v>0.44</v>
      </c>
      <c r="BL41" s="1" t="s">
        <v>384</v>
      </c>
      <c r="BM41" s="1" t="s">
        <v>486</v>
      </c>
      <c r="BN41" s="1" t="s">
        <v>486</v>
      </c>
      <c r="BO41" s="1" t="s">
        <v>486</v>
      </c>
      <c r="BP41" s="1" t="s">
        <v>473</v>
      </c>
      <c r="BQ41" s="13" t="s">
        <v>479</v>
      </c>
      <c r="BR41" s="13" t="s">
        <v>479</v>
      </c>
      <c r="BS41" s="13"/>
      <c r="BT41" s="13" t="s">
        <v>474</v>
      </c>
      <c r="BU41" s="13" t="s">
        <v>474</v>
      </c>
      <c r="BV41" s="13" t="s">
        <v>474</v>
      </c>
      <c r="BW41" s="13"/>
      <c r="BY41" s="13"/>
      <c r="BZ41" s="13" t="s">
        <v>503</v>
      </c>
      <c r="CA41" s="13"/>
      <c r="CB41" s="1" t="s">
        <v>481</v>
      </c>
      <c r="CC41" s="1" t="s">
        <v>481</v>
      </c>
      <c r="CD41" s="1" t="s">
        <v>480</v>
      </c>
      <c r="CE41" s="1" t="s">
        <v>472</v>
      </c>
      <c r="CF41" s="1" t="s">
        <v>511</v>
      </c>
      <c r="CG41" s="1" t="s">
        <v>506</v>
      </c>
      <c r="CH41" s="1" t="s">
        <v>507</v>
      </c>
      <c r="CI41" s="1" t="s">
        <v>506</v>
      </c>
      <c r="CK41" s="1" t="s">
        <v>506</v>
      </c>
    </row>
    <row r="42" spans="1:89" x14ac:dyDescent="0.2">
      <c r="A42" s="1" t="s">
        <v>53</v>
      </c>
      <c r="B42" s="1" t="s">
        <v>129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/>
      <c r="Q42" s="19"/>
      <c r="R42" s="19"/>
      <c r="S42" s="19">
        <v>61</v>
      </c>
      <c r="T42" s="19"/>
      <c r="U42" s="19"/>
      <c r="V42" s="9">
        <v>0.6</v>
      </c>
      <c r="W42" s="9"/>
      <c r="X42" s="9">
        <v>0.4</v>
      </c>
      <c r="Y42" s="9">
        <v>1</v>
      </c>
      <c r="Z42" s="9">
        <v>0.8</v>
      </c>
      <c r="AA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2" s="9">
        <v>0.05</v>
      </c>
      <c r="AC42" s="20"/>
      <c r="AD42" s="19"/>
      <c r="AE42" s="9"/>
      <c r="AF42" s="19"/>
      <c r="AG42" s="42"/>
      <c r="AH42" s="42"/>
      <c r="AI42" s="42">
        <v>0.99</v>
      </c>
      <c r="AM42" s="1">
        <v>3</v>
      </c>
      <c r="AQ42" s="1">
        <v>3</v>
      </c>
      <c r="AR42" s="1">
        <v>4</v>
      </c>
      <c r="AS42" s="1">
        <v>36</v>
      </c>
      <c r="AT42" s="1">
        <v>24</v>
      </c>
      <c r="AU42" s="1">
        <v>24</v>
      </c>
      <c r="AV42" s="1" t="s">
        <v>373</v>
      </c>
      <c r="AW42" s="1" t="s">
        <v>279</v>
      </c>
      <c r="AX42" s="1">
        <f t="shared" si="2"/>
        <v>8</v>
      </c>
      <c r="AZ42" s="1">
        <v>365</v>
      </c>
      <c r="BB42" s="19"/>
      <c r="BC42" s="19"/>
      <c r="BD42" s="8">
        <f>0*10^3*Umrechnungsfaktoren!$B$15/Umrechnungsfaktoren!$B$12</f>
        <v>0</v>
      </c>
      <c r="BE42" s="8"/>
      <c r="BF42" s="8">
        <f>150*Umrechnungsfaktoren!$B$15/Umrechnungsfaktoren!$B$12</f>
        <v>155.69999999999999</v>
      </c>
      <c r="BG42" s="8"/>
      <c r="BH42" s="8"/>
      <c r="BI42" s="8">
        <f>Tabelle58971115[[#This Row],[Investitionsausgaben €_2018/kW]]</f>
        <v>0</v>
      </c>
      <c r="BK42" s="7">
        <v>0.44</v>
      </c>
      <c r="BL42" s="1" t="s">
        <v>384</v>
      </c>
      <c r="BM42" s="1" t="s">
        <v>486</v>
      </c>
      <c r="BN42" s="1" t="s">
        <v>486</v>
      </c>
      <c r="BO42" s="1" t="s">
        <v>486</v>
      </c>
      <c r="BP42" s="1" t="s">
        <v>1138</v>
      </c>
      <c r="BQ42" s="13" t="s">
        <v>483</v>
      </c>
      <c r="BR42" s="13" t="s">
        <v>484</v>
      </c>
      <c r="BS42" s="13"/>
      <c r="BT42" s="13" t="s">
        <v>474</v>
      </c>
      <c r="BU42" s="13" t="s">
        <v>474</v>
      </c>
      <c r="BV42" s="13" t="s">
        <v>474</v>
      </c>
      <c r="BW42" s="13"/>
      <c r="BY42" s="13"/>
      <c r="BZ42" s="13" t="s">
        <v>503</v>
      </c>
      <c r="CA42" s="13"/>
      <c r="CB42" s="1" t="s">
        <v>481</v>
      </c>
      <c r="CC42" s="1" t="s">
        <v>481</v>
      </c>
      <c r="CD42" s="1" t="s">
        <v>480</v>
      </c>
      <c r="CE42" s="1" t="s">
        <v>472</v>
      </c>
      <c r="CF42" s="1" t="s">
        <v>511</v>
      </c>
      <c r="CG42" s="1" t="s">
        <v>506</v>
      </c>
      <c r="CH42" s="1" t="s">
        <v>507</v>
      </c>
      <c r="CI42" s="1" t="s">
        <v>506</v>
      </c>
      <c r="CK42" s="1" t="s">
        <v>506</v>
      </c>
    </row>
    <row r="43" spans="1:89" x14ac:dyDescent="0.2">
      <c r="A43" s="1" t="s">
        <v>53</v>
      </c>
      <c r="B43" s="1" t="s">
        <v>129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/>
      <c r="Q43" s="19"/>
      <c r="R43" s="19"/>
      <c r="S43" s="19">
        <v>62</v>
      </c>
      <c r="T43" s="19"/>
      <c r="U43" s="19"/>
      <c r="V43" s="9">
        <v>0.6</v>
      </c>
      <c r="W43" s="9"/>
      <c r="X43" s="9">
        <v>0.4</v>
      </c>
      <c r="Y43" s="9">
        <v>1</v>
      </c>
      <c r="Z43" s="9">
        <v>0.8</v>
      </c>
      <c r="AA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3" s="9">
        <v>0.05</v>
      </c>
      <c r="AC43" s="20"/>
      <c r="AD43" s="19"/>
      <c r="AE43" s="9"/>
      <c r="AF43" s="19"/>
      <c r="AG43" s="42"/>
      <c r="AH43" s="42"/>
      <c r="AI43" s="42">
        <v>0.99</v>
      </c>
      <c r="AM43" s="1">
        <v>3</v>
      </c>
      <c r="AQ43" s="1">
        <v>3</v>
      </c>
      <c r="AR43" s="1">
        <v>4</v>
      </c>
      <c r="AS43" s="1">
        <v>36</v>
      </c>
      <c r="AT43" s="1">
        <v>24</v>
      </c>
      <c r="AU43" s="1">
        <v>24</v>
      </c>
      <c r="AV43" s="1" t="s">
        <v>373</v>
      </c>
      <c r="AW43" s="1" t="s">
        <v>279</v>
      </c>
      <c r="AX43" s="1">
        <f t="shared" si="2"/>
        <v>8</v>
      </c>
      <c r="AZ43" s="1">
        <v>365</v>
      </c>
      <c r="BB43" s="19"/>
      <c r="BC43" s="19"/>
      <c r="BD43" s="8">
        <f>0*10^3*Umrechnungsfaktoren!$B$15/Umrechnungsfaktoren!$B$12</f>
        <v>0</v>
      </c>
      <c r="BE43" s="8"/>
      <c r="BF43" s="8">
        <f>150*Umrechnungsfaktoren!$B$15/Umrechnungsfaktoren!$B$12</f>
        <v>155.69999999999999</v>
      </c>
      <c r="BG43" s="8"/>
      <c r="BH43" s="8"/>
      <c r="BI43" s="8">
        <f>Tabelle58971115[[#This Row],[Investitionsausgaben €_2018/kW]]</f>
        <v>0</v>
      </c>
      <c r="BK43" s="7">
        <v>0.44</v>
      </c>
      <c r="BL43" s="1" t="s">
        <v>384</v>
      </c>
      <c r="BM43" s="1" t="s">
        <v>486</v>
      </c>
      <c r="BN43" s="1" t="s">
        <v>486</v>
      </c>
      <c r="BO43" s="1" t="s">
        <v>486</v>
      </c>
      <c r="BP43" s="1" t="s">
        <v>473</v>
      </c>
      <c r="BQ43" s="13" t="s">
        <v>477</v>
      </c>
      <c r="BR43" s="13" t="s">
        <v>477</v>
      </c>
      <c r="BS43" s="13"/>
      <c r="BT43" s="13" t="s">
        <v>474</v>
      </c>
      <c r="BU43" s="13" t="s">
        <v>474</v>
      </c>
      <c r="BV43" s="13" t="s">
        <v>474</v>
      </c>
      <c r="BW43" s="13"/>
      <c r="BY43" s="13"/>
      <c r="BZ43" s="13" t="s">
        <v>503</v>
      </c>
      <c r="CA43" s="13"/>
      <c r="CB43" s="1" t="s">
        <v>481</v>
      </c>
      <c r="CC43" s="1" t="s">
        <v>481</v>
      </c>
      <c r="CD43" s="1" t="s">
        <v>480</v>
      </c>
      <c r="CE43" s="1" t="s">
        <v>472</v>
      </c>
      <c r="CF43" s="1" t="s">
        <v>511</v>
      </c>
      <c r="CG43" s="1" t="s">
        <v>506</v>
      </c>
      <c r="CH43" s="1" t="s">
        <v>507</v>
      </c>
      <c r="CI43" s="1" t="s">
        <v>506</v>
      </c>
      <c r="CK43" s="1" t="s">
        <v>506</v>
      </c>
    </row>
    <row r="44" spans="1:89" x14ac:dyDescent="0.2">
      <c r="A44" s="1" t="s">
        <v>53</v>
      </c>
      <c r="B44" s="1" t="s">
        <v>129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/>
      <c r="Q44" s="19"/>
      <c r="R44" s="19"/>
      <c r="S44" s="19">
        <v>64</v>
      </c>
      <c r="T44" s="19"/>
      <c r="U44" s="19"/>
      <c r="V44" s="9">
        <v>0.6</v>
      </c>
      <c r="W44" s="9"/>
      <c r="X44" s="9">
        <v>0.4</v>
      </c>
      <c r="Y44" s="9">
        <v>1</v>
      </c>
      <c r="Z44" s="9">
        <v>0.8</v>
      </c>
      <c r="AA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4" s="9">
        <v>0.05</v>
      </c>
      <c r="AC44" s="20"/>
      <c r="AD44" s="19"/>
      <c r="AE44" s="9"/>
      <c r="AF44" s="19"/>
      <c r="AG44" s="42"/>
      <c r="AH44" s="42"/>
      <c r="AI44" s="42">
        <v>0.99</v>
      </c>
      <c r="AM44" s="1">
        <v>3</v>
      </c>
      <c r="AQ44" s="1">
        <v>3</v>
      </c>
      <c r="AR44" s="1">
        <v>4</v>
      </c>
      <c r="AS44" s="1">
        <v>36</v>
      </c>
      <c r="AT44" s="1">
        <v>24</v>
      </c>
      <c r="AU44" s="1">
        <v>24</v>
      </c>
      <c r="AV44" s="1" t="s">
        <v>373</v>
      </c>
      <c r="AW44" s="1" t="s">
        <v>279</v>
      </c>
      <c r="AX44" s="1">
        <f t="shared" si="2"/>
        <v>8</v>
      </c>
      <c r="AZ44" s="1">
        <v>365</v>
      </c>
      <c r="BB44" s="19"/>
      <c r="BC44" s="19"/>
      <c r="BD44" s="8">
        <f>0*10^3*Umrechnungsfaktoren!$B$15/Umrechnungsfaktoren!$B$12</f>
        <v>0</v>
      </c>
      <c r="BE44" s="8"/>
      <c r="BF44" s="8">
        <f>150*Umrechnungsfaktoren!$B$15/Umrechnungsfaktoren!$B$12</f>
        <v>155.69999999999999</v>
      </c>
      <c r="BG44" s="8"/>
      <c r="BH44" s="8"/>
      <c r="BI44" s="8">
        <f>Tabelle58971115[[#This Row],[Investitionsausgaben €_2018/kW]]</f>
        <v>0</v>
      </c>
      <c r="BK44" s="7">
        <v>0.44</v>
      </c>
      <c r="BL44" s="1" t="s">
        <v>384</v>
      </c>
      <c r="BM44" s="1" t="s">
        <v>486</v>
      </c>
      <c r="BN44" s="1" t="s">
        <v>486</v>
      </c>
      <c r="BO44" s="1" t="s">
        <v>486</v>
      </c>
      <c r="BP44" s="1" t="s">
        <v>473</v>
      </c>
      <c r="BQ44" s="13" t="s">
        <v>478</v>
      </c>
      <c r="BR44" s="13" t="s">
        <v>478</v>
      </c>
      <c r="BS44" s="13"/>
      <c r="BT44" s="13" t="s">
        <v>474</v>
      </c>
      <c r="BU44" s="13" t="s">
        <v>474</v>
      </c>
      <c r="BV44" s="13" t="s">
        <v>474</v>
      </c>
      <c r="BW44" s="13"/>
      <c r="BY44" s="13"/>
      <c r="BZ44" s="13" t="s">
        <v>503</v>
      </c>
      <c r="CA44" s="13"/>
      <c r="CB44" s="1" t="s">
        <v>481</v>
      </c>
      <c r="CC44" s="1" t="s">
        <v>481</v>
      </c>
      <c r="CD44" s="1" t="s">
        <v>480</v>
      </c>
      <c r="CE44" s="1" t="s">
        <v>472</v>
      </c>
      <c r="CF44" s="1" t="s">
        <v>511</v>
      </c>
      <c r="CG44" s="1" t="s">
        <v>506</v>
      </c>
      <c r="CH44" s="1" t="s">
        <v>507</v>
      </c>
      <c r="CI44" s="1" t="s">
        <v>506</v>
      </c>
      <c r="CK44" s="1" t="s">
        <v>506</v>
      </c>
    </row>
    <row r="45" spans="1:89" x14ac:dyDescent="0.2">
      <c r="A45" s="1" t="s">
        <v>53</v>
      </c>
      <c r="B45" s="1" t="s">
        <v>129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/>
      <c r="Q45" s="19"/>
      <c r="R45" s="19"/>
      <c r="S45" s="19">
        <v>66</v>
      </c>
      <c r="T45" s="19"/>
      <c r="U45" s="19"/>
      <c r="V45" s="9">
        <v>0.6</v>
      </c>
      <c r="W45" s="9"/>
      <c r="X45" s="9">
        <v>0.4</v>
      </c>
      <c r="Y45" s="9">
        <v>1</v>
      </c>
      <c r="Z45" s="9">
        <v>0.8</v>
      </c>
      <c r="AA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AB45" s="9">
        <v>0.05</v>
      </c>
      <c r="AC45" s="20"/>
      <c r="AD45" s="19"/>
      <c r="AE45" s="9"/>
      <c r="AF45" s="19"/>
      <c r="AG45" s="42"/>
      <c r="AH45" s="42"/>
      <c r="AI45" s="42">
        <v>0.99</v>
      </c>
      <c r="AM45" s="1">
        <v>3</v>
      </c>
      <c r="AQ45" s="1">
        <v>3</v>
      </c>
      <c r="AR45" s="1">
        <v>4</v>
      </c>
      <c r="AS45" s="1">
        <v>36</v>
      </c>
      <c r="AT45" s="1">
        <v>24</v>
      </c>
      <c r="AU45" s="1">
        <v>24</v>
      </c>
      <c r="AV45" s="1" t="s">
        <v>373</v>
      </c>
      <c r="AW45" s="1" t="s">
        <v>279</v>
      </c>
      <c r="AX45" s="1">
        <f t="shared" si="2"/>
        <v>8</v>
      </c>
      <c r="AZ45" s="1">
        <v>365</v>
      </c>
      <c r="BB45" s="19"/>
      <c r="BC45" s="19"/>
      <c r="BD45" s="8">
        <f>0*10^3*Umrechnungsfaktoren!$B$15/Umrechnungsfaktoren!$B$12</f>
        <v>0</v>
      </c>
      <c r="BE45" s="8"/>
      <c r="BF45" s="8">
        <f>150*Umrechnungsfaktoren!$B$15/Umrechnungsfaktoren!$B$12</f>
        <v>155.69999999999999</v>
      </c>
      <c r="BG45" s="8"/>
      <c r="BH45" s="8"/>
      <c r="BI45" s="8">
        <f>Tabelle58971115[[#This Row],[Investitionsausgaben €_2018/kW]]</f>
        <v>0</v>
      </c>
      <c r="BK45" s="7">
        <v>0.44</v>
      </c>
      <c r="BL45" s="1" t="s">
        <v>384</v>
      </c>
      <c r="BM45" s="1" t="s">
        <v>486</v>
      </c>
      <c r="BN45" s="1" t="s">
        <v>486</v>
      </c>
      <c r="BO45" s="1" t="s">
        <v>486</v>
      </c>
      <c r="BP45" s="1" t="s">
        <v>473</v>
      </c>
      <c r="BQ45" s="13" t="s">
        <v>479</v>
      </c>
      <c r="BR45" s="13" t="s">
        <v>479</v>
      </c>
      <c r="BS45" s="13"/>
      <c r="BT45" s="13" t="s">
        <v>474</v>
      </c>
      <c r="BU45" s="13" t="s">
        <v>474</v>
      </c>
      <c r="BV45" s="13" t="s">
        <v>474</v>
      </c>
      <c r="BW45" s="13"/>
      <c r="BY45" s="13"/>
      <c r="BZ45" s="13" t="s">
        <v>503</v>
      </c>
      <c r="CA45" s="13"/>
      <c r="CB45" s="1" t="s">
        <v>481</v>
      </c>
      <c r="CC45" s="1" t="s">
        <v>481</v>
      </c>
      <c r="CD45" s="1" t="s">
        <v>480</v>
      </c>
      <c r="CE45" s="1" t="s">
        <v>472</v>
      </c>
      <c r="CF45" s="1" t="s">
        <v>511</v>
      </c>
      <c r="CG45" s="1" t="s">
        <v>506</v>
      </c>
      <c r="CH45" s="1" t="s">
        <v>507</v>
      </c>
      <c r="CI45" s="1" t="s">
        <v>506</v>
      </c>
      <c r="CK45" s="1" t="s">
        <v>506</v>
      </c>
    </row>
    <row r="46" spans="1:89" x14ac:dyDescent="0.2">
      <c r="A46" s="1" t="s">
        <v>100</v>
      </c>
      <c r="B46" s="1" t="s">
        <v>129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/>
      <c r="Q46" s="19"/>
      <c r="R46" s="19"/>
      <c r="S46" s="19">
        <v>255</v>
      </c>
      <c r="T46" s="19"/>
      <c r="U46" s="19"/>
      <c r="V46" s="9">
        <v>0.6</v>
      </c>
      <c r="W46" s="9"/>
      <c r="X46" s="9">
        <v>0.5</v>
      </c>
      <c r="Y46" s="9">
        <v>0.9</v>
      </c>
      <c r="Z46" s="9">
        <f>5840/8760</f>
        <v>0.66666666666666663</v>
      </c>
      <c r="AA46" s="9"/>
      <c r="AB46" s="9"/>
      <c r="AC46" s="20"/>
      <c r="AD46" s="19"/>
      <c r="AE46" s="9"/>
      <c r="AF46" s="19"/>
      <c r="AG46" s="43">
        <v>0.95499999999999996</v>
      </c>
      <c r="AH46" s="43">
        <v>0.98</v>
      </c>
      <c r="AI46" s="9"/>
      <c r="AM46" s="1">
        <v>2</v>
      </c>
      <c r="AQ46" s="1">
        <v>2</v>
      </c>
      <c r="AR46" s="1">
        <v>2</v>
      </c>
      <c r="AS46" s="1">
        <v>6</v>
      </c>
      <c r="AT46" s="1">
        <v>24</v>
      </c>
      <c r="AU46" s="1">
        <v>8</v>
      </c>
      <c r="AV46" s="1" t="s">
        <v>485</v>
      </c>
      <c r="AW46" s="1" t="s">
        <v>279</v>
      </c>
      <c r="AX46" s="1">
        <f>8/2</f>
        <v>4</v>
      </c>
      <c r="AZ46" s="1">
        <v>1095</v>
      </c>
      <c r="BB46" s="19"/>
      <c r="BC46" s="19"/>
      <c r="BD46" s="19"/>
      <c r="BE46" s="8"/>
      <c r="BF46" s="3">
        <f>0.05*10^3*Umrechnungsfaktoren!$B$15/Umrechnungsfaktoren!$B$11</f>
        <v>52.1608040201005</v>
      </c>
      <c r="BG46" s="3"/>
      <c r="BH46" s="8"/>
      <c r="BI46" s="8"/>
      <c r="BL46" s="1" t="s">
        <v>384</v>
      </c>
      <c r="BM46" s="1" t="s">
        <v>486</v>
      </c>
      <c r="BN46" s="1" t="s">
        <v>486</v>
      </c>
      <c r="BO46" s="1" t="s">
        <v>486</v>
      </c>
      <c r="BP46" s="1" t="s">
        <v>488</v>
      </c>
      <c r="BQ46" s="13" t="s">
        <v>483</v>
      </c>
      <c r="BR46" s="13" t="s">
        <v>484</v>
      </c>
      <c r="BS46" s="13"/>
      <c r="BT46" s="13" t="s">
        <v>474</v>
      </c>
      <c r="BU46" s="13" t="s">
        <v>474</v>
      </c>
      <c r="BV46" s="13" t="s">
        <v>474</v>
      </c>
      <c r="BW46" s="13"/>
      <c r="BY46" s="13"/>
      <c r="BZ46" s="13" t="s">
        <v>503</v>
      </c>
      <c r="CA46" s="13"/>
      <c r="CB46" s="1" t="s">
        <v>481</v>
      </c>
      <c r="CC46" s="1" t="s">
        <v>481</v>
      </c>
      <c r="CD46" s="1" t="s">
        <v>480</v>
      </c>
      <c r="CE46" s="1" t="s">
        <v>486</v>
      </c>
      <c r="CF46" s="1" t="s">
        <v>511</v>
      </c>
      <c r="CG46" s="1" t="s">
        <v>506</v>
      </c>
      <c r="CH46" s="1" t="s">
        <v>507</v>
      </c>
      <c r="CI46" s="1" t="s">
        <v>506</v>
      </c>
      <c r="CK46" s="1" t="s">
        <v>506</v>
      </c>
    </row>
    <row r="47" spans="1:89" x14ac:dyDescent="0.2">
      <c r="A47" s="1" t="s">
        <v>100</v>
      </c>
      <c r="B47" s="1" t="s">
        <v>129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/>
      <c r="Q47" s="19"/>
      <c r="R47" s="19"/>
      <c r="S47" s="19">
        <v>255</v>
      </c>
      <c r="T47" s="19"/>
      <c r="U47" s="19"/>
      <c r="V47" s="9">
        <v>0.6</v>
      </c>
      <c r="W47" s="9"/>
      <c r="X47" s="9">
        <v>0.5</v>
      </c>
      <c r="Y47" s="9">
        <v>0.9</v>
      </c>
      <c r="Z47" s="9">
        <f>5840/8760</f>
        <v>0.66666666666666663</v>
      </c>
      <c r="AA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47" s="9"/>
      <c r="AC47" s="20"/>
      <c r="AD47" s="19"/>
      <c r="AE47" s="9"/>
      <c r="AF47" s="19"/>
      <c r="AG47" s="43">
        <v>0.95499999999999996</v>
      </c>
      <c r="AH47" s="43">
        <v>0.98</v>
      </c>
      <c r="AI47" s="9"/>
      <c r="AM47" s="1">
        <v>2</v>
      </c>
      <c r="AQ47" s="1">
        <v>2</v>
      </c>
      <c r="AR47" s="1">
        <v>2</v>
      </c>
      <c r="AS47" s="1">
        <v>6</v>
      </c>
      <c r="AT47" s="1">
        <v>24</v>
      </c>
      <c r="AU47" s="1">
        <v>8</v>
      </c>
      <c r="AV47" s="1" t="s">
        <v>485</v>
      </c>
      <c r="AW47" s="1" t="s">
        <v>279</v>
      </c>
      <c r="AX47" s="1">
        <f>8/2</f>
        <v>4</v>
      </c>
      <c r="AZ47" s="1">
        <v>1095</v>
      </c>
      <c r="BB47" s="19"/>
      <c r="BC47" s="19"/>
      <c r="BD47" s="19"/>
      <c r="BE47" s="8"/>
      <c r="BF47" s="3">
        <f>0.05*10^3*Umrechnungsfaktoren!$B$15/Umrechnungsfaktoren!$B$11</f>
        <v>52.1608040201005</v>
      </c>
      <c r="BG47" s="3"/>
      <c r="BH47" s="8"/>
      <c r="BI47" s="8"/>
      <c r="BL47" s="1" t="s">
        <v>384</v>
      </c>
      <c r="BM47" s="1" t="s">
        <v>486</v>
      </c>
      <c r="BN47" s="1" t="s">
        <v>486</v>
      </c>
      <c r="BO47" s="1" t="s">
        <v>486</v>
      </c>
      <c r="BQ47" s="13" t="s">
        <v>477</v>
      </c>
      <c r="BR47" s="13" t="s">
        <v>477</v>
      </c>
      <c r="BS47" s="13"/>
      <c r="BT47" s="13" t="s">
        <v>474</v>
      </c>
      <c r="BU47" s="13" t="s">
        <v>474</v>
      </c>
      <c r="BV47" s="13" t="s">
        <v>474</v>
      </c>
      <c r="BW47" s="13"/>
      <c r="BY47" s="13"/>
      <c r="BZ47" s="13" t="s">
        <v>503</v>
      </c>
      <c r="CA47" s="13"/>
      <c r="CB47" s="1" t="s">
        <v>481</v>
      </c>
      <c r="CC47" s="1" t="s">
        <v>481</v>
      </c>
      <c r="CD47" s="1" t="s">
        <v>480</v>
      </c>
      <c r="CE47" s="1" t="s">
        <v>486</v>
      </c>
      <c r="CF47" s="1" t="s">
        <v>511</v>
      </c>
      <c r="CG47" s="1" t="s">
        <v>506</v>
      </c>
      <c r="CH47" s="1" t="s">
        <v>507</v>
      </c>
      <c r="CI47" s="1" t="s">
        <v>506</v>
      </c>
      <c r="CK47" s="1" t="s">
        <v>506</v>
      </c>
    </row>
    <row r="48" spans="1:89" x14ac:dyDescent="0.2">
      <c r="A48" s="1" t="s">
        <v>100</v>
      </c>
      <c r="B48" s="1" t="s">
        <v>129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/>
      <c r="Q48" s="19"/>
      <c r="R48" s="19"/>
      <c r="S48" s="19">
        <v>255</v>
      </c>
      <c r="T48" s="19"/>
      <c r="U48" s="19"/>
      <c r="V48" s="9">
        <v>0.6</v>
      </c>
      <c r="W48" s="9"/>
      <c r="X48" s="9">
        <v>0.5</v>
      </c>
      <c r="Y48" s="9">
        <v>0.9</v>
      </c>
      <c r="Z48" s="9">
        <f>5840/8760</f>
        <v>0.66666666666666663</v>
      </c>
      <c r="AA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48" s="9"/>
      <c r="AC48" s="20"/>
      <c r="AD48" s="19"/>
      <c r="AE48" s="9"/>
      <c r="AF48" s="19"/>
      <c r="AG48" s="43">
        <v>0.95499999999999996</v>
      </c>
      <c r="AH48" s="43">
        <v>0.98</v>
      </c>
      <c r="AI48" s="9"/>
      <c r="AM48" s="1">
        <v>2</v>
      </c>
      <c r="AQ48" s="1">
        <v>2</v>
      </c>
      <c r="AR48" s="1">
        <v>2</v>
      </c>
      <c r="AS48" s="1">
        <v>6</v>
      </c>
      <c r="AT48" s="1">
        <v>24</v>
      </c>
      <c r="AU48" s="1">
        <v>8</v>
      </c>
      <c r="AV48" s="1" t="s">
        <v>485</v>
      </c>
      <c r="AW48" s="1" t="s">
        <v>279</v>
      </c>
      <c r="AX48" s="1">
        <f>8/2</f>
        <v>4</v>
      </c>
      <c r="AZ48" s="1">
        <v>1095</v>
      </c>
      <c r="BB48" s="19"/>
      <c r="BC48" s="19"/>
      <c r="BD48" s="19"/>
      <c r="BE48" s="8"/>
      <c r="BF48" s="3">
        <f>0.05*10^3*Umrechnungsfaktoren!$B$15/Umrechnungsfaktoren!$B$11</f>
        <v>52.1608040201005</v>
      </c>
      <c r="BG48" s="3"/>
      <c r="BH48" s="8"/>
      <c r="BI48" s="8"/>
      <c r="BL48" s="1" t="s">
        <v>384</v>
      </c>
      <c r="BM48" s="1" t="s">
        <v>486</v>
      </c>
      <c r="BN48" s="1" t="s">
        <v>486</v>
      </c>
      <c r="BO48" s="1" t="s">
        <v>486</v>
      </c>
      <c r="BQ48" s="13" t="s">
        <v>478</v>
      </c>
      <c r="BR48" s="13" t="s">
        <v>478</v>
      </c>
      <c r="BS48" s="13"/>
      <c r="BT48" s="13" t="s">
        <v>474</v>
      </c>
      <c r="BU48" s="13" t="s">
        <v>474</v>
      </c>
      <c r="BV48" s="13" t="s">
        <v>474</v>
      </c>
      <c r="BW48" s="13"/>
      <c r="BY48" s="13"/>
      <c r="BZ48" s="13" t="s">
        <v>503</v>
      </c>
      <c r="CA48" s="13"/>
      <c r="CB48" s="1" t="s">
        <v>481</v>
      </c>
      <c r="CC48" s="1" t="s">
        <v>481</v>
      </c>
      <c r="CD48" s="1" t="s">
        <v>480</v>
      </c>
      <c r="CE48" s="1" t="s">
        <v>486</v>
      </c>
      <c r="CF48" s="1" t="s">
        <v>511</v>
      </c>
      <c r="CG48" s="1" t="s">
        <v>506</v>
      </c>
      <c r="CH48" s="1" t="s">
        <v>507</v>
      </c>
      <c r="CI48" s="1" t="s">
        <v>506</v>
      </c>
      <c r="CK48" s="1" t="s">
        <v>506</v>
      </c>
    </row>
    <row r="49" spans="1:89" x14ac:dyDescent="0.2">
      <c r="A49" s="1" t="s">
        <v>100</v>
      </c>
      <c r="B49" s="1" t="s">
        <v>129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/>
      <c r="Q49" s="19"/>
      <c r="R49" s="19"/>
      <c r="S49" s="19">
        <v>255</v>
      </c>
      <c r="T49" s="19"/>
      <c r="U49" s="19"/>
      <c r="V49" s="9">
        <v>0.6</v>
      </c>
      <c r="W49" s="9"/>
      <c r="X49" s="9">
        <v>0.5</v>
      </c>
      <c r="Y49" s="9">
        <v>0.9</v>
      </c>
      <c r="Z49" s="9">
        <f>5840/8760</f>
        <v>0.66666666666666663</v>
      </c>
      <c r="AA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49" s="9"/>
      <c r="AC49" s="20"/>
      <c r="AD49" s="19"/>
      <c r="AE49" s="9"/>
      <c r="AF49" s="19"/>
      <c r="AG49" s="43">
        <v>0.95499999999999996</v>
      </c>
      <c r="AH49" s="43">
        <v>0.98</v>
      </c>
      <c r="AI49" s="9"/>
      <c r="AM49" s="1">
        <v>2</v>
      </c>
      <c r="AQ49" s="1">
        <v>2</v>
      </c>
      <c r="AR49" s="1">
        <v>2</v>
      </c>
      <c r="AS49" s="1">
        <v>6</v>
      </c>
      <c r="AT49" s="1">
        <v>24</v>
      </c>
      <c r="AU49" s="1">
        <v>8</v>
      </c>
      <c r="AV49" s="1" t="s">
        <v>485</v>
      </c>
      <c r="AW49" s="1" t="s">
        <v>279</v>
      </c>
      <c r="AX49" s="1">
        <f>8/2</f>
        <v>4</v>
      </c>
      <c r="AZ49" s="1">
        <v>1095</v>
      </c>
      <c r="BB49" s="19"/>
      <c r="BC49" s="19"/>
      <c r="BD49" s="19"/>
      <c r="BE49" s="8"/>
      <c r="BF49" s="3">
        <f>0.05*10^3*Umrechnungsfaktoren!$B$15/Umrechnungsfaktoren!$B$11</f>
        <v>52.1608040201005</v>
      </c>
      <c r="BG49" s="3"/>
      <c r="BH49" s="8"/>
      <c r="BI49" s="8"/>
      <c r="BL49" s="1" t="s">
        <v>384</v>
      </c>
      <c r="BM49" s="1" t="s">
        <v>486</v>
      </c>
      <c r="BN49" s="1" t="s">
        <v>486</v>
      </c>
      <c r="BO49" s="1" t="s">
        <v>486</v>
      </c>
      <c r="BQ49" s="13" t="s">
        <v>479</v>
      </c>
      <c r="BR49" s="13" t="s">
        <v>479</v>
      </c>
      <c r="BS49" s="13"/>
      <c r="BT49" s="13" t="s">
        <v>474</v>
      </c>
      <c r="BU49" s="13" t="s">
        <v>474</v>
      </c>
      <c r="BV49" s="13" t="s">
        <v>474</v>
      </c>
      <c r="BW49" s="13"/>
      <c r="BY49" s="13"/>
      <c r="BZ49" s="13" t="s">
        <v>503</v>
      </c>
      <c r="CA49" s="13"/>
      <c r="CB49" s="1" t="s">
        <v>481</v>
      </c>
      <c r="CC49" s="1" t="s">
        <v>481</v>
      </c>
      <c r="CD49" s="1" t="s">
        <v>480</v>
      </c>
      <c r="CE49" s="1" t="s">
        <v>486</v>
      </c>
      <c r="CF49" s="1" t="s">
        <v>511</v>
      </c>
      <c r="CG49" s="1" t="s">
        <v>506</v>
      </c>
      <c r="CH49" s="1" t="s">
        <v>507</v>
      </c>
      <c r="CI49" s="1" t="s">
        <v>506</v>
      </c>
      <c r="CK49" s="1" t="s">
        <v>506</v>
      </c>
    </row>
    <row r="50" spans="1:89" x14ac:dyDescent="0.2">
      <c r="A50" s="1" t="s">
        <v>213</v>
      </c>
      <c r="B50" s="1" t="s">
        <v>129</v>
      </c>
      <c r="C50" s="1" t="s">
        <v>502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/>
      <c r="Q50" s="19"/>
      <c r="R50" s="19"/>
      <c r="S50" s="19">
        <v>73</v>
      </c>
      <c r="T50" s="19"/>
      <c r="U50" s="19"/>
      <c r="V50" s="9">
        <v>0.5</v>
      </c>
      <c r="W50" s="9"/>
      <c r="X50" s="9">
        <v>0.5</v>
      </c>
      <c r="Y50" s="9"/>
      <c r="Z50" s="9">
        <f>7008/8760</f>
        <v>0.8</v>
      </c>
      <c r="AA50" s="9"/>
      <c r="AB50" s="9"/>
      <c r="AC50" s="20"/>
      <c r="AD50" s="19"/>
      <c r="AE50" s="9"/>
      <c r="AF50" s="19"/>
      <c r="AG50" s="42">
        <v>0.97</v>
      </c>
      <c r="AH50" s="42">
        <v>0.97</v>
      </c>
      <c r="AI50" s="9"/>
      <c r="AM50" s="1">
        <v>1</v>
      </c>
      <c r="AQ50" s="1">
        <v>1</v>
      </c>
      <c r="AT50" s="1">
        <v>2</v>
      </c>
      <c r="AU50" s="1">
        <v>4</v>
      </c>
      <c r="AV50" s="1" t="s">
        <v>377</v>
      </c>
      <c r="AW50" s="1" t="s">
        <v>279</v>
      </c>
      <c r="AX50" s="1">
        <f>4/1</f>
        <v>4</v>
      </c>
      <c r="AZ50" s="1">
        <v>1095</v>
      </c>
      <c r="BB50" s="19"/>
      <c r="BC50" s="19"/>
      <c r="BD50" s="19">
        <f>10*Umrechnungsfaktoren!$B$15/Umrechnungsfaktoren!$B$12</f>
        <v>10.38</v>
      </c>
      <c r="BE50" s="8"/>
      <c r="BF50" s="19">
        <f>5*Umrechnungsfaktoren!$B$15/Umrechnungsfaktoren!$B$12</f>
        <v>5.19</v>
      </c>
      <c r="BG50" s="19"/>
      <c r="BH50" s="8"/>
      <c r="BI50" s="8">
        <f>0.03*Tabelle58971115[[#This Row],[Investitionsausgaben €_2018/kW]]</f>
        <v>0.31140000000000001</v>
      </c>
      <c r="BK50" s="7">
        <v>0.08</v>
      </c>
      <c r="BL50" s="1" t="s">
        <v>386</v>
      </c>
      <c r="BM50" s="1" t="s">
        <v>486</v>
      </c>
      <c r="BN50" s="1" t="s">
        <v>486</v>
      </c>
      <c r="BO50" s="1" t="s">
        <v>486</v>
      </c>
      <c r="BP50" s="1" t="s">
        <v>488</v>
      </c>
      <c r="BQ50" s="13" t="s">
        <v>483</v>
      </c>
      <c r="BR50" s="13" t="s">
        <v>484</v>
      </c>
      <c r="BS50" s="13"/>
      <c r="BT50" s="13" t="s">
        <v>474</v>
      </c>
      <c r="BU50" s="13" t="s">
        <v>474</v>
      </c>
      <c r="BV50" s="13" t="s">
        <v>474</v>
      </c>
      <c r="BW50" s="13"/>
      <c r="BY50" s="13"/>
      <c r="BZ50" s="13" t="s">
        <v>503</v>
      </c>
      <c r="CA50" s="13"/>
      <c r="CB50" s="1" t="s">
        <v>481</v>
      </c>
      <c r="CC50" s="1" t="s">
        <v>481</v>
      </c>
      <c r="CD50" s="1" t="s">
        <v>480</v>
      </c>
      <c r="CE50" s="1" t="s">
        <v>472</v>
      </c>
      <c r="CF50" s="1" t="s">
        <v>511</v>
      </c>
      <c r="CG50" s="1" t="s">
        <v>506</v>
      </c>
      <c r="CH50" s="1" t="s">
        <v>507</v>
      </c>
      <c r="CI50" s="1" t="s">
        <v>506</v>
      </c>
      <c r="CK50" s="1" t="s">
        <v>506</v>
      </c>
    </row>
    <row r="51" spans="1:89" x14ac:dyDescent="0.2">
      <c r="A51" s="1" t="s">
        <v>213</v>
      </c>
      <c r="B51" s="1" t="s">
        <v>129</v>
      </c>
      <c r="C51" s="1" t="s">
        <v>502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/>
      <c r="Q51" s="19"/>
      <c r="R51" s="19"/>
      <c r="S51" s="19">
        <v>73</v>
      </c>
      <c r="T51" s="19"/>
      <c r="U51" s="19"/>
      <c r="V51" s="9">
        <v>0.5</v>
      </c>
      <c r="W51" s="9"/>
      <c r="X51" s="9">
        <v>0.5</v>
      </c>
      <c r="Y51" s="9"/>
      <c r="Z51" s="9">
        <f>7008/8760</f>
        <v>0.8</v>
      </c>
      <c r="AA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1" s="9"/>
      <c r="AC51" s="20"/>
      <c r="AD51" s="19"/>
      <c r="AE51" s="9"/>
      <c r="AF51" s="19"/>
      <c r="AG51" s="42">
        <v>0.97</v>
      </c>
      <c r="AH51" s="42">
        <v>0.97</v>
      </c>
      <c r="AI51" s="9"/>
      <c r="AM51" s="1">
        <v>1</v>
      </c>
      <c r="AQ51" s="1">
        <v>1</v>
      </c>
      <c r="AT51" s="1">
        <v>2</v>
      </c>
      <c r="AU51" s="1">
        <v>4</v>
      </c>
      <c r="AV51" s="1" t="s">
        <v>377</v>
      </c>
      <c r="AW51" s="1" t="s">
        <v>279</v>
      </c>
      <c r="AX51" s="1">
        <f t="shared" ref="AX51:AX57" si="3">4/1</f>
        <v>4</v>
      </c>
      <c r="AZ51" s="1">
        <v>1095</v>
      </c>
      <c r="BB51" s="19"/>
      <c r="BC51" s="19"/>
      <c r="BD51" s="19">
        <f>10*Umrechnungsfaktoren!$B$15/Umrechnungsfaktoren!$B$12</f>
        <v>10.38</v>
      </c>
      <c r="BE51" s="8"/>
      <c r="BF51" s="19">
        <f>5*Umrechnungsfaktoren!$B$15/Umrechnungsfaktoren!$B$12</f>
        <v>5.19</v>
      </c>
      <c r="BG51" s="19"/>
      <c r="BH51" s="8"/>
      <c r="BI51" s="8">
        <f>0.03*Tabelle58971115[[#This Row],[Investitionsausgaben €_2018/kW]]</f>
        <v>0.31140000000000001</v>
      </c>
      <c r="BK51" s="7">
        <v>0.08</v>
      </c>
      <c r="BL51" s="1" t="s">
        <v>386</v>
      </c>
      <c r="BM51" s="1" t="s">
        <v>486</v>
      </c>
      <c r="BN51" s="1" t="s">
        <v>486</v>
      </c>
      <c r="BO51" s="1" t="s">
        <v>486</v>
      </c>
      <c r="BQ51" s="13" t="s">
        <v>477</v>
      </c>
      <c r="BR51" s="13" t="s">
        <v>477</v>
      </c>
      <c r="BS51" s="13"/>
      <c r="BT51" s="13" t="s">
        <v>474</v>
      </c>
      <c r="BU51" s="13" t="s">
        <v>474</v>
      </c>
      <c r="BV51" s="13" t="s">
        <v>474</v>
      </c>
      <c r="BW51" s="13"/>
      <c r="BY51" s="13"/>
      <c r="BZ51" s="13" t="s">
        <v>503</v>
      </c>
      <c r="CA51" s="13"/>
      <c r="CB51" s="1" t="s">
        <v>481</v>
      </c>
      <c r="CC51" s="1" t="s">
        <v>481</v>
      </c>
      <c r="CD51" s="1" t="s">
        <v>480</v>
      </c>
      <c r="CE51" s="1" t="s">
        <v>472</v>
      </c>
      <c r="CF51" s="1" t="s">
        <v>511</v>
      </c>
      <c r="CG51" s="1" t="s">
        <v>506</v>
      </c>
      <c r="CH51" s="1" t="s">
        <v>507</v>
      </c>
      <c r="CI51" s="1" t="s">
        <v>506</v>
      </c>
      <c r="CK51" s="1" t="s">
        <v>506</v>
      </c>
    </row>
    <row r="52" spans="1:89" x14ac:dyDescent="0.2">
      <c r="A52" s="1" t="s">
        <v>213</v>
      </c>
      <c r="B52" s="1" t="s">
        <v>129</v>
      </c>
      <c r="C52" s="1" t="s">
        <v>502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/>
      <c r="Q52" s="19"/>
      <c r="R52" s="19"/>
      <c r="S52" s="19">
        <v>73</v>
      </c>
      <c r="T52" s="19"/>
      <c r="U52" s="19"/>
      <c r="V52" s="9">
        <v>0.5</v>
      </c>
      <c r="W52" s="9"/>
      <c r="X52" s="9">
        <v>0.5</v>
      </c>
      <c r="Y52" s="9"/>
      <c r="Z52" s="9">
        <f>7008/8760</f>
        <v>0.8</v>
      </c>
      <c r="AA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2" s="9"/>
      <c r="AC52" s="20"/>
      <c r="AD52" s="19"/>
      <c r="AE52" s="9"/>
      <c r="AF52" s="19"/>
      <c r="AG52" s="42">
        <v>0.97</v>
      </c>
      <c r="AH52" s="42">
        <v>0.97</v>
      </c>
      <c r="AI52" s="9"/>
      <c r="AM52" s="1">
        <v>1</v>
      </c>
      <c r="AQ52" s="1">
        <v>1</v>
      </c>
      <c r="AT52" s="1">
        <v>2</v>
      </c>
      <c r="AU52" s="1">
        <v>4</v>
      </c>
      <c r="AV52" s="1" t="s">
        <v>377</v>
      </c>
      <c r="AW52" s="1" t="s">
        <v>279</v>
      </c>
      <c r="AX52" s="1">
        <f t="shared" si="3"/>
        <v>4</v>
      </c>
      <c r="AZ52" s="1">
        <v>1095</v>
      </c>
      <c r="BB52" s="19"/>
      <c r="BC52" s="19"/>
      <c r="BD52" s="19">
        <f>10*Umrechnungsfaktoren!$B$15/Umrechnungsfaktoren!$B$12</f>
        <v>10.38</v>
      </c>
      <c r="BE52" s="8"/>
      <c r="BF52" s="19">
        <f>5*Umrechnungsfaktoren!$B$15/Umrechnungsfaktoren!$B$12</f>
        <v>5.19</v>
      </c>
      <c r="BG52" s="19"/>
      <c r="BH52" s="8"/>
      <c r="BI52" s="8">
        <f>0.03*Tabelle58971115[[#This Row],[Investitionsausgaben €_2018/kW]]</f>
        <v>0.31140000000000001</v>
      </c>
      <c r="BK52" s="7">
        <v>0.08</v>
      </c>
      <c r="BL52" s="1" t="s">
        <v>386</v>
      </c>
      <c r="BM52" s="1" t="s">
        <v>486</v>
      </c>
      <c r="BN52" s="1" t="s">
        <v>486</v>
      </c>
      <c r="BO52" s="1" t="s">
        <v>486</v>
      </c>
      <c r="BQ52" s="13" t="s">
        <v>478</v>
      </c>
      <c r="BR52" s="13" t="s">
        <v>478</v>
      </c>
      <c r="BS52" s="13"/>
      <c r="BT52" s="13" t="s">
        <v>474</v>
      </c>
      <c r="BU52" s="13" t="s">
        <v>474</v>
      </c>
      <c r="BV52" s="13" t="s">
        <v>474</v>
      </c>
      <c r="BW52" s="13"/>
      <c r="BY52" s="13"/>
      <c r="BZ52" s="13" t="s">
        <v>503</v>
      </c>
      <c r="CA52" s="13"/>
      <c r="CB52" s="1" t="s">
        <v>481</v>
      </c>
      <c r="CC52" s="1" t="s">
        <v>481</v>
      </c>
      <c r="CD52" s="1" t="s">
        <v>480</v>
      </c>
      <c r="CE52" s="1" t="s">
        <v>472</v>
      </c>
      <c r="CF52" s="1" t="s">
        <v>511</v>
      </c>
      <c r="CG52" s="1" t="s">
        <v>506</v>
      </c>
      <c r="CH52" s="1" t="s">
        <v>507</v>
      </c>
      <c r="CI52" s="1" t="s">
        <v>506</v>
      </c>
      <c r="CK52" s="1" t="s">
        <v>506</v>
      </c>
    </row>
    <row r="53" spans="1:89" x14ac:dyDescent="0.2">
      <c r="A53" s="1" t="s">
        <v>213</v>
      </c>
      <c r="B53" s="1" t="s">
        <v>129</v>
      </c>
      <c r="C53" s="1" t="s">
        <v>502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/>
      <c r="Q53" s="19"/>
      <c r="R53" s="19"/>
      <c r="S53" s="19">
        <v>73</v>
      </c>
      <c r="T53" s="19"/>
      <c r="U53" s="19"/>
      <c r="V53" s="9">
        <v>0.5</v>
      </c>
      <c r="W53" s="9"/>
      <c r="X53" s="9">
        <v>0.5</v>
      </c>
      <c r="Y53" s="9"/>
      <c r="Z53" s="9">
        <f>7008/8760</f>
        <v>0.8</v>
      </c>
      <c r="AA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3" s="9"/>
      <c r="AC53" s="20"/>
      <c r="AD53" s="19"/>
      <c r="AE53" s="9"/>
      <c r="AF53" s="19"/>
      <c r="AG53" s="42">
        <v>0.97</v>
      </c>
      <c r="AH53" s="42">
        <v>0.97</v>
      </c>
      <c r="AI53" s="9"/>
      <c r="AM53" s="1">
        <v>1</v>
      </c>
      <c r="AQ53" s="1">
        <v>1</v>
      </c>
      <c r="AT53" s="1">
        <v>2</v>
      </c>
      <c r="AU53" s="1">
        <v>4</v>
      </c>
      <c r="AV53" s="1" t="s">
        <v>377</v>
      </c>
      <c r="AW53" s="1" t="s">
        <v>279</v>
      </c>
      <c r="AX53" s="1">
        <f t="shared" si="3"/>
        <v>4</v>
      </c>
      <c r="AZ53" s="1">
        <v>1095</v>
      </c>
      <c r="BB53" s="19"/>
      <c r="BC53" s="19"/>
      <c r="BD53" s="19">
        <f>10*Umrechnungsfaktoren!$B$15/Umrechnungsfaktoren!$B$12</f>
        <v>10.38</v>
      </c>
      <c r="BE53" s="8"/>
      <c r="BF53" s="19">
        <f>5*Umrechnungsfaktoren!$B$15/Umrechnungsfaktoren!$B$12</f>
        <v>5.19</v>
      </c>
      <c r="BG53" s="19"/>
      <c r="BH53" s="8"/>
      <c r="BI53" s="8">
        <f>0.03*Tabelle58971115[[#This Row],[Investitionsausgaben €_2018/kW]]</f>
        <v>0.31140000000000001</v>
      </c>
      <c r="BK53" s="7">
        <v>0.08</v>
      </c>
      <c r="BL53" s="1" t="s">
        <v>386</v>
      </c>
      <c r="BM53" s="1" t="s">
        <v>486</v>
      </c>
      <c r="BN53" s="1" t="s">
        <v>486</v>
      </c>
      <c r="BO53" s="1" t="s">
        <v>486</v>
      </c>
      <c r="BQ53" s="13" t="s">
        <v>479</v>
      </c>
      <c r="BR53" s="13" t="s">
        <v>479</v>
      </c>
      <c r="BS53" s="13"/>
      <c r="BT53" s="13" t="s">
        <v>474</v>
      </c>
      <c r="BU53" s="13" t="s">
        <v>474</v>
      </c>
      <c r="BV53" s="13" t="s">
        <v>474</v>
      </c>
      <c r="BW53" s="13"/>
      <c r="BY53" s="13"/>
      <c r="BZ53" s="13" t="s">
        <v>503</v>
      </c>
      <c r="CA53" s="13"/>
      <c r="CB53" s="1" t="s">
        <v>481</v>
      </c>
      <c r="CC53" s="1" t="s">
        <v>481</v>
      </c>
      <c r="CD53" s="1" t="s">
        <v>480</v>
      </c>
      <c r="CE53" s="1" t="s">
        <v>472</v>
      </c>
      <c r="CF53" s="1" t="s">
        <v>511</v>
      </c>
      <c r="CG53" s="1" t="s">
        <v>506</v>
      </c>
      <c r="CH53" s="1" t="s">
        <v>507</v>
      </c>
      <c r="CI53" s="1" t="s">
        <v>506</v>
      </c>
      <c r="CK53" s="1" t="s">
        <v>506</v>
      </c>
    </row>
    <row r="54" spans="1:89" x14ac:dyDescent="0.2">
      <c r="A54" s="1" t="s">
        <v>408</v>
      </c>
      <c r="B54" s="1" t="s">
        <v>130</v>
      </c>
      <c r="C54" s="1" t="s">
        <v>502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/>
      <c r="Q54" s="19"/>
      <c r="R54" s="19"/>
      <c r="S54" s="19">
        <v>389</v>
      </c>
      <c r="T54" s="19"/>
      <c r="U54" s="19"/>
      <c r="V54" s="9"/>
      <c r="W54" s="9"/>
      <c r="X54" s="9"/>
      <c r="Y54" s="9"/>
      <c r="Z54" s="9">
        <f>5840/8760</f>
        <v>0.66666666666666663</v>
      </c>
      <c r="AA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4" s="9"/>
      <c r="AC54" s="20"/>
      <c r="AD54" s="19"/>
      <c r="AE54" s="9"/>
      <c r="AF54" s="19"/>
      <c r="AG54" s="42">
        <v>0.97</v>
      </c>
      <c r="AH54" s="42">
        <v>0.97</v>
      </c>
      <c r="AI54" s="9"/>
      <c r="AM54" s="1">
        <v>1</v>
      </c>
      <c r="AQ54" s="1">
        <v>1</v>
      </c>
      <c r="AT54" s="1">
        <v>2</v>
      </c>
      <c r="AU54" s="1">
        <v>4</v>
      </c>
      <c r="AV54" s="1" t="s">
        <v>485</v>
      </c>
      <c r="AW54" s="1" t="s">
        <v>279</v>
      </c>
      <c r="AX54" s="1">
        <f t="shared" si="3"/>
        <v>4</v>
      </c>
      <c r="AZ54" s="1">
        <v>1095</v>
      </c>
      <c r="BB54" s="19"/>
      <c r="BC54" s="19"/>
      <c r="BD54" s="19">
        <f>10*Umrechnungsfaktoren!$B$15/Umrechnungsfaktoren!$B$12</f>
        <v>10.38</v>
      </c>
      <c r="BE54" s="8"/>
      <c r="BF54" s="19">
        <f>5*Umrechnungsfaktoren!$B$15/Umrechnungsfaktoren!$B$12</f>
        <v>5.19</v>
      </c>
      <c r="BG54" s="19"/>
      <c r="BH54" s="8"/>
      <c r="BI54" s="8">
        <f>0.03*Tabelle58971115[[#This Row],[Investitionsausgaben €_2018/kW]]</f>
        <v>0.31140000000000001</v>
      </c>
      <c r="BK54" s="7">
        <v>0.08</v>
      </c>
      <c r="BL54" s="1" t="s">
        <v>388</v>
      </c>
      <c r="BM54" s="1" t="s">
        <v>486</v>
      </c>
      <c r="BN54" s="1" t="s">
        <v>486</v>
      </c>
      <c r="BO54" s="1" t="s">
        <v>486</v>
      </c>
      <c r="BQ54" s="13" t="s">
        <v>483</v>
      </c>
      <c r="BR54" s="13" t="s">
        <v>484</v>
      </c>
      <c r="BS54" s="13"/>
      <c r="BT54" s="13"/>
      <c r="BU54" s="13" t="s">
        <v>475</v>
      </c>
      <c r="BV54" s="13" t="s">
        <v>475</v>
      </c>
      <c r="BW54" s="13"/>
      <c r="BY54" s="13"/>
      <c r="BZ54" s="13" t="s">
        <v>503</v>
      </c>
      <c r="CA54" s="13"/>
      <c r="CB54" s="1" t="s">
        <v>481</v>
      </c>
      <c r="CC54" s="1" t="s">
        <v>481</v>
      </c>
      <c r="CD54" s="1" t="s">
        <v>480</v>
      </c>
      <c r="CE54" s="1" t="s">
        <v>486</v>
      </c>
      <c r="CF54" s="1" t="s">
        <v>511</v>
      </c>
      <c r="CG54" s="1" t="s">
        <v>506</v>
      </c>
      <c r="CH54" s="1" t="s">
        <v>507</v>
      </c>
      <c r="CI54" s="1" t="s">
        <v>506</v>
      </c>
      <c r="CK54" s="1" t="s">
        <v>506</v>
      </c>
    </row>
    <row r="55" spans="1:89" x14ac:dyDescent="0.2">
      <c r="A55" s="1" t="s">
        <v>408</v>
      </c>
      <c r="B55" s="1" t="s">
        <v>130</v>
      </c>
      <c r="C55" s="1" t="s">
        <v>502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/>
      <c r="Q55" s="19"/>
      <c r="R55" s="19"/>
      <c r="S55" s="19">
        <v>439</v>
      </c>
      <c r="T55" s="19"/>
      <c r="U55" s="19"/>
      <c r="V55" s="9"/>
      <c r="W55" s="9"/>
      <c r="X55" s="9">
        <v>0.45</v>
      </c>
      <c r="Y55" s="9">
        <v>1</v>
      </c>
      <c r="Z55" s="9"/>
      <c r="AA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5" s="9"/>
      <c r="AC55" s="20"/>
      <c r="AD55" s="19"/>
      <c r="AE55" s="9"/>
      <c r="AF55" s="19"/>
      <c r="AG55" s="42">
        <v>0.97</v>
      </c>
      <c r="AH55" s="42">
        <v>0.97</v>
      </c>
      <c r="AI55" s="9"/>
      <c r="AM55" s="1">
        <v>1</v>
      </c>
      <c r="AQ55" s="1">
        <v>1</v>
      </c>
      <c r="AT55" s="1">
        <v>2</v>
      </c>
      <c r="AU55" s="1">
        <v>4</v>
      </c>
      <c r="AV55" s="1" t="s">
        <v>485</v>
      </c>
      <c r="AW55" s="1" t="s">
        <v>279</v>
      </c>
      <c r="AX55" s="1">
        <f t="shared" si="3"/>
        <v>4</v>
      </c>
      <c r="AZ55" s="1">
        <v>1095</v>
      </c>
      <c r="BB55" s="19"/>
      <c r="BC55" s="19"/>
      <c r="BD55" s="19">
        <f>10*Umrechnungsfaktoren!$B$15/Umrechnungsfaktoren!$B$12</f>
        <v>10.38</v>
      </c>
      <c r="BE55" s="8"/>
      <c r="BF55" s="19">
        <f>5*Umrechnungsfaktoren!$B$15/Umrechnungsfaktoren!$B$12</f>
        <v>5.19</v>
      </c>
      <c r="BG55" s="19"/>
      <c r="BH55" s="8"/>
      <c r="BI55" s="8">
        <f>0.03*Tabelle58971115[[#This Row],[Investitionsausgaben €_2018/kW]]</f>
        <v>0.31140000000000001</v>
      </c>
      <c r="BK55" s="7">
        <v>0.08</v>
      </c>
      <c r="BL55" s="1" t="s">
        <v>388</v>
      </c>
      <c r="BM55" s="1" t="s">
        <v>486</v>
      </c>
      <c r="BN55" s="1" t="s">
        <v>486</v>
      </c>
      <c r="BO55" s="1" t="s">
        <v>486</v>
      </c>
      <c r="BQ55" s="13" t="s">
        <v>477</v>
      </c>
      <c r="BR55" s="13" t="s">
        <v>477</v>
      </c>
      <c r="BS55" s="13"/>
      <c r="BT55" s="13"/>
      <c r="BU55" s="13" t="s">
        <v>475</v>
      </c>
      <c r="BV55" s="13" t="s">
        <v>475</v>
      </c>
      <c r="BW55" s="13"/>
      <c r="BY55" s="13"/>
      <c r="BZ55" s="13" t="s">
        <v>503</v>
      </c>
      <c r="CA55" s="13"/>
      <c r="CB55" s="1" t="s">
        <v>481</v>
      </c>
      <c r="CC55" s="1" t="s">
        <v>481</v>
      </c>
      <c r="CD55" s="1" t="s">
        <v>480</v>
      </c>
      <c r="CE55" s="1" t="s">
        <v>486</v>
      </c>
      <c r="CF55" s="1" t="s">
        <v>511</v>
      </c>
      <c r="CG55" s="1" t="s">
        <v>506</v>
      </c>
      <c r="CH55" s="1" t="s">
        <v>507</v>
      </c>
      <c r="CI55" s="1" t="s">
        <v>506</v>
      </c>
      <c r="CK55" s="1" t="s">
        <v>506</v>
      </c>
    </row>
    <row r="56" spans="1:89" x14ac:dyDescent="0.2">
      <c r="A56" s="1" t="s">
        <v>408</v>
      </c>
      <c r="B56" s="1" t="s">
        <v>130</v>
      </c>
      <c r="C56" s="1" t="s">
        <v>502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/>
      <c r="Q56" s="19"/>
      <c r="R56" s="19"/>
      <c r="S56" s="19">
        <v>478</v>
      </c>
      <c r="T56" s="19"/>
      <c r="U56" s="19"/>
      <c r="V56" s="9"/>
      <c r="W56" s="9"/>
      <c r="X56" s="9">
        <v>0.5</v>
      </c>
      <c r="Y56" s="9">
        <v>1</v>
      </c>
      <c r="Z56" s="9"/>
      <c r="AA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6" s="9"/>
      <c r="AC56" s="20"/>
      <c r="AD56" s="19"/>
      <c r="AE56" s="9"/>
      <c r="AF56" s="19"/>
      <c r="AG56" s="42">
        <v>0.97</v>
      </c>
      <c r="AH56" s="42">
        <v>0.97</v>
      </c>
      <c r="AI56" s="9"/>
      <c r="AM56" s="1">
        <v>1</v>
      </c>
      <c r="AQ56" s="1">
        <v>1</v>
      </c>
      <c r="AT56" s="1">
        <v>2</v>
      </c>
      <c r="AU56" s="1">
        <v>4</v>
      </c>
      <c r="AV56" s="1" t="s">
        <v>485</v>
      </c>
      <c r="AW56" s="1" t="s">
        <v>279</v>
      </c>
      <c r="AX56" s="1">
        <f t="shared" si="3"/>
        <v>4</v>
      </c>
      <c r="AZ56" s="1">
        <v>1095</v>
      </c>
      <c r="BB56" s="19"/>
      <c r="BC56" s="19"/>
      <c r="BD56" s="19">
        <f>10*Umrechnungsfaktoren!$B$15/Umrechnungsfaktoren!$B$12</f>
        <v>10.38</v>
      </c>
      <c r="BE56" s="8"/>
      <c r="BF56" s="19">
        <f>5*Umrechnungsfaktoren!$B$15/Umrechnungsfaktoren!$B$12</f>
        <v>5.19</v>
      </c>
      <c r="BG56" s="19"/>
      <c r="BH56" s="8"/>
      <c r="BI56" s="8">
        <f>0.03*Tabelle58971115[[#This Row],[Investitionsausgaben €_2018/kW]]</f>
        <v>0.31140000000000001</v>
      </c>
      <c r="BK56" s="7">
        <v>0.08</v>
      </c>
      <c r="BL56" s="1" t="s">
        <v>388</v>
      </c>
      <c r="BM56" s="1" t="s">
        <v>486</v>
      </c>
      <c r="BN56" s="1" t="s">
        <v>486</v>
      </c>
      <c r="BO56" s="1" t="s">
        <v>486</v>
      </c>
      <c r="BQ56" s="13" t="s">
        <v>478</v>
      </c>
      <c r="BR56" s="13" t="s">
        <v>478</v>
      </c>
      <c r="BS56" s="13"/>
      <c r="BT56" s="13"/>
      <c r="BU56" s="13" t="s">
        <v>475</v>
      </c>
      <c r="BV56" s="13" t="s">
        <v>475</v>
      </c>
      <c r="BW56" s="13"/>
      <c r="BY56" s="13"/>
      <c r="BZ56" s="13" t="s">
        <v>503</v>
      </c>
      <c r="CA56" s="13"/>
      <c r="CB56" s="1" t="s">
        <v>481</v>
      </c>
      <c r="CC56" s="1" t="s">
        <v>481</v>
      </c>
      <c r="CD56" s="1" t="s">
        <v>480</v>
      </c>
      <c r="CE56" s="1" t="s">
        <v>486</v>
      </c>
      <c r="CF56" s="1" t="s">
        <v>511</v>
      </c>
      <c r="CG56" s="1" t="s">
        <v>506</v>
      </c>
      <c r="CH56" s="1" t="s">
        <v>507</v>
      </c>
      <c r="CI56" s="1" t="s">
        <v>506</v>
      </c>
      <c r="CK56" s="1" t="s">
        <v>506</v>
      </c>
    </row>
    <row r="57" spans="1:89" x14ac:dyDescent="0.2">
      <c r="A57" s="1" t="s">
        <v>408</v>
      </c>
      <c r="B57" s="1" t="s">
        <v>130</v>
      </c>
      <c r="C57" s="1" t="s">
        <v>502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/>
      <c r="Q57" s="19"/>
      <c r="R57" s="19"/>
      <c r="S57" s="19">
        <v>446</v>
      </c>
      <c r="T57" s="19"/>
      <c r="U57" s="19"/>
      <c r="V57" s="9"/>
      <c r="W57" s="9"/>
      <c r="X57" s="9">
        <v>0.6</v>
      </c>
      <c r="Y57" s="9">
        <v>1</v>
      </c>
      <c r="Z57" s="9"/>
      <c r="AA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7" s="9"/>
      <c r="AC57" s="20"/>
      <c r="AD57" s="19"/>
      <c r="AE57" s="9"/>
      <c r="AF57" s="19"/>
      <c r="AG57" s="42">
        <v>0.97</v>
      </c>
      <c r="AH57" s="42">
        <v>0.97</v>
      </c>
      <c r="AI57" s="9"/>
      <c r="AM57" s="1">
        <v>1</v>
      </c>
      <c r="AQ57" s="1">
        <v>1</v>
      </c>
      <c r="AT57" s="1">
        <v>2</v>
      </c>
      <c r="AU57" s="1">
        <v>4</v>
      </c>
      <c r="AV57" s="1" t="s">
        <v>485</v>
      </c>
      <c r="AW57" s="1" t="s">
        <v>279</v>
      </c>
      <c r="AX57" s="1">
        <f t="shared" si="3"/>
        <v>4</v>
      </c>
      <c r="AZ57" s="1">
        <v>1095</v>
      </c>
      <c r="BB57" s="19"/>
      <c r="BC57" s="19"/>
      <c r="BD57" s="19">
        <f>10*Umrechnungsfaktoren!$B$15/Umrechnungsfaktoren!$B$12</f>
        <v>10.38</v>
      </c>
      <c r="BE57" s="8"/>
      <c r="BF57" s="19">
        <f>5*Umrechnungsfaktoren!$B$15/Umrechnungsfaktoren!$B$12</f>
        <v>5.19</v>
      </c>
      <c r="BG57" s="19"/>
      <c r="BH57" s="8"/>
      <c r="BI57" s="8">
        <f>0.03*Tabelle58971115[[#This Row],[Investitionsausgaben €_2018/kW]]</f>
        <v>0.31140000000000001</v>
      </c>
      <c r="BK57" s="7">
        <v>0.08</v>
      </c>
      <c r="BL57" s="1" t="s">
        <v>388</v>
      </c>
      <c r="BM57" s="1" t="s">
        <v>486</v>
      </c>
      <c r="BN57" s="1" t="s">
        <v>486</v>
      </c>
      <c r="BO57" s="1" t="s">
        <v>486</v>
      </c>
      <c r="BQ57" s="13" t="s">
        <v>479</v>
      </c>
      <c r="BR57" s="13" t="s">
        <v>479</v>
      </c>
      <c r="BS57" s="13"/>
      <c r="BT57" s="13"/>
      <c r="BU57" s="13" t="s">
        <v>475</v>
      </c>
      <c r="BV57" s="13" t="s">
        <v>475</v>
      </c>
      <c r="BW57" s="13"/>
      <c r="BY57" s="13"/>
      <c r="BZ57" s="13" t="s">
        <v>503</v>
      </c>
      <c r="CA57" s="13"/>
      <c r="CB57" s="1" t="s">
        <v>481</v>
      </c>
      <c r="CC57" s="1" t="s">
        <v>481</v>
      </c>
      <c r="CD57" s="1" t="s">
        <v>480</v>
      </c>
      <c r="CE57" s="1" t="s">
        <v>486</v>
      </c>
      <c r="CF57" s="1" t="s">
        <v>511</v>
      </c>
      <c r="CG57" s="1" t="s">
        <v>506</v>
      </c>
      <c r="CH57" s="1" t="s">
        <v>507</v>
      </c>
      <c r="CI57" s="1" t="s">
        <v>506</v>
      </c>
      <c r="CK57" s="1" t="s">
        <v>506</v>
      </c>
    </row>
    <row r="58" spans="1:89" x14ac:dyDescent="0.2">
      <c r="A58" s="1" t="s">
        <v>1159</v>
      </c>
      <c r="B58" s="1" t="s">
        <v>130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/>
      <c r="Q58" s="19"/>
      <c r="R58" s="19"/>
      <c r="S58" s="19">
        <v>78</v>
      </c>
      <c r="T58" s="19"/>
      <c r="U58" s="19"/>
      <c r="V58" s="9"/>
      <c r="W58" s="9"/>
      <c r="X58" s="9"/>
      <c r="Y58" s="9"/>
      <c r="Z58" s="9">
        <f>5000/8760</f>
        <v>0.57077625570776258</v>
      </c>
      <c r="AA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8" s="9"/>
      <c r="AC58" s="20"/>
      <c r="AD58" s="19"/>
      <c r="AE58" s="9"/>
      <c r="AF58" s="19"/>
      <c r="AG58" s="43">
        <v>0.95499999999999996</v>
      </c>
      <c r="AH58" s="43">
        <v>0.98</v>
      </c>
      <c r="AI58" s="9"/>
      <c r="AM58" s="1">
        <v>2</v>
      </c>
      <c r="AQ58" s="1">
        <v>2</v>
      </c>
      <c r="AR58" s="1">
        <v>2</v>
      </c>
      <c r="AS58" s="1">
        <v>6</v>
      </c>
      <c r="AT58" s="1">
        <v>2</v>
      </c>
      <c r="AU58" s="1">
        <v>8</v>
      </c>
      <c r="AV58" s="1" t="s">
        <v>485</v>
      </c>
      <c r="AW58" s="1" t="s">
        <v>279</v>
      </c>
      <c r="AX58" s="1">
        <f t="shared" ref="AX58:AX65" si="4">8/2</f>
        <v>4</v>
      </c>
      <c r="AZ58" s="1">
        <v>1095</v>
      </c>
      <c r="BB58" s="19"/>
      <c r="BC58" s="19"/>
      <c r="BD58" s="19">
        <f>5*Umrechnungsfaktoren!$B$15/Umrechnungsfaktoren!$B$12</f>
        <v>5.19</v>
      </c>
      <c r="BE58" s="8"/>
      <c r="BF58" s="3">
        <f>20*Umrechnungsfaktoren!$B$15/Umrechnungsfaktoren!$B$11</f>
        <v>20.8643216080402</v>
      </c>
      <c r="BG58" s="3"/>
      <c r="BH58" s="8">
        <f>0.03*Tabelle58971115[[#This Row],[Investitionsausgaben €_2018/kW]]</f>
        <v>0.15570000000000001</v>
      </c>
      <c r="BI58" s="8"/>
      <c r="BK58" s="7">
        <v>0.31</v>
      </c>
      <c r="BL58" s="1" t="s">
        <v>388</v>
      </c>
      <c r="BM58" s="1" t="s">
        <v>486</v>
      </c>
      <c r="BN58" s="1" t="s">
        <v>486</v>
      </c>
      <c r="BO58" s="1" t="s">
        <v>486</v>
      </c>
      <c r="BQ58" s="13" t="s">
        <v>483</v>
      </c>
      <c r="BR58" s="13" t="s">
        <v>484</v>
      </c>
      <c r="BS58" s="13"/>
      <c r="BT58" s="13"/>
      <c r="BU58" s="13" t="s">
        <v>475</v>
      </c>
      <c r="BV58" s="13" t="s">
        <v>475</v>
      </c>
      <c r="BW58" s="13"/>
      <c r="BY58" s="13"/>
      <c r="BZ58" s="13" t="s">
        <v>503</v>
      </c>
      <c r="CA58" s="13"/>
      <c r="CB58" s="1" t="s">
        <v>481</v>
      </c>
      <c r="CC58" s="1" t="s">
        <v>481</v>
      </c>
      <c r="CD58" s="1" t="s">
        <v>480</v>
      </c>
      <c r="CE58" s="1" t="s">
        <v>486</v>
      </c>
      <c r="CF58" s="1" t="s">
        <v>511</v>
      </c>
      <c r="CG58" s="1" t="s">
        <v>506</v>
      </c>
      <c r="CH58" s="1" t="s">
        <v>507</v>
      </c>
      <c r="CI58" s="1" t="s">
        <v>506</v>
      </c>
      <c r="CK58" s="1" t="s">
        <v>506</v>
      </c>
    </row>
    <row r="59" spans="1:89" x14ac:dyDescent="0.2">
      <c r="A59" s="1" t="s">
        <v>1159</v>
      </c>
      <c r="B59" s="1" t="s">
        <v>130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/>
      <c r="Q59" s="19"/>
      <c r="R59" s="19"/>
      <c r="S59" s="19">
        <v>79</v>
      </c>
      <c r="T59" s="19"/>
      <c r="U59" s="19"/>
      <c r="V59" s="9"/>
      <c r="W59" s="9"/>
      <c r="X59" s="9">
        <v>0.55000000000000004</v>
      </c>
      <c r="Y59" s="9">
        <v>0.9</v>
      </c>
      <c r="Z59" s="9"/>
      <c r="AA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59" s="9"/>
      <c r="AC59" s="20"/>
      <c r="AD59" s="19"/>
      <c r="AE59" s="9"/>
      <c r="AF59" s="19"/>
      <c r="AG59" s="43">
        <v>0.95499999999999996</v>
      </c>
      <c r="AH59" s="43">
        <v>0.98</v>
      </c>
      <c r="AI59" s="9"/>
      <c r="AM59" s="1">
        <v>2</v>
      </c>
      <c r="AQ59" s="1">
        <v>2</v>
      </c>
      <c r="AR59" s="1">
        <v>2</v>
      </c>
      <c r="AS59" s="1">
        <v>6</v>
      </c>
      <c r="AT59" s="1">
        <v>2</v>
      </c>
      <c r="AU59" s="1">
        <v>8</v>
      </c>
      <c r="AV59" s="1" t="s">
        <v>485</v>
      </c>
      <c r="AW59" s="1" t="s">
        <v>279</v>
      </c>
      <c r="AX59" s="1">
        <f t="shared" si="4"/>
        <v>4</v>
      </c>
      <c r="AZ59" s="1">
        <v>1095</v>
      </c>
      <c r="BB59" s="19"/>
      <c r="BC59" s="19"/>
      <c r="BD59" s="19">
        <f>5*Umrechnungsfaktoren!$B$15/Umrechnungsfaktoren!$B$12</f>
        <v>5.19</v>
      </c>
      <c r="BE59" s="8"/>
      <c r="BF59" s="3">
        <f>20*Umrechnungsfaktoren!$B$15/Umrechnungsfaktoren!$B$11</f>
        <v>20.8643216080402</v>
      </c>
      <c r="BG59" s="3"/>
      <c r="BH59" s="8">
        <f>0.03*Tabelle58971115[[#This Row],[Investitionsausgaben €_2018/kW]]</f>
        <v>0.15570000000000001</v>
      </c>
      <c r="BI59" s="8"/>
      <c r="BK59" s="7">
        <v>0.31</v>
      </c>
      <c r="BL59" s="1" t="s">
        <v>388</v>
      </c>
      <c r="BM59" s="1" t="s">
        <v>486</v>
      </c>
      <c r="BN59" s="1" t="s">
        <v>486</v>
      </c>
      <c r="BO59" s="1" t="s">
        <v>486</v>
      </c>
      <c r="BQ59" s="13" t="s">
        <v>477</v>
      </c>
      <c r="BR59" s="13" t="s">
        <v>477</v>
      </c>
      <c r="BS59" s="13"/>
      <c r="BT59" s="13"/>
      <c r="BU59" s="13" t="s">
        <v>475</v>
      </c>
      <c r="BV59" s="13" t="s">
        <v>475</v>
      </c>
      <c r="BW59" s="13"/>
      <c r="BY59" s="13"/>
      <c r="BZ59" s="13" t="s">
        <v>503</v>
      </c>
      <c r="CA59" s="13"/>
      <c r="CB59" s="1" t="s">
        <v>481</v>
      </c>
      <c r="CC59" s="1" t="s">
        <v>481</v>
      </c>
      <c r="CD59" s="1" t="s">
        <v>480</v>
      </c>
      <c r="CE59" s="1" t="s">
        <v>486</v>
      </c>
      <c r="CF59" s="1" t="s">
        <v>511</v>
      </c>
      <c r="CG59" s="1" t="s">
        <v>506</v>
      </c>
      <c r="CH59" s="1" t="s">
        <v>507</v>
      </c>
      <c r="CI59" s="1" t="s">
        <v>506</v>
      </c>
      <c r="CK59" s="1" t="s">
        <v>506</v>
      </c>
    </row>
    <row r="60" spans="1:89" x14ac:dyDescent="0.2">
      <c r="A60" s="1" t="s">
        <v>1159</v>
      </c>
      <c r="B60" s="1" t="s">
        <v>130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/>
      <c r="Q60" s="19"/>
      <c r="R60" s="19"/>
      <c r="S60" s="19">
        <v>86</v>
      </c>
      <c r="T60" s="19"/>
      <c r="U60" s="19"/>
      <c r="V60" s="9"/>
      <c r="W60" s="9"/>
      <c r="X60" s="9">
        <v>0.6</v>
      </c>
      <c r="Y60" s="9">
        <v>0.9</v>
      </c>
      <c r="Z60" s="9"/>
      <c r="AA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0" s="9"/>
      <c r="AC60" s="20"/>
      <c r="AD60" s="19"/>
      <c r="AE60" s="9"/>
      <c r="AF60" s="19"/>
      <c r="AG60" s="43">
        <v>0.95499999999999996</v>
      </c>
      <c r="AH60" s="43">
        <v>0.98</v>
      </c>
      <c r="AI60" s="9"/>
      <c r="AM60" s="1">
        <v>2</v>
      </c>
      <c r="AQ60" s="1">
        <v>2</v>
      </c>
      <c r="AR60" s="1">
        <v>2</v>
      </c>
      <c r="AS60" s="1">
        <v>6</v>
      </c>
      <c r="AT60" s="1">
        <v>2</v>
      </c>
      <c r="AU60" s="1">
        <v>8</v>
      </c>
      <c r="AV60" s="1" t="s">
        <v>485</v>
      </c>
      <c r="AW60" s="1" t="s">
        <v>279</v>
      </c>
      <c r="AX60" s="1">
        <f t="shared" si="4"/>
        <v>4</v>
      </c>
      <c r="AZ60" s="1">
        <v>1095</v>
      </c>
      <c r="BB60" s="19"/>
      <c r="BC60" s="19"/>
      <c r="BD60" s="19">
        <f>5*Umrechnungsfaktoren!$B$15/Umrechnungsfaktoren!$B$12</f>
        <v>5.19</v>
      </c>
      <c r="BE60" s="8"/>
      <c r="BF60" s="3">
        <f>20*Umrechnungsfaktoren!$B$15/Umrechnungsfaktoren!$B$11</f>
        <v>20.8643216080402</v>
      </c>
      <c r="BG60" s="3"/>
      <c r="BH60" s="8">
        <f>0.03*Tabelle58971115[[#This Row],[Investitionsausgaben €_2018/kW]]</f>
        <v>0.15570000000000001</v>
      </c>
      <c r="BI60" s="8"/>
      <c r="BK60" s="7">
        <v>0.31</v>
      </c>
      <c r="BL60" s="1" t="s">
        <v>388</v>
      </c>
      <c r="BM60" s="1" t="s">
        <v>486</v>
      </c>
      <c r="BN60" s="1" t="s">
        <v>486</v>
      </c>
      <c r="BO60" s="1" t="s">
        <v>486</v>
      </c>
      <c r="BQ60" s="13" t="s">
        <v>478</v>
      </c>
      <c r="BR60" s="13" t="s">
        <v>478</v>
      </c>
      <c r="BS60" s="13"/>
      <c r="BT60" s="13"/>
      <c r="BU60" s="13" t="s">
        <v>475</v>
      </c>
      <c r="BV60" s="13" t="s">
        <v>475</v>
      </c>
      <c r="BW60" s="13"/>
      <c r="BY60" s="13"/>
      <c r="BZ60" s="13" t="s">
        <v>503</v>
      </c>
      <c r="CA60" s="13"/>
      <c r="CB60" s="1" t="s">
        <v>481</v>
      </c>
      <c r="CC60" s="1" t="s">
        <v>481</v>
      </c>
      <c r="CD60" s="1" t="s">
        <v>480</v>
      </c>
      <c r="CE60" s="1" t="s">
        <v>486</v>
      </c>
      <c r="CF60" s="1" t="s">
        <v>511</v>
      </c>
      <c r="CG60" s="1" t="s">
        <v>506</v>
      </c>
      <c r="CH60" s="1" t="s">
        <v>507</v>
      </c>
      <c r="CI60" s="1" t="s">
        <v>506</v>
      </c>
      <c r="CK60" s="1" t="s">
        <v>506</v>
      </c>
    </row>
    <row r="61" spans="1:89" x14ac:dyDescent="0.2">
      <c r="A61" s="1" t="s">
        <v>1159</v>
      </c>
      <c r="B61" s="1" t="s">
        <v>130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/>
      <c r="Q61" s="19"/>
      <c r="R61" s="19"/>
      <c r="S61" s="19">
        <v>80</v>
      </c>
      <c r="T61" s="19"/>
      <c r="U61" s="19"/>
      <c r="V61" s="9"/>
      <c r="W61" s="9"/>
      <c r="X61" s="9">
        <v>0.7</v>
      </c>
      <c r="Y61" s="9">
        <v>0.9</v>
      </c>
      <c r="Z61" s="9"/>
      <c r="AA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1" s="9"/>
      <c r="AC61" s="20"/>
      <c r="AD61" s="19"/>
      <c r="AE61" s="9"/>
      <c r="AF61" s="19"/>
      <c r="AG61" s="43">
        <v>0.95499999999999996</v>
      </c>
      <c r="AH61" s="43">
        <v>0.98</v>
      </c>
      <c r="AI61" s="9"/>
      <c r="AM61" s="1">
        <v>2</v>
      </c>
      <c r="AQ61" s="1">
        <v>2</v>
      </c>
      <c r="AR61" s="1">
        <v>2</v>
      </c>
      <c r="AS61" s="1">
        <v>6</v>
      </c>
      <c r="AT61" s="1">
        <v>2</v>
      </c>
      <c r="AU61" s="1">
        <v>8</v>
      </c>
      <c r="AV61" s="1" t="s">
        <v>485</v>
      </c>
      <c r="AW61" s="1" t="s">
        <v>279</v>
      </c>
      <c r="AX61" s="1">
        <f t="shared" si="4"/>
        <v>4</v>
      </c>
      <c r="AZ61" s="1">
        <v>1095</v>
      </c>
      <c r="BB61" s="19"/>
      <c r="BC61" s="19"/>
      <c r="BD61" s="19">
        <f>5*Umrechnungsfaktoren!$B$15/Umrechnungsfaktoren!$B$12</f>
        <v>5.19</v>
      </c>
      <c r="BE61" s="8"/>
      <c r="BF61" s="3">
        <f>20*Umrechnungsfaktoren!$B$15/Umrechnungsfaktoren!$B$11</f>
        <v>20.8643216080402</v>
      </c>
      <c r="BG61" s="3"/>
      <c r="BH61" s="8">
        <f>0.03*Tabelle58971115[[#This Row],[Investitionsausgaben €_2018/kW]]</f>
        <v>0.15570000000000001</v>
      </c>
      <c r="BI61" s="8"/>
      <c r="BK61" s="7">
        <v>0.31</v>
      </c>
      <c r="BL61" s="1" t="s">
        <v>388</v>
      </c>
      <c r="BM61" s="1" t="s">
        <v>486</v>
      </c>
      <c r="BN61" s="1" t="s">
        <v>486</v>
      </c>
      <c r="BO61" s="1" t="s">
        <v>486</v>
      </c>
      <c r="BQ61" s="13" t="s">
        <v>479</v>
      </c>
      <c r="BR61" s="13" t="s">
        <v>479</v>
      </c>
      <c r="BS61" s="13"/>
      <c r="BT61" s="13"/>
      <c r="BU61" s="13" t="s">
        <v>475</v>
      </c>
      <c r="BV61" s="13" t="s">
        <v>475</v>
      </c>
      <c r="BW61" s="13"/>
      <c r="BY61" s="13"/>
      <c r="BZ61" s="13" t="s">
        <v>503</v>
      </c>
      <c r="CA61" s="13"/>
      <c r="CB61" s="1" t="s">
        <v>481</v>
      </c>
      <c r="CC61" s="1" t="s">
        <v>481</v>
      </c>
      <c r="CD61" s="1" t="s">
        <v>480</v>
      </c>
      <c r="CE61" s="1" t="s">
        <v>486</v>
      </c>
      <c r="CF61" s="1" t="s">
        <v>511</v>
      </c>
      <c r="CG61" s="1" t="s">
        <v>506</v>
      </c>
      <c r="CH61" s="1" t="s">
        <v>507</v>
      </c>
      <c r="CI61" s="1" t="s">
        <v>506</v>
      </c>
      <c r="CK61" s="1" t="s">
        <v>506</v>
      </c>
    </row>
    <row r="62" spans="1:89" x14ac:dyDescent="0.2">
      <c r="A62" s="1" t="s">
        <v>378</v>
      </c>
      <c r="B62" s="1" t="s">
        <v>130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/>
      <c r="Q62" s="19"/>
      <c r="R62" s="19"/>
      <c r="S62" s="19">
        <v>117</v>
      </c>
      <c r="T62" s="19"/>
      <c r="U62" s="19"/>
      <c r="V62" s="9"/>
      <c r="W62" s="9"/>
      <c r="X62" s="9"/>
      <c r="Y62" s="9"/>
      <c r="Z62" s="9">
        <f>5000/8760</f>
        <v>0.57077625570776258</v>
      </c>
      <c r="AA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2" s="9"/>
      <c r="AC62" s="20"/>
      <c r="AD62" s="19"/>
      <c r="AE62" s="9"/>
      <c r="AF62" s="19"/>
      <c r="AG62" s="43">
        <v>0.95499999999999996</v>
      </c>
      <c r="AH62" s="43">
        <v>0.98</v>
      </c>
      <c r="AI62" s="9"/>
      <c r="AM62" s="1">
        <v>2</v>
      </c>
      <c r="AQ62" s="1">
        <v>2</v>
      </c>
      <c r="AR62" s="1">
        <v>2</v>
      </c>
      <c r="AS62" s="1">
        <v>6</v>
      </c>
      <c r="AT62" s="1">
        <v>2</v>
      </c>
      <c r="AU62" s="1">
        <v>8</v>
      </c>
      <c r="AV62" s="1" t="s">
        <v>485</v>
      </c>
      <c r="AW62" s="1" t="s">
        <v>279</v>
      </c>
      <c r="AX62" s="1">
        <f t="shared" si="4"/>
        <v>4</v>
      </c>
      <c r="AZ62" s="1">
        <v>1095</v>
      </c>
      <c r="BB62" s="19"/>
      <c r="BC62" s="19"/>
      <c r="BD62" s="19">
        <f>5*Umrechnungsfaktoren!$B$15/Umrechnungsfaktoren!$B$12</f>
        <v>5.19</v>
      </c>
      <c r="BE62" s="8"/>
      <c r="BF62" s="3">
        <f>20*Umrechnungsfaktoren!$B$15/Umrechnungsfaktoren!$B$11</f>
        <v>20.8643216080402</v>
      </c>
      <c r="BG62" s="3"/>
      <c r="BH62" s="8">
        <f>0.03*Tabelle58971115[[#This Row],[Investitionsausgaben €_2018/kW]]</f>
        <v>0.15570000000000001</v>
      </c>
      <c r="BI62" s="8"/>
      <c r="BK62" s="7">
        <v>0.31</v>
      </c>
      <c r="BL62" s="1" t="s">
        <v>388</v>
      </c>
      <c r="BM62" s="1" t="s">
        <v>486</v>
      </c>
      <c r="BN62" s="1" t="s">
        <v>486</v>
      </c>
      <c r="BO62" s="1" t="s">
        <v>486</v>
      </c>
      <c r="BQ62" s="13" t="s">
        <v>483</v>
      </c>
      <c r="BR62" s="13" t="s">
        <v>484</v>
      </c>
      <c r="BS62" s="13"/>
      <c r="BT62" s="13"/>
      <c r="BU62" s="13" t="s">
        <v>475</v>
      </c>
      <c r="BV62" s="13" t="s">
        <v>475</v>
      </c>
      <c r="BW62" s="13"/>
      <c r="BY62" s="13"/>
      <c r="BZ62" s="13" t="s">
        <v>503</v>
      </c>
      <c r="CA62" s="13"/>
      <c r="CB62" s="1" t="s">
        <v>481</v>
      </c>
      <c r="CC62" s="1" t="s">
        <v>481</v>
      </c>
      <c r="CD62" s="1" t="s">
        <v>480</v>
      </c>
      <c r="CE62" s="1" t="s">
        <v>486</v>
      </c>
      <c r="CF62" s="1" t="s">
        <v>511</v>
      </c>
      <c r="CG62" s="1" t="s">
        <v>506</v>
      </c>
      <c r="CH62" s="1" t="s">
        <v>507</v>
      </c>
      <c r="CI62" s="1" t="s">
        <v>506</v>
      </c>
      <c r="CK62" s="1" t="s">
        <v>506</v>
      </c>
    </row>
    <row r="63" spans="1:89" x14ac:dyDescent="0.2">
      <c r="A63" s="1" t="s">
        <v>378</v>
      </c>
      <c r="B63" s="1" t="s">
        <v>130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/>
      <c r="Q63" s="19"/>
      <c r="R63" s="19"/>
      <c r="S63" s="19">
        <v>118</v>
      </c>
      <c r="T63" s="19"/>
      <c r="U63" s="19"/>
      <c r="V63" s="9"/>
      <c r="W63" s="9"/>
      <c r="X63" s="9">
        <v>0.23</v>
      </c>
      <c r="Y63" s="9">
        <v>0.9</v>
      </c>
      <c r="Z63" s="9"/>
      <c r="AA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3" s="9"/>
      <c r="AC63" s="20"/>
      <c r="AD63" s="19"/>
      <c r="AE63" s="9"/>
      <c r="AF63" s="19"/>
      <c r="AG63" s="43">
        <v>0.95499999999999996</v>
      </c>
      <c r="AH63" s="43">
        <v>0.98</v>
      </c>
      <c r="AI63" s="9"/>
      <c r="AM63" s="1">
        <v>2</v>
      </c>
      <c r="AQ63" s="1">
        <v>2</v>
      </c>
      <c r="AR63" s="1">
        <v>2</v>
      </c>
      <c r="AS63" s="1">
        <v>6</v>
      </c>
      <c r="AT63" s="1">
        <v>2</v>
      </c>
      <c r="AU63" s="1">
        <v>8</v>
      </c>
      <c r="AV63" s="1" t="s">
        <v>485</v>
      </c>
      <c r="AW63" s="1" t="s">
        <v>279</v>
      </c>
      <c r="AX63" s="1">
        <f t="shared" si="4"/>
        <v>4</v>
      </c>
      <c r="AZ63" s="1">
        <v>1095</v>
      </c>
      <c r="BB63" s="19"/>
      <c r="BC63" s="19"/>
      <c r="BD63" s="19">
        <f>5*Umrechnungsfaktoren!$B$15/Umrechnungsfaktoren!$B$12</f>
        <v>5.19</v>
      </c>
      <c r="BE63" s="8"/>
      <c r="BF63" s="3">
        <f>20*Umrechnungsfaktoren!$B$15/Umrechnungsfaktoren!$B$11</f>
        <v>20.8643216080402</v>
      </c>
      <c r="BG63" s="3"/>
      <c r="BH63" s="8">
        <f>0.03*Tabelle58971115[[#This Row],[Investitionsausgaben €_2018/kW]]</f>
        <v>0.15570000000000001</v>
      </c>
      <c r="BI63" s="8"/>
      <c r="BK63" s="7">
        <v>0.31</v>
      </c>
      <c r="BL63" s="1" t="s">
        <v>388</v>
      </c>
      <c r="BM63" s="1" t="s">
        <v>486</v>
      </c>
      <c r="BN63" s="1" t="s">
        <v>486</v>
      </c>
      <c r="BO63" s="1" t="s">
        <v>486</v>
      </c>
      <c r="BQ63" s="13" t="s">
        <v>477</v>
      </c>
      <c r="BR63" s="13" t="s">
        <v>477</v>
      </c>
      <c r="BS63" s="13"/>
      <c r="BT63" s="13"/>
      <c r="BU63" s="13" t="s">
        <v>475</v>
      </c>
      <c r="BV63" s="13" t="s">
        <v>475</v>
      </c>
      <c r="BW63" s="13"/>
      <c r="BY63" s="13"/>
      <c r="BZ63" s="13" t="s">
        <v>503</v>
      </c>
      <c r="CA63" s="13"/>
      <c r="CB63" s="1" t="s">
        <v>481</v>
      </c>
      <c r="CC63" s="1" t="s">
        <v>481</v>
      </c>
      <c r="CD63" s="1" t="s">
        <v>480</v>
      </c>
      <c r="CE63" s="1" t="s">
        <v>486</v>
      </c>
      <c r="CF63" s="1" t="s">
        <v>511</v>
      </c>
      <c r="CG63" s="1" t="s">
        <v>506</v>
      </c>
      <c r="CH63" s="1" t="s">
        <v>507</v>
      </c>
      <c r="CI63" s="1" t="s">
        <v>506</v>
      </c>
      <c r="CK63" s="1" t="s">
        <v>506</v>
      </c>
    </row>
    <row r="64" spans="1:89" x14ac:dyDescent="0.2">
      <c r="A64" s="1" t="s">
        <v>378</v>
      </c>
      <c r="B64" s="1" t="s">
        <v>130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/>
      <c r="Q64" s="19"/>
      <c r="R64" s="19"/>
      <c r="S64" s="19">
        <v>129</v>
      </c>
      <c r="T64" s="19"/>
      <c r="U64" s="19"/>
      <c r="V64" s="9"/>
      <c r="W64" s="9"/>
      <c r="X64" s="9">
        <v>0.25</v>
      </c>
      <c r="Y64" s="9">
        <v>0.9</v>
      </c>
      <c r="Z64" s="9"/>
      <c r="AA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4" s="9"/>
      <c r="AC64" s="20"/>
      <c r="AD64" s="19"/>
      <c r="AE64" s="9"/>
      <c r="AF64" s="19"/>
      <c r="AG64" s="43">
        <v>0.95499999999999996</v>
      </c>
      <c r="AH64" s="43">
        <v>0.98</v>
      </c>
      <c r="AI64" s="9"/>
      <c r="AM64" s="1">
        <v>2</v>
      </c>
      <c r="AQ64" s="1">
        <v>2</v>
      </c>
      <c r="AR64" s="1">
        <v>2</v>
      </c>
      <c r="AS64" s="1">
        <v>6</v>
      </c>
      <c r="AT64" s="1">
        <v>2</v>
      </c>
      <c r="AU64" s="1">
        <v>8</v>
      </c>
      <c r="AV64" s="1" t="s">
        <v>485</v>
      </c>
      <c r="AW64" s="1" t="s">
        <v>279</v>
      </c>
      <c r="AX64" s="1">
        <f t="shared" si="4"/>
        <v>4</v>
      </c>
      <c r="AZ64" s="1">
        <v>1095</v>
      </c>
      <c r="BB64" s="19"/>
      <c r="BC64" s="19"/>
      <c r="BD64" s="19">
        <f>5*Umrechnungsfaktoren!$B$15/Umrechnungsfaktoren!$B$12</f>
        <v>5.19</v>
      </c>
      <c r="BE64" s="8"/>
      <c r="BF64" s="3">
        <f>20*Umrechnungsfaktoren!$B$15/Umrechnungsfaktoren!$B$11</f>
        <v>20.8643216080402</v>
      </c>
      <c r="BG64" s="3"/>
      <c r="BH64" s="8">
        <f>0.03*Tabelle58971115[[#This Row],[Investitionsausgaben €_2018/kW]]</f>
        <v>0.15570000000000001</v>
      </c>
      <c r="BI64" s="8"/>
      <c r="BK64" s="7">
        <v>0.31</v>
      </c>
      <c r="BL64" s="1" t="s">
        <v>388</v>
      </c>
      <c r="BM64" s="1" t="s">
        <v>486</v>
      </c>
      <c r="BN64" s="1" t="s">
        <v>486</v>
      </c>
      <c r="BO64" s="1" t="s">
        <v>486</v>
      </c>
      <c r="BQ64" s="13" t="s">
        <v>478</v>
      </c>
      <c r="BR64" s="13" t="s">
        <v>478</v>
      </c>
      <c r="BS64" s="13"/>
      <c r="BT64" s="13"/>
      <c r="BU64" s="13" t="s">
        <v>475</v>
      </c>
      <c r="BV64" s="13" t="s">
        <v>475</v>
      </c>
      <c r="BW64" s="13"/>
      <c r="BY64" s="13"/>
      <c r="BZ64" s="13" t="s">
        <v>503</v>
      </c>
      <c r="CA64" s="13"/>
      <c r="CB64" s="1" t="s">
        <v>481</v>
      </c>
      <c r="CC64" s="1" t="s">
        <v>481</v>
      </c>
      <c r="CD64" s="1" t="s">
        <v>480</v>
      </c>
      <c r="CE64" s="1" t="s">
        <v>486</v>
      </c>
      <c r="CF64" s="1" t="s">
        <v>511</v>
      </c>
      <c r="CG64" s="1" t="s">
        <v>506</v>
      </c>
      <c r="CH64" s="1" t="s">
        <v>507</v>
      </c>
      <c r="CI64" s="1" t="s">
        <v>506</v>
      </c>
      <c r="CK64" s="1" t="s">
        <v>506</v>
      </c>
    </row>
    <row r="65" spans="1:91" x14ac:dyDescent="0.2">
      <c r="A65" s="1" t="s">
        <v>378</v>
      </c>
      <c r="B65" s="1" t="s">
        <v>130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/>
      <c r="Q65" s="19"/>
      <c r="R65" s="19"/>
      <c r="S65" s="19">
        <v>120</v>
      </c>
      <c r="T65" s="19"/>
      <c r="U65" s="19"/>
      <c r="V65" s="9"/>
      <c r="W65" s="9"/>
      <c r="X65" s="9">
        <v>0.3</v>
      </c>
      <c r="Y65" s="9">
        <v>0.9</v>
      </c>
      <c r="Z65" s="9"/>
      <c r="AA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5" s="9"/>
      <c r="AC65" s="20"/>
      <c r="AD65" s="19"/>
      <c r="AE65" s="9"/>
      <c r="AF65" s="19"/>
      <c r="AG65" s="43">
        <v>0.95499999999999996</v>
      </c>
      <c r="AH65" s="43">
        <v>0.98</v>
      </c>
      <c r="AI65" s="9"/>
      <c r="AM65" s="1">
        <v>2</v>
      </c>
      <c r="AQ65" s="1">
        <v>2</v>
      </c>
      <c r="AR65" s="1">
        <v>2</v>
      </c>
      <c r="AS65" s="1">
        <v>6</v>
      </c>
      <c r="AT65" s="1">
        <v>2</v>
      </c>
      <c r="AU65" s="1">
        <v>8</v>
      </c>
      <c r="AV65" s="1" t="s">
        <v>485</v>
      </c>
      <c r="AW65" s="1" t="s">
        <v>279</v>
      </c>
      <c r="AX65" s="1">
        <f t="shared" si="4"/>
        <v>4</v>
      </c>
      <c r="AZ65" s="1">
        <v>1095</v>
      </c>
      <c r="BB65" s="19"/>
      <c r="BC65" s="19"/>
      <c r="BD65" s="19">
        <f>5*Umrechnungsfaktoren!$B$15/Umrechnungsfaktoren!$B$12</f>
        <v>5.19</v>
      </c>
      <c r="BE65" s="8"/>
      <c r="BF65" s="3">
        <f>20*Umrechnungsfaktoren!$B$15/Umrechnungsfaktoren!$B$11</f>
        <v>20.8643216080402</v>
      </c>
      <c r="BG65" s="3"/>
      <c r="BH65" s="8">
        <f>0.03*Tabelle58971115[[#This Row],[Investitionsausgaben €_2018/kW]]</f>
        <v>0.15570000000000001</v>
      </c>
      <c r="BI65" s="8"/>
      <c r="BK65" s="7">
        <v>0.31</v>
      </c>
      <c r="BL65" s="1" t="s">
        <v>388</v>
      </c>
      <c r="BM65" s="1" t="s">
        <v>486</v>
      </c>
      <c r="BN65" s="1" t="s">
        <v>486</v>
      </c>
      <c r="BO65" s="1" t="s">
        <v>486</v>
      </c>
      <c r="BQ65" s="13" t="s">
        <v>479</v>
      </c>
      <c r="BR65" s="13" t="s">
        <v>479</v>
      </c>
      <c r="BS65" s="13"/>
      <c r="BT65" s="13"/>
      <c r="BU65" s="13" t="s">
        <v>475</v>
      </c>
      <c r="BV65" s="13" t="s">
        <v>475</v>
      </c>
      <c r="BW65" s="13"/>
      <c r="BY65" s="13"/>
      <c r="BZ65" s="13" t="s">
        <v>503</v>
      </c>
      <c r="CA65" s="13"/>
      <c r="CB65" s="1" t="s">
        <v>481</v>
      </c>
      <c r="CC65" s="1" t="s">
        <v>481</v>
      </c>
      <c r="CD65" s="1" t="s">
        <v>480</v>
      </c>
      <c r="CE65" s="1" t="s">
        <v>486</v>
      </c>
      <c r="CF65" s="1" t="s">
        <v>511</v>
      </c>
      <c r="CG65" s="1" t="s">
        <v>506</v>
      </c>
      <c r="CH65" s="1" t="s">
        <v>507</v>
      </c>
      <c r="CI65" s="1" t="s">
        <v>506</v>
      </c>
      <c r="CK65" s="1" t="s">
        <v>506</v>
      </c>
    </row>
    <row r="66" spans="1:91" x14ac:dyDescent="0.2">
      <c r="A66" s="1" t="s">
        <v>213</v>
      </c>
      <c r="B66" s="1" t="s">
        <v>130</v>
      </c>
      <c r="C66" s="1" t="s">
        <v>502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/>
      <c r="Q66" s="19"/>
      <c r="R66" s="19"/>
      <c r="S66" s="19">
        <v>1962</v>
      </c>
      <c r="T66" s="19"/>
      <c r="U66" s="19"/>
      <c r="V66" s="9"/>
      <c r="W66" s="9"/>
      <c r="X66" s="9"/>
      <c r="Y66" s="9"/>
      <c r="Z66" s="9">
        <f>4380/8760</f>
        <v>0.5</v>
      </c>
      <c r="AA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6" s="9"/>
      <c r="AC66" s="20"/>
      <c r="AD66" s="19"/>
      <c r="AE66" s="9"/>
      <c r="AF66" s="19"/>
      <c r="AG66" s="42"/>
      <c r="AH66" s="42"/>
      <c r="AI66" s="9">
        <v>0.97</v>
      </c>
      <c r="AM66" s="1">
        <v>1</v>
      </c>
      <c r="AQ66" s="1">
        <v>1</v>
      </c>
      <c r="AT66" s="1">
        <v>2</v>
      </c>
      <c r="AU66" s="1">
        <v>4</v>
      </c>
      <c r="AV66" s="1" t="s">
        <v>487</v>
      </c>
      <c r="AW66" s="1" t="s">
        <v>279</v>
      </c>
      <c r="AX66" s="1">
        <f t="shared" ref="AX66:AX73" si="5">4/1</f>
        <v>4</v>
      </c>
      <c r="AZ66" s="1">
        <v>1095</v>
      </c>
      <c r="BB66" s="19"/>
      <c r="BC66" s="19"/>
      <c r="BD66" s="19">
        <f>10*Umrechnungsfaktoren!$B$15/Umrechnungsfaktoren!$B$12</f>
        <v>10.38</v>
      </c>
      <c r="BE66" s="8"/>
      <c r="BF66" s="19">
        <f>5*Umrechnungsfaktoren!$B$15/Umrechnungsfaktoren!$B$12</f>
        <v>5.19</v>
      </c>
      <c r="BG66" s="19"/>
      <c r="BH66" s="8"/>
      <c r="BI66" s="8">
        <f>0.03*Tabelle58971115[[#This Row],[Investitionsausgaben €_2018/kW]]</f>
        <v>0.31140000000000001</v>
      </c>
      <c r="BK66" s="7">
        <v>0.08</v>
      </c>
      <c r="BL66" s="1" t="s">
        <v>387</v>
      </c>
      <c r="BM66" s="1" t="s">
        <v>486</v>
      </c>
      <c r="BN66" s="1" t="s">
        <v>486</v>
      </c>
      <c r="BO66" s="1" t="s">
        <v>486</v>
      </c>
      <c r="BQ66" s="13" t="s">
        <v>483</v>
      </c>
      <c r="BR66" s="13" t="s">
        <v>484</v>
      </c>
      <c r="BS66" s="13"/>
      <c r="BT66" s="13"/>
      <c r="BU66" s="13" t="s">
        <v>475</v>
      </c>
      <c r="BV66" s="13" t="s">
        <v>475</v>
      </c>
      <c r="BW66" s="13"/>
      <c r="BY66" s="13"/>
      <c r="BZ66" s="13" t="s">
        <v>503</v>
      </c>
      <c r="CA66" s="13"/>
      <c r="CB66" s="1" t="s">
        <v>481</v>
      </c>
      <c r="CC66" s="1" t="s">
        <v>481</v>
      </c>
      <c r="CD66" s="1" t="s">
        <v>480</v>
      </c>
      <c r="CE66" s="1" t="s">
        <v>486</v>
      </c>
      <c r="CF66" s="1" t="s">
        <v>511</v>
      </c>
      <c r="CG66" s="1" t="s">
        <v>506</v>
      </c>
      <c r="CH66" s="1" t="s">
        <v>507</v>
      </c>
      <c r="CI66" s="1" t="s">
        <v>506</v>
      </c>
      <c r="CK66" s="1" t="s">
        <v>506</v>
      </c>
    </row>
    <row r="67" spans="1:91" x14ac:dyDescent="0.2">
      <c r="A67" s="1" t="s">
        <v>213</v>
      </c>
      <c r="B67" s="1" t="s">
        <v>130</v>
      </c>
      <c r="C67" s="1" t="s">
        <v>502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/>
      <c r="Q67" s="19"/>
      <c r="R67" s="19"/>
      <c r="S67" s="19">
        <v>2123</v>
      </c>
      <c r="T67" s="19"/>
      <c r="U67" s="19"/>
      <c r="V67" s="9"/>
      <c r="W67" s="9"/>
      <c r="X67" s="9">
        <v>0.23</v>
      </c>
      <c r="Y67" s="9">
        <v>1</v>
      </c>
      <c r="Z67" s="9"/>
      <c r="AA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7" s="9"/>
      <c r="AC67" s="20"/>
      <c r="AD67" s="19"/>
      <c r="AE67" s="9"/>
      <c r="AF67" s="19"/>
      <c r="AG67" s="42"/>
      <c r="AH67" s="42"/>
      <c r="AI67" s="9">
        <v>0.97</v>
      </c>
      <c r="AM67" s="1">
        <v>1</v>
      </c>
      <c r="AQ67" s="1">
        <v>1</v>
      </c>
      <c r="AT67" s="1">
        <v>2</v>
      </c>
      <c r="AU67" s="1">
        <v>4</v>
      </c>
      <c r="AV67" s="1" t="s">
        <v>487</v>
      </c>
      <c r="AW67" s="1" t="s">
        <v>279</v>
      </c>
      <c r="AX67" s="1">
        <f t="shared" si="5"/>
        <v>4</v>
      </c>
      <c r="AZ67" s="1">
        <v>1095</v>
      </c>
      <c r="BB67" s="19"/>
      <c r="BC67" s="19"/>
      <c r="BD67" s="19">
        <f>10*Umrechnungsfaktoren!$B$15/Umrechnungsfaktoren!$B$12</f>
        <v>10.38</v>
      </c>
      <c r="BE67" s="8"/>
      <c r="BF67" s="19">
        <f>5*Umrechnungsfaktoren!$B$15/Umrechnungsfaktoren!$B$12</f>
        <v>5.19</v>
      </c>
      <c r="BG67" s="19"/>
      <c r="BH67" s="8"/>
      <c r="BI67" s="8">
        <f>0.03*Tabelle58971115[[#This Row],[Investitionsausgaben €_2018/kW]]</f>
        <v>0.31140000000000001</v>
      </c>
      <c r="BK67" s="7">
        <v>0.08</v>
      </c>
      <c r="BL67" s="1" t="s">
        <v>387</v>
      </c>
      <c r="BM67" s="1" t="s">
        <v>486</v>
      </c>
      <c r="BN67" s="1" t="s">
        <v>486</v>
      </c>
      <c r="BO67" s="1" t="s">
        <v>486</v>
      </c>
      <c r="BQ67" s="13" t="s">
        <v>477</v>
      </c>
      <c r="BR67" s="13" t="s">
        <v>477</v>
      </c>
      <c r="BS67" s="13"/>
      <c r="BT67" s="13"/>
      <c r="BU67" s="13" t="s">
        <v>475</v>
      </c>
      <c r="BV67" s="13" t="s">
        <v>475</v>
      </c>
      <c r="BW67" s="13"/>
      <c r="BY67" s="13"/>
      <c r="BZ67" s="13" t="s">
        <v>503</v>
      </c>
      <c r="CA67" s="13"/>
      <c r="CB67" s="1" t="s">
        <v>481</v>
      </c>
      <c r="CC67" s="1" t="s">
        <v>481</v>
      </c>
      <c r="CD67" s="1" t="s">
        <v>480</v>
      </c>
      <c r="CE67" s="1" t="s">
        <v>486</v>
      </c>
      <c r="CF67" s="1" t="s">
        <v>511</v>
      </c>
      <c r="CG67" s="1" t="s">
        <v>506</v>
      </c>
      <c r="CH67" s="1" t="s">
        <v>507</v>
      </c>
      <c r="CI67" s="1" t="s">
        <v>506</v>
      </c>
      <c r="CK67" s="1" t="s">
        <v>506</v>
      </c>
    </row>
    <row r="68" spans="1:91" x14ac:dyDescent="0.2">
      <c r="A68" s="1" t="s">
        <v>213</v>
      </c>
      <c r="B68" s="1" t="s">
        <v>130</v>
      </c>
      <c r="C68" s="1" t="s">
        <v>502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/>
      <c r="Q68" s="19"/>
      <c r="R68" s="19"/>
      <c r="S68" s="19">
        <v>2204</v>
      </c>
      <c r="T68" s="19"/>
      <c r="U68" s="19"/>
      <c r="V68" s="9"/>
      <c r="W68" s="9"/>
      <c r="X68" s="9">
        <v>0.25</v>
      </c>
      <c r="Y68" s="9">
        <v>1</v>
      </c>
      <c r="Z68" s="9"/>
      <c r="AA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8" s="9"/>
      <c r="AC68" s="20"/>
      <c r="AD68" s="19"/>
      <c r="AE68" s="9"/>
      <c r="AF68" s="19"/>
      <c r="AG68" s="42"/>
      <c r="AH68" s="42"/>
      <c r="AI68" s="9">
        <v>0.97</v>
      </c>
      <c r="AM68" s="1">
        <v>1</v>
      </c>
      <c r="AQ68" s="1">
        <v>1</v>
      </c>
      <c r="AT68" s="1">
        <v>2</v>
      </c>
      <c r="AU68" s="1">
        <v>4</v>
      </c>
      <c r="AV68" s="1" t="s">
        <v>487</v>
      </c>
      <c r="AW68" s="1" t="s">
        <v>279</v>
      </c>
      <c r="AX68" s="1">
        <f t="shared" si="5"/>
        <v>4</v>
      </c>
      <c r="AZ68" s="1">
        <v>1095</v>
      </c>
      <c r="BB68" s="19"/>
      <c r="BC68" s="19"/>
      <c r="BD68" s="19">
        <f>10*Umrechnungsfaktoren!$B$15/Umrechnungsfaktoren!$B$12</f>
        <v>10.38</v>
      </c>
      <c r="BE68" s="8"/>
      <c r="BF68" s="19">
        <f>5*Umrechnungsfaktoren!$B$15/Umrechnungsfaktoren!$B$12</f>
        <v>5.19</v>
      </c>
      <c r="BG68" s="19"/>
      <c r="BH68" s="8"/>
      <c r="BI68" s="8">
        <f>0.03*Tabelle58971115[[#This Row],[Investitionsausgaben €_2018/kW]]</f>
        <v>0.31140000000000001</v>
      </c>
      <c r="BK68" s="7">
        <v>0.08</v>
      </c>
      <c r="BL68" s="1" t="s">
        <v>387</v>
      </c>
      <c r="BM68" s="1" t="s">
        <v>486</v>
      </c>
      <c r="BN68" s="1" t="s">
        <v>486</v>
      </c>
      <c r="BO68" s="1" t="s">
        <v>486</v>
      </c>
      <c r="BQ68" s="13" t="s">
        <v>478</v>
      </c>
      <c r="BR68" s="13" t="s">
        <v>478</v>
      </c>
      <c r="BS68" s="13"/>
      <c r="BT68" s="13"/>
      <c r="BU68" s="13" t="s">
        <v>475</v>
      </c>
      <c r="BV68" s="13" t="s">
        <v>475</v>
      </c>
      <c r="BW68" s="13"/>
      <c r="BY68" s="13"/>
      <c r="BZ68" s="13" t="s">
        <v>503</v>
      </c>
      <c r="CA68" s="13"/>
      <c r="CB68" s="1" t="s">
        <v>481</v>
      </c>
      <c r="CC68" s="1" t="s">
        <v>481</v>
      </c>
      <c r="CD68" s="1" t="s">
        <v>480</v>
      </c>
      <c r="CE68" s="1" t="s">
        <v>486</v>
      </c>
      <c r="CF68" s="1" t="s">
        <v>511</v>
      </c>
      <c r="CG68" s="1" t="s">
        <v>506</v>
      </c>
      <c r="CH68" s="1" t="s">
        <v>507</v>
      </c>
      <c r="CI68" s="1" t="s">
        <v>506</v>
      </c>
      <c r="CK68" s="1" t="s">
        <v>506</v>
      </c>
    </row>
    <row r="69" spans="1:91" x14ac:dyDescent="0.2">
      <c r="A69" s="1" t="s">
        <v>213</v>
      </c>
      <c r="B69" s="1" t="s">
        <v>130</v>
      </c>
      <c r="C69" s="1" t="s">
        <v>502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/>
      <c r="Q69" s="19"/>
      <c r="R69" s="19"/>
      <c r="S69" s="19">
        <v>1956</v>
      </c>
      <c r="T69" s="19"/>
      <c r="U69" s="19"/>
      <c r="V69" s="9"/>
      <c r="W69" s="9"/>
      <c r="X69" s="9">
        <v>0.3</v>
      </c>
      <c r="Y69" s="9">
        <v>1</v>
      </c>
      <c r="Z69" s="9"/>
      <c r="AA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69" s="9"/>
      <c r="AC69" s="20"/>
      <c r="AD69" s="19"/>
      <c r="AE69" s="9"/>
      <c r="AF69" s="19"/>
      <c r="AG69" s="42"/>
      <c r="AH69" s="42"/>
      <c r="AI69" s="9">
        <v>0.97</v>
      </c>
      <c r="AM69" s="1">
        <v>1</v>
      </c>
      <c r="AQ69" s="1">
        <v>1</v>
      </c>
      <c r="AT69" s="1">
        <v>2</v>
      </c>
      <c r="AU69" s="1">
        <v>4</v>
      </c>
      <c r="AV69" s="1" t="s">
        <v>487</v>
      </c>
      <c r="AW69" s="1" t="s">
        <v>279</v>
      </c>
      <c r="AX69" s="1">
        <f t="shared" si="5"/>
        <v>4</v>
      </c>
      <c r="AZ69" s="1">
        <v>1095</v>
      </c>
      <c r="BB69" s="19"/>
      <c r="BC69" s="19"/>
      <c r="BD69" s="19">
        <f>10*Umrechnungsfaktoren!$B$15/Umrechnungsfaktoren!$B$12</f>
        <v>10.38</v>
      </c>
      <c r="BE69" s="8"/>
      <c r="BF69" s="19">
        <f>5*Umrechnungsfaktoren!$B$15/Umrechnungsfaktoren!$B$12</f>
        <v>5.19</v>
      </c>
      <c r="BG69" s="19"/>
      <c r="BH69" s="8"/>
      <c r="BI69" s="8">
        <f>0.03*Tabelle58971115[[#This Row],[Investitionsausgaben €_2018/kW]]</f>
        <v>0.31140000000000001</v>
      </c>
      <c r="BK69" s="7">
        <v>0.08</v>
      </c>
      <c r="BL69" s="1" t="s">
        <v>387</v>
      </c>
      <c r="BM69" s="1" t="s">
        <v>486</v>
      </c>
      <c r="BN69" s="1" t="s">
        <v>486</v>
      </c>
      <c r="BO69" s="1" t="s">
        <v>486</v>
      </c>
      <c r="BQ69" s="13" t="s">
        <v>479</v>
      </c>
      <c r="BR69" s="13" t="s">
        <v>479</v>
      </c>
      <c r="BS69" s="13"/>
      <c r="BT69" s="13"/>
      <c r="BU69" s="13" t="s">
        <v>475</v>
      </c>
      <c r="BV69" s="13" t="s">
        <v>475</v>
      </c>
      <c r="BW69" s="13"/>
      <c r="BY69" s="13"/>
      <c r="BZ69" s="13" t="s">
        <v>503</v>
      </c>
      <c r="CA69" s="13"/>
      <c r="CB69" s="1" t="s">
        <v>481</v>
      </c>
      <c r="CC69" s="1" t="s">
        <v>481</v>
      </c>
      <c r="CD69" s="1" t="s">
        <v>480</v>
      </c>
      <c r="CE69" s="1" t="s">
        <v>486</v>
      </c>
      <c r="CF69" s="1" t="s">
        <v>511</v>
      </c>
      <c r="CG69" s="1" t="s">
        <v>506</v>
      </c>
      <c r="CH69" s="1" t="s">
        <v>507</v>
      </c>
      <c r="CI69" s="1" t="s">
        <v>506</v>
      </c>
      <c r="CK69" s="1" t="s">
        <v>506</v>
      </c>
    </row>
    <row r="70" spans="1:91" x14ac:dyDescent="0.2">
      <c r="A70" s="33" t="s">
        <v>214</v>
      </c>
      <c r="B70" s="1" t="s">
        <v>130</v>
      </c>
      <c r="C70" s="1" t="s">
        <v>502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/>
      <c r="Q70" s="19"/>
      <c r="R70" s="19"/>
      <c r="S70" s="19">
        <v>7674</v>
      </c>
      <c r="T70" s="19"/>
      <c r="U70" s="19"/>
      <c r="V70" s="9"/>
      <c r="W70" s="9"/>
      <c r="X70" s="9"/>
      <c r="Y70" s="9"/>
      <c r="Z70" s="9"/>
      <c r="AA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0" s="9"/>
      <c r="AC70" s="20"/>
      <c r="AD70" s="19"/>
      <c r="AE70" s="9"/>
      <c r="AF70" s="19"/>
      <c r="AG70" s="42"/>
      <c r="AH70" s="42"/>
      <c r="AI70" s="9">
        <v>0.97</v>
      </c>
      <c r="AM70" s="1">
        <v>1</v>
      </c>
      <c r="AQ70" s="1">
        <v>1</v>
      </c>
      <c r="AT70" s="1">
        <v>2</v>
      </c>
      <c r="AU70" s="1">
        <v>4</v>
      </c>
      <c r="AV70" s="1" t="s">
        <v>382</v>
      </c>
      <c r="AW70" s="1" t="s">
        <v>278</v>
      </c>
      <c r="AX70" s="1">
        <f t="shared" si="5"/>
        <v>4</v>
      </c>
      <c r="AZ70" s="1">
        <v>1095</v>
      </c>
      <c r="BB70" s="19"/>
      <c r="BC70" s="19"/>
      <c r="BD70" s="19">
        <f>10*Umrechnungsfaktoren!$B$15/Umrechnungsfaktoren!$B$12</f>
        <v>10.38</v>
      </c>
      <c r="BE70" s="8"/>
      <c r="BF70" s="19">
        <f>5*Umrechnungsfaktoren!$B$15/Umrechnungsfaktoren!$B$12</f>
        <v>5.19</v>
      </c>
      <c r="BG70" s="19"/>
      <c r="BH70" s="8"/>
      <c r="BI70" s="8">
        <f>0.03*Tabelle58971115[[#This Row],[Investitionsausgaben €_2018/kW]]</f>
        <v>0.31140000000000001</v>
      </c>
      <c r="BK70" s="7">
        <v>0.08</v>
      </c>
      <c r="BM70" s="1" t="s">
        <v>486</v>
      </c>
      <c r="BN70" s="1" t="s">
        <v>486</v>
      </c>
      <c r="BO70" s="1" t="s">
        <v>486</v>
      </c>
      <c r="BQ70" s="13" t="s">
        <v>483</v>
      </c>
      <c r="BR70" s="13" t="s">
        <v>484</v>
      </c>
      <c r="BS70" s="13"/>
      <c r="BT70" s="13"/>
      <c r="BU70" s="13" t="s">
        <v>475</v>
      </c>
      <c r="BV70" s="13" t="s">
        <v>475</v>
      </c>
      <c r="BW70" s="13"/>
      <c r="BY70" s="13"/>
      <c r="BZ70" s="13" t="s">
        <v>503</v>
      </c>
      <c r="CA70" s="13"/>
      <c r="CB70" s="1" t="s">
        <v>481</v>
      </c>
      <c r="CC70" s="1" t="s">
        <v>481</v>
      </c>
      <c r="CD70" s="1" t="s">
        <v>480</v>
      </c>
      <c r="CE70" s="1" t="s">
        <v>472</v>
      </c>
      <c r="CF70" s="1" t="s">
        <v>511</v>
      </c>
      <c r="CG70" s="1" t="s">
        <v>506</v>
      </c>
      <c r="CH70" s="1" t="s">
        <v>507</v>
      </c>
      <c r="CI70" s="1" t="s">
        <v>506</v>
      </c>
      <c r="CK70" s="1" t="s">
        <v>506</v>
      </c>
      <c r="CM70" s="1" t="s">
        <v>397</v>
      </c>
    </row>
    <row r="71" spans="1:91" x14ac:dyDescent="0.2">
      <c r="A71" s="33" t="s">
        <v>214</v>
      </c>
      <c r="B71" s="1" t="s">
        <v>130</v>
      </c>
      <c r="C71" s="1" t="s">
        <v>502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/>
      <c r="Q71" s="19"/>
      <c r="R71" s="19"/>
      <c r="S71" s="19">
        <v>8885</v>
      </c>
      <c r="T71" s="19"/>
      <c r="U71" s="19"/>
      <c r="V71" s="9"/>
      <c r="W71" s="9"/>
      <c r="X71" s="9">
        <v>0.18</v>
      </c>
      <c r="Y71" s="9">
        <v>1</v>
      </c>
      <c r="Z71" s="9">
        <f>287/8760</f>
        <v>3.276255707762557E-2</v>
      </c>
      <c r="AA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1" s="9"/>
      <c r="AC71" s="20"/>
      <c r="AD71" s="19"/>
      <c r="AE71" s="9"/>
      <c r="AF71" s="19"/>
      <c r="AG71" s="42"/>
      <c r="AH71" s="42"/>
      <c r="AI71" s="9">
        <v>0.97</v>
      </c>
      <c r="AM71" s="1">
        <v>1</v>
      </c>
      <c r="AQ71" s="1">
        <v>1</v>
      </c>
      <c r="AT71" s="1">
        <v>2</v>
      </c>
      <c r="AU71" s="1">
        <v>4</v>
      </c>
      <c r="AV71" s="1" t="s">
        <v>382</v>
      </c>
      <c r="AW71" s="1" t="s">
        <v>278</v>
      </c>
      <c r="AX71" s="1">
        <f t="shared" si="5"/>
        <v>4</v>
      </c>
      <c r="AZ71" s="1">
        <v>1095</v>
      </c>
      <c r="BB71" s="19"/>
      <c r="BC71" s="19"/>
      <c r="BD71" s="19">
        <f>10*Umrechnungsfaktoren!$B$15/Umrechnungsfaktoren!$B$12</f>
        <v>10.38</v>
      </c>
      <c r="BE71" s="8"/>
      <c r="BF71" s="19">
        <f>5*Umrechnungsfaktoren!$B$15/Umrechnungsfaktoren!$B$12</f>
        <v>5.19</v>
      </c>
      <c r="BG71" s="19"/>
      <c r="BH71" s="8"/>
      <c r="BI71" s="8">
        <f>0.03*Tabelle58971115[[#This Row],[Investitionsausgaben €_2018/kW]]</f>
        <v>0.31140000000000001</v>
      </c>
      <c r="BK71" s="7">
        <v>0.08</v>
      </c>
      <c r="BM71" s="1" t="s">
        <v>486</v>
      </c>
      <c r="BN71" s="1" t="s">
        <v>486</v>
      </c>
      <c r="BO71" s="1" t="s">
        <v>486</v>
      </c>
      <c r="BQ71" s="13" t="s">
        <v>477</v>
      </c>
      <c r="BR71" s="13" t="s">
        <v>477</v>
      </c>
      <c r="BS71" s="13"/>
      <c r="BT71" s="13"/>
      <c r="BU71" s="13" t="s">
        <v>475</v>
      </c>
      <c r="BV71" s="13" t="s">
        <v>475</v>
      </c>
      <c r="BW71" s="13"/>
      <c r="BY71" s="13"/>
      <c r="BZ71" s="13" t="s">
        <v>503</v>
      </c>
      <c r="CA71" s="13"/>
      <c r="CB71" s="1" t="s">
        <v>481</v>
      </c>
      <c r="CC71" s="1" t="s">
        <v>481</v>
      </c>
      <c r="CD71" s="1" t="s">
        <v>480</v>
      </c>
      <c r="CE71" s="1" t="s">
        <v>472</v>
      </c>
      <c r="CF71" s="1" t="s">
        <v>511</v>
      </c>
      <c r="CG71" s="1" t="s">
        <v>506</v>
      </c>
      <c r="CH71" s="1" t="s">
        <v>507</v>
      </c>
      <c r="CI71" s="1" t="s">
        <v>506</v>
      </c>
      <c r="CK71" s="1" t="s">
        <v>506</v>
      </c>
    </row>
    <row r="72" spans="1:91" x14ac:dyDescent="0.2">
      <c r="A72" s="33" t="s">
        <v>214</v>
      </c>
      <c r="B72" s="1" t="s">
        <v>130</v>
      </c>
      <c r="C72" s="1" t="s">
        <v>502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/>
      <c r="Q72" s="19"/>
      <c r="R72" s="19"/>
      <c r="S72" s="19">
        <v>9713</v>
      </c>
      <c r="T72" s="19"/>
      <c r="U72" s="19"/>
      <c r="V72" s="9"/>
      <c r="W72" s="9"/>
      <c r="X72" s="9">
        <v>0.2</v>
      </c>
      <c r="Y72" s="9">
        <v>1</v>
      </c>
      <c r="Z72" s="9">
        <f>300/8760</f>
        <v>3.4246575342465752E-2</v>
      </c>
      <c r="AA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2" s="9"/>
      <c r="AC72" s="20"/>
      <c r="AD72" s="19"/>
      <c r="AE72" s="9"/>
      <c r="AF72" s="19"/>
      <c r="AG72" s="42"/>
      <c r="AH72" s="42"/>
      <c r="AI72" s="9">
        <v>0.97</v>
      </c>
      <c r="AM72" s="1">
        <v>1</v>
      </c>
      <c r="AQ72" s="1">
        <v>1</v>
      </c>
      <c r="AT72" s="1">
        <v>2</v>
      </c>
      <c r="AU72" s="1">
        <v>4</v>
      </c>
      <c r="AV72" s="1" t="s">
        <v>382</v>
      </c>
      <c r="AW72" s="1" t="s">
        <v>278</v>
      </c>
      <c r="AX72" s="1">
        <f t="shared" si="5"/>
        <v>4</v>
      </c>
      <c r="AZ72" s="1">
        <v>1095</v>
      </c>
      <c r="BB72" s="19"/>
      <c r="BC72" s="19"/>
      <c r="BD72" s="19">
        <f>10*Umrechnungsfaktoren!$B$15/Umrechnungsfaktoren!$B$12</f>
        <v>10.38</v>
      </c>
      <c r="BE72" s="8"/>
      <c r="BF72" s="19">
        <f>5*Umrechnungsfaktoren!$B$15/Umrechnungsfaktoren!$B$12</f>
        <v>5.19</v>
      </c>
      <c r="BG72" s="19"/>
      <c r="BH72" s="8"/>
      <c r="BI72" s="8">
        <f>0.03*Tabelle58971115[[#This Row],[Investitionsausgaben €_2018/kW]]</f>
        <v>0.31140000000000001</v>
      </c>
      <c r="BK72" s="7">
        <v>0.08</v>
      </c>
      <c r="BM72" s="1" t="s">
        <v>486</v>
      </c>
      <c r="BN72" s="1" t="s">
        <v>486</v>
      </c>
      <c r="BO72" s="1" t="s">
        <v>486</v>
      </c>
      <c r="BQ72" s="13" t="s">
        <v>478</v>
      </c>
      <c r="BR72" s="13" t="s">
        <v>478</v>
      </c>
      <c r="BS72" s="13"/>
      <c r="BT72" s="13"/>
      <c r="BU72" s="13" t="s">
        <v>475</v>
      </c>
      <c r="BV72" s="13" t="s">
        <v>475</v>
      </c>
      <c r="BW72" s="13"/>
      <c r="BY72" s="13"/>
      <c r="BZ72" s="13" t="s">
        <v>503</v>
      </c>
      <c r="CA72" s="13"/>
      <c r="CB72" s="1" t="s">
        <v>481</v>
      </c>
      <c r="CC72" s="1" t="s">
        <v>481</v>
      </c>
      <c r="CD72" s="1" t="s">
        <v>480</v>
      </c>
      <c r="CE72" s="1" t="s">
        <v>472</v>
      </c>
      <c r="CF72" s="1" t="s">
        <v>511</v>
      </c>
      <c r="CG72" s="1" t="s">
        <v>506</v>
      </c>
      <c r="CH72" s="1" t="s">
        <v>507</v>
      </c>
      <c r="CI72" s="1" t="s">
        <v>506</v>
      </c>
      <c r="CK72" s="1" t="s">
        <v>506</v>
      </c>
    </row>
    <row r="73" spans="1:91" x14ac:dyDescent="0.2">
      <c r="A73" s="33" t="s">
        <v>214</v>
      </c>
      <c r="B73" s="1" t="s">
        <v>130</v>
      </c>
      <c r="C73" s="1" t="s">
        <v>502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/>
      <c r="Q73" s="19"/>
      <c r="R73" s="19"/>
      <c r="S73" s="19">
        <v>9255</v>
      </c>
      <c r="T73" s="19"/>
      <c r="U73" s="19"/>
      <c r="V73" s="9"/>
      <c r="W73" s="9"/>
      <c r="X73" s="9">
        <v>0.25</v>
      </c>
      <c r="Y73" s="9">
        <v>1</v>
      </c>
      <c r="Z73" s="9">
        <f>329/8760</f>
        <v>3.7557077625570777E-2</v>
      </c>
      <c r="AA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3" s="9"/>
      <c r="AC73" s="20"/>
      <c r="AD73" s="19"/>
      <c r="AE73" s="9"/>
      <c r="AF73" s="19"/>
      <c r="AG73" s="42"/>
      <c r="AH73" s="42"/>
      <c r="AI73" s="9">
        <v>0.97</v>
      </c>
      <c r="AM73" s="1">
        <v>1</v>
      </c>
      <c r="AQ73" s="1">
        <v>1</v>
      </c>
      <c r="AT73" s="1">
        <v>2</v>
      </c>
      <c r="AU73" s="1">
        <v>4</v>
      </c>
      <c r="AV73" s="1" t="s">
        <v>382</v>
      </c>
      <c r="AW73" s="1" t="s">
        <v>278</v>
      </c>
      <c r="AX73" s="1">
        <f t="shared" si="5"/>
        <v>4</v>
      </c>
      <c r="AZ73" s="1">
        <v>1095</v>
      </c>
      <c r="BB73" s="19"/>
      <c r="BC73" s="19"/>
      <c r="BD73" s="19">
        <f>10*Umrechnungsfaktoren!$B$15/Umrechnungsfaktoren!$B$12</f>
        <v>10.38</v>
      </c>
      <c r="BE73" s="8"/>
      <c r="BF73" s="19">
        <f>5*Umrechnungsfaktoren!$B$15/Umrechnungsfaktoren!$B$12</f>
        <v>5.19</v>
      </c>
      <c r="BG73" s="19"/>
      <c r="BH73" s="8"/>
      <c r="BI73" s="8">
        <f>0.03*Tabelle58971115[[#This Row],[Investitionsausgaben €_2018/kW]]</f>
        <v>0.31140000000000001</v>
      </c>
      <c r="BK73" s="7">
        <v>0.08</v>
      </c>
      <c r="BM73" s="1" t="s">
        <v>486</v>
      </c>
      <c r="BN73" s="1" t="s">
        <v>486</v>
      </c>
      <c r="BO73" s="1" t="s">
        <v>486</v>
      </c>
      <c r="BQ73" s="13" t="s">
        <v>479</v>
      </c>
      <c r="BR73" s="13" t="s">
        <v>479</v>
      </c>
      <c r="BS73" s="13"/>
      <c r="BT73" s="13"/>
      <c r="BU73" s="13" t="s">
        <v>475</v>
      </c>
      <c r="BV73" s="13" t="s">
        <v>475</v>
      </c>
      <c r="BW73" s="13"/>
      <c r="BY73" s="13"/>
      <c r="BZ73" s="13" t="s">
        <v>503</v>
      </c>
      <c r="CA73" s="13"/>
      <c r="CB73" s="1" t="s">
        <v>481</v>
      </c>
      <c r="CC73" s="1" t="s">
        <v>481</v>
      </c>
      <c r="CD73" s="1" t="s">
        <v>480</v>
      </c>
      <c r="CE73" s="1" t="s">
        <v>472</v>
      </c>
      <c r="CF73" s="1" t="s">
        <v>511</v>
      </c>
      <c r="CG73" s="1" t="s">
        <v>506</v>
      </c>
      <c r="CH73" s="1" t="s">
        <v>507</v>
      </c>
      <c r="CI73" s="1" t="s">
        <v>506</v>
      </c>
      <c r="CK73" s="1" t="s">
        <v>506</v>
      </c>
    </row>
    <row r="74" spans="1:91" x14ac:dyDescent="0.2">
      <c r="A74" s="1" t="s">
        <v>139</v>
      </c>
      <c r="B74" s="1" t="s">
        <v>130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/>
      <c r="Q74" s="19"/>
      <c r="R74" s="19"/>
      <c r="S74" s="19">
        <v>3841</v>
      </c>
      <c r="T74" s="19"/>
      <c r="U74" s="19"/>
      <c r="V74" s="9"/>
      <c r="W74" s="9"/>
      <c r="X74" s="9"/>
      <c r="Y74" s="9"/>
      <c r="Z74" s="9">
        <f>AVERAGE(175,275)/8760</f>
        <v>2.5684931506849314E-2</v>
      </c>
      <c r="AA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4" s="9"/>
      <c r="AC74" s="20"/>
      <c r="AD74" s="19"/>
      <c r="AE74" s="9"/>
      <c r="AF74" s="19"/>
      <c r="AG74" s="43">
        <v>0.95</v>
      </c>
      <c r="AH74" s="9">
        <v>0.98</v>
      </c>
      <c r="AI74" s="9">
        <v>0.96</v>
      </c>
      <c r="AM74" s="1">
        <v>12</v>
      </c>
      <c r="AQ74" s="1">
        <v>12</v>
      </c>
      <c r="AR74" s="1">
        <v>4</v>
      </c>
      <c r="AS74" s="1">
        <v>12</v>
      </c>
      <c r="AT74" s="1">
        <v>8</v>
      </c>
      <c r="AU74" s="1">
        <v>0</v>
      </c>
      <c r="AV74" s="1" t="s">
        <v>382</v>
      </c>
      <c r="AW74" s="1" t="s">
        <v>278</v>
      </c>
      <c r="AZ74" s="1">
        <v>1095</v>
      </c>
      <c r="BB74" s="19"/>
      <c r="BC74" s="19"/>
      <c r="BD74" s="19"/>
      <c r="BE74" s="8"/>
      <c r="BF74" s="8">
        <v>0</v>
      </c>
      <c r="BG74" s="8"/>
      <c r="BH74" s="8"/>
      <c r="BI74" s="8"/>
      <c r="BM74" s="1" t="s">
        <v>486</v>
      </c>
      <c r="BN74" s="1" t="s">
        <v>486</v>
      </c>
      <c r="BO74" s="1" t="s">
        <v>486</v>
      </c>
      <c r="BQ74" s="13" t="s">
        <v>483</v>
      </c>
      <c r="BR74" s="13" t="s">
        <v>484</v>
      </c>
      <c r="BS74" s="13"/>
      <c r="BT74" s="13"/>
      <c r="BU74" s="13" t="s">
        <v>475</v>
      </c>
      <c r="BV74" s="13" t="s">
        <v>475</v>
      </c>
      <c r="BW74" s="13"/>
      <c r="BY74" s="13"/>
      <c r="BZ74" s="13" t="s">
        <v>503</v>
      </c>
      <c r="CA74" s="13"/>
      <c r="CB74" s="1" t="s">
        <v>481</v>
      </c>
      <c r="CC74" s="1" t="s">
        <v>481</v>
      </c>
      <c r="CD74" s="1" t="s">
        <v>480</v>
      </c>
      <c r="CE74" s="1" t="s">
        <v>472</v>
      </c>
      <c r="CF74" s="1" t="s">
        <v>510</v>
      </c>
      <c r="CG74" s="1" t="s">
        <v>506</v>
      </c>
      <c r="CH74" s="1" t="s">
        <v>507</v>
      </c>
      <c r="CI74" s="1" t="s">
        <v>506</v>
      </c>
      <c r="CK74" s="1" t="s">
        <v>506</v>
      </c>
    </row>
    <row r="75" spans="1:91" x14ac:dyDescent="0.2">
      <c r="A75" s="1" t="s">
        <v>139</v>
      </c>
      <c r="B75" s="1" t="s">
        <v>130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/>
      <c r="Q75" s="19"/>
      <c r="R75" s="19"/>
      <c r="S75" s="19">
        <v>8759</v>
      </c>
      <c r="T75" s="19"/>
      <c r="U75" s="19"/>
      <c r="V75" s="9"/>
      <c r="W75" s="9"/>
      <c r="X75" s="9">
        <v>1</v>
      </c>
      <c r="Y75" s="9">
        <v>0.9</v>
      </c>
      <c r="Z75" s="9"/>
      <c r="AA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5" s="9"/>
      <c r="AC75" s="20"/>
      <c r="AD75" s="19"/>
      <c r="AE75" s="9"/>
      <c r="AF75" s="19"/>
      <c r="AG75" s="43">
        <v>0.95</v>
      </c>
      <c r="AH75" s="9">
        <v>0.98</v>
      </c>
      <c r="AI75" s="9">
        <v>0.96</v>
      </c>
      <c r="AM75" s="1">
        <v>12</v>
      </c>
      <c r="AQ75" s="1">
        <v>12</v>
      </c>
      <c r="AR75" s="1">
        <v>4</v>
      </c>
      <c r="AS75" s="1">
        <v>12</v>
      </c>
      <c r="AT75" s="1">
        <v>8</v>
      </c>
      <c r="AU75" s="1">
        <v>0</v>
      </c>
      <c r="AV75" s="1" t="s">
        <v>382</v>
      </c>
      <c r="AW75" s="1" t="s">
        <v>278</v>
      </c>
      <c r="AZ75" s="1">
        <v>1095</v>
      </c>
      <c r="BB75" s="19"/>
      <c r="BC75" s="19"/>
      <c r="BD75" s="19"/>
      <c r="BE75" s="8"/>
      <c r="BF75" s="8">
        <v>0</v>
      </c>
      <c r="BG75" s="8"/>
      <c r="BH75" s="8"/>
      <c r="BI75" s="8"/>
      <c r="BM75" s="1" t="s">
        <v>486</v>
      </c>
      <c r="BN75" s="1" t="s">
        <v>486</v>
      </c>
      <c r="BO75" s="1" t="s">
        <v>486</v>
      </c>
      <c r="BQ75" s="13" t="s">
        <v>477</v>
      </c>
      <c r="BR75" s="13" t="s">
        <v>477</v>
      </c>
      <c r="BS75" s="13"/>
      <c r="BT75" s="13"/>
      <c r="BU75" s="13" t="s">
        <v>475</v>
      </c>
      <c r="BV75" s="13" t="s">
        <v>475</v>
      </c>
      <c r="BW75" s="13"/>
      <c r="BY75" s="13"/>
      <c r="BZ75" s="13" t="s">
        <v>503</v>
      </c>
      <c r="CA75" s="13"/>
      <c r="CB75" s="1" t="s">
        <v>481</v>
      </c>
      <c r="CC75" s="1" t="s">
        <v>481</v>
      </c>
      <c r="CD75" s="1" t="s">
        <v>480</v>
      </c>
      <c r="CE75" s="1" t="s">
        <v>472</v>
      </c>
      <c r="CF75" s="1" t="s">
        <v>510</v>
      </c>
      <c r="CG75" s="1" t="s">
        <v>506</v>
      </c>
      <c r="CH75" s="1" t="s">
        <v>507</v>
      </c>
      <c r="CI75" s="1" t="s">
        <v>506</v>
      </c>
      <c r="CK75" s="1" t="s">
        <v>506</v>
      </c>
    </row>
    <row r="76" spans="1:91" x14ac:dyDescent="0.2">
      <c r="A76" s="1" t="s">
        <v>139</v>
      </c>
      <c r="B76" s="1" t="s">
        <v>130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/>
      <c r="Q76" s="19"/>
      <c r="R76" s="19"/>
      <c r="S76" s="19">
        <v>9497</v>
      </c>
      <c r="T76" s="19"/>
      <c r="U76" s="19"/>
      <c r="V76" s="9"/>
      <c r="W76" s="9"/>
      <c r="X76" s="9">
        <v>1</v>
      </c>
      <c r="Y76" s="9">
        <v>0.9</v>
      </c>
      <c r="Z76" s="9"/>
      <c r="AA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6" s="9"/>
      <c r="AC76" s="20"/>
      <c r="AD76" s="19"/>
      <c r="AE76" s="9"/>
      <c r="AF76" s="19"/>
      <c r="AG76" s="43">
        <v>0.95</v>
      </c>
      <c r="AH76" s="9">
        <v>0.98</v>
      </c>
      <c r="AI76" s="9">
        <v>0.96</v>
      </c>
      <c r="AM76" s="1">
        <v>12</v>
      </c>
      <c r="AQ76" s="1">
        <v>12</v>
      </c>
      <c r="AR76" s="1">
        <v>4</v>
      </c>
      <c r="AS76" s="1">
        <v>12</v>
      </c>
      <c r="AT76" s="1">
        <v>8</v>
      </c>
      <c r="AU76" s="1">
        <v>0</v>
      </c>
      <c r="AV76" s="1" t="s">
        <v>382</v>
      </c>
      <c r="AW76" s="1" t="s">
        <v>278</v>
      </c>
      <c r="AZ76" s="1">
        <v>1095</v>
      </c>
      <c r="BB76" s="19"/>
      <c r="BC76" s="19"/>
      <c r="BD76" s="19"/>
      <c r="BE76" s="8"/>
      <c r="BF76" s="8">
        <v>0</v>
      </c>
      <c r="BG76" s="8"/>
      <c r="BH76" s="8"/>
      <c r="BI76" s="8"/>
      <c r="BM76" s="1" t="s">
        <v>486</v>
      </c>
      <c r="BN76" s="1" t="s">
        <v>486</v>
      </c>
      <c r="BO76" s="1" t="s">
        <v>486</v>
      </c>
      <c r="BQ76" s="13" t="s">
        <v>478</v>
      </c>
      <c r="BR76" s="13" t="s">
        <v>478</v>
      </c>
      <c r="BS76" s="13"/>
      <c r="BT76" s="13"/>
      <c r="BU76" s="13" t="s">
        <v>475</v>
      </c>
      <c r="BV76" s="13" t="s">
        <v>475</v>
      </c>
      <c r="BW76" s="13"/>
      <c r="BY76" s="13"/>
      <c r="BZ76" s="13" t="s">
        <v>503</v>
      </c>
      <c r="CA76" s="13"/>
      <c r="CB76" s="1" t="s">
        <v>481</v>
      </c>
      <c r="CC76" s="1" t="s">
        <v>481</v>
      </c>
      <c r="CD76" s="1" t="s">
        <v>480</v>
      </c>
      <c r="CE76" s="1" t="s">
        <v>472</v>
      </c>
      <c r="CF76" s="1" t="s">
        <v>510</v>
      </c>
      <c r="CG76" s="1" t="s">
        <v>506</v>
      </c>
      <c r="CH76" s="1" t="s">
        <v>507</v>
      </c>
      <c r="CI76" s="1" t="s">
        <v>506</v>
      </c>
      <c r="CK76" s="1" t="s">
        <v>506</v>
      </c>
    </row>
    <row r="77" spans="1:91" x14ac:dyDescent="0.2">
      <c r="A77" s="1" t="s">
        <v>139</v>
      </c>
      <c r="B77" s="1" t="s">
        <v>130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/>
      <c r="Q77" s="19"/>
      <c r="R77" s="19"/>
      <c r="S77" s="19">
        <v>8299</v>
      </c>
      <c r="T77" s="19"/>
      <c r="U77" s="19"/>
      <c r="V77" s="9"/>
      <c r="W77" s="9"/>
      <c r="X77" s="9">
        <v>1</v>
      </c>
      <c r="Y77" s="9">
        <v>0.9</v>
      </c>
      <c r="Z77" s="9"/>
      <c r="AA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7" s="9"/>
      <c r="AC77" s="20"/>
      <c r="AD77" s="19"/>
      <c r="AE77" s="9"/>
      <c r="AF77" s="19"/>
      <c r="AG77" s="43">
        <v>0.95</v>
      </c>
      <c r="AH77" s="9">
        <v>0.98</v>
      </c>
      <c r="AI77" s="9">
        <v>0.96</v>
      </c>
      <c r="AM77" s="1">
        <v>12</v>
      </c>
      <c r="AQ77" s="1">
        <v>12</v>
      </c>
      <c r="AR77" s="1">
        <v>4</v>
      </c>
      <c r="AS77" s="1">
        <v>12</v>
      </c>
      <c r="AT77" s="1">
        <v>8</v>
      </c>
      <c r="AU77" s="1">
        <v>0</v>
      </c>
      <c r="AV77" s="1" t="s">
        <v>382</v>
      </c>
      <c r="AW77" s="1" t="s">
        <v>278</v>
      </c>
      <c r="AZ77" s="1">
        <v>1095</v>
      </c>
      <c r="BB77" s="19"/>
      <c r="BC77" s="19"/>
      <c r="BD77" s="19"/>
      <c r="BE77" s="8"/>
      <c r="BF77" s="8">
        <v>0</v>
      </c>
      <c r="BG77" s="8"/>
      <c r="BH77" s="8"/>
      <c r="BI77" s="8"/>
      <c r="BM77" s="1" t="s">
        <v>486</v>
      </c>
      <c r="BN77" s="1" t="s">
        <v>486</v>
      </c>
      <c r="BO77" s="1" t="s">
        <v>486</v>
      </c>
      <c r="BQ77" s="13" t="s">
        <v>479</v>
      </c>
      <c r="BR77" s="13" t="s">
        <v>479</v>
      </c>
      <c r="BS77" s="13"/>
      <c r="BT77" s="13"/>
      <c r="BU77" s="13" t="s">
        <v>475</v>
      </c>
      <c r="BV77" s="13" t="s">
        <v>475</v>
      </c>
      <c r="BW77" s="13"/>
      <c r="BY77" s="13"/>
      <c r="BZ77" s="13" t="s">
        <v>503</v>
      </c>
      <c r="CA77" s="13"/>
      <c r="CB77" s="1" t="s">
        <v>481</v>
      </c>
      <c r="CC77" s="1" t="s">
        <v>481</v>
      </c>
      <c r="CD77" s="1" t="s">
        <v>480</v>
      </c>
      <c r="CE77" s="1" t="s">
        <v>472</v>
      </c>
      <c r="CF77" s="1" t="s">
        <v>510</v>
      </c>
      <c r="CG77" s="1" t="s">
        <v>506</v>
      </c>
      <c r="CH77" s="1" t="s">
        <v>507</v>
      </c>
      <c r="CI77" s="1" t="s">
        <v>506</v>
      </c>
      <c r="CK77" s="1" t="s">
        <v>506</v>
      </c>
    </row>
    <row r="78" spans="1:91" x14ac:dyDescent="0.2">
      <c r="A78" s="1" t="s">
        <v>140</v>
      </c>
      <c r="B78" s="1" t="s">
        <v>130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/>
      <c r="Q78" s="19"/>
      <c r="R78" s="19"/>
      <c r="S78" s="19">
        <v>3879</v>
      </c>
      <c r="T78" s="19"/>
      <c r="U78" s="19"/>
      <c r="V78" s="9"/>
      <c r="W78" s="9"/>
      <c r="X78" s="9"/>
      <c r="Y78" s="9"/>
      <c r="Z78" s="9">
        <f>AVERAGE(200,800)/8760</f>
        <v>5.7077625570776253E-2</v>
      </c>
      <c r="AA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8" s="9"/>
      <c r="AC78" s="20"/>
      <c r="AD78" s="19"/>
      <c r="AE78" s="9"/>
      <c r="AF78" s="19"/>
      <c r="AG78" s="43">
        <v>0.95</v>
      </c>
      <c r="AH78" s="9">
        <v>0.98</v>
      </c>
      <c r="AI78" s="9">
        <v>0.96</v>
      </c>
      <c r="AM78" s="1">
        <v>12</v>
      </c>
      <c r="AQ78" s="1">
        <v>12</v>
      </c>
      <c r="AR78" s="1">
        <v>4</v>
      </c>
      <c r="AS78" s="1">
        <v>12</v>
      </c>
      <c r="AT78" s="1">
        <v>8</v>
      </c>
      <c r="AU78" s="1">
        <v>0</v>
      </c>
      <c r="AV78" s="1" t="s">
        <v>382</v>
      </c>
      <c r="AW78" s="1" t="s">
        <v>278</v>
      </c>
      <c r="AZ78" s="1">
        <v>1095</v>
      </c>
      <c r="BB78" s="19"/>
      <c r="BC78" s="19"/>
      <c r="BD78" s="19"/>
      <c r="BE78" s="8"/>
      <c r="BF78" s="8">
        <v>0</v>
      </c>
      <c r="BG78" s="8"/>
      <c r="BH78" s="8"/>
      <c r="BI78" s="8"/>
      <c r="BL78" s="1" t="s">
        <v>391</v>
      </c>
      <c r="BM78" s="1" t="s">
        <v>486</v>
      </c>
      <c r="BN78" s="1" t="s">
        <v>486</v>
      </c>
      <c r="BO78" s="1" t="s">
        <v>486</v>
      </c>
      <c r="BQ78" s="13" t="s">
        <v>483</v>
      </c>
      <c r="BR78" s="13" t="s">
        <v>484</v>
      </c>
      <c r="BS78" s="13"/>
      <c r="BT78" s="13"/>
      <c r="BU78" s="13" t="s">
        <v>475</v>
      </c>
      <c r="BV78" s="13" t="s">
        <v>475</v>
      </c>
      <c r="BW78" s="13"/>
      <c r="BY78" s="13"/>
      <c r="BZ78" s="13" t="s">
        <v>503</v>
      </c>
      <c r="CA78" s="13"/>
      <c r="CB78" s="1" t="s">
        <v>481</v>
      </c>
      <c r="CC78" s="1" t="s">
        <v>481</v>
      </c>
      <c r="CD78" s="1" t="s">
        <v>480</v>
      </c>
      <c r="CE78" s="1" t="s">
        <v>472</v>
      </c>
      <c r="CF78" s="1" t="s">
        <v>510</v>
      </c>
      <c r="CG78" s="1" t="s">
        <v>506</v>
      </c>
      <c r="CH78" s="1" t="s">
        <v>507</v>
      </c>
      <c r="CI78" s="1" t="s">
        <v>506</v>
      </c>
      <c r="CK78" s="1" t="s">
        <v>506</v>
      </c>
    </row>
    <row r="79" spans="1:91" x14ac:dyDescent="0.2">
      <c r="A79" s="1" t="s">
        <v>140</v>
      </c>
      <c r="B79" s="1" t="s">
        <v>130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/>
      <c r="Q79" s="19"/>
      <c r="R79" s="19"/>
      <c r="S79" s="19">
        <v>2816</v>
      </c>
      <c r="T79" s="19"/>
      <c r="U79" s="19"/>
      <c r="V79" s="9"/>
      <c r="W79" s="9"/>
      <c r="X79" s="9">
        <v>1</v>
      </c>
      <c r="Y79" s="9">
        <v>0.9</v>
      </c>
      <c r="Z79" s="9"/>
      <c r="AA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79" s="9"/>
      <c r="AC79" s="20"/>
      <c r="AD79" s="19"/>
      <c r="AE79" s="9"/>
      <c r="AF79" s="19"/>
      <c r="AG79" s="43">
        <v>0.95</v>
      </c>
      <c r="AH79" s="9">
        <v>0.98</v>
      </c>
      <c r="AI79" s="9">
        <v>0.96</v>
      </c>
      <c r="AM79" s="1">
        <v>12</v>
      </c>
      <c r="AQ79" s="1">
        <v>12</v>
      </c>
      <c r="AR79" s="1">
        <v>4</v>
      </c>
      <c r="AS79" s="1">
        <v>12</v>
      </c>
      <c r="AT79" s="1">
        <v>8</v>
      </c>
      <c r="AU79" s="1">
        <v>0</v>
      </c>
      <c r="AV79" s="1" t="s">
        <v>382</v>
      </c>
      <c r="AW79" s="1" t="s">
        <v>278</v>
      </c>
      <c r="AZ79" s="1">
        <v>1095</v>
      </c>
      <c r="BB79" s="19"/>
      <c r="BC79" s="19"/>
      <c r="BD79" s="19"/>
      <c r="BE79" s="8"/>
      <c r="BF79" s="8">
        <v>0</v>
      </c>
      <c r="BG79" s="8"/>
      <c r="BH79" s="8"/>
      <c r="BI79" s="8"/>
      <c r="BL79" s="1" t="s">
        <v>391</v>
      </c>
      <c r="BM79" s="1" t="s">
        <v>486</v>
      </c>
      <c r="BN79" s="1" t="s">
        <v>486</v>
      </c>
      <c r="BO79" s="1" t="s">
        <v>486</v>
      </c>
      <c r="BQ79" s="13" t="s">
        <v>477</v>
      </c>
      <c r="BR79" s="13" t="s">
        <v>477</v>
      </c>
      <c r="BS79" s="13"/>
      <c r="BT79" s="13"/>
      <c r="BU79" s="13" t="s">
        <v>475</v>
      </c>
      <c r="BV79" s="13" t="s">
        <v>475</v>
      </c>
      <c r="BW79" s="13"/>
      <c r="BY79" s="13"/>
      <c r="BZ79" s="13" t="s">
        <v>503</v>
      </c>
      <c r="CA79" s="13"/>
      <c r="CB79" s="1" t="s">
        <v>481</v>
      </c>
      <c r="CC79" s="1" t="s">
        <v>481</v>
      </c>
      <c r="CD79" s="1" t="s">
        <v>480</v>
      </c>
      <c r="CE79" s="1" t="s">
        <v>472</v>
      </c>
      <c r="CF79" s="1" t="s">
        <v>510</v>
      </c>
      <c r="CG79" s="1" t="s">
        <v>506</v>
      </c>
      <c r="CH79" s="1" t="s">
        <v>507</v>
      </c>
      <c r="CI79" s="1" t="s">
        <v>506</v>
      </c>
      <c r="CK79" s="1" t="s">
        <v>506</v>
      </c>
    </row>
    <row r="80" spans="1:91" x14ac:dyDescent="0.2">
      <c r="A80" s="1" t="s">
        <v>140</v>
      </c>
      <c r="B80" s="1" t="s">
        <v>130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/>
      <c r="Q80" s="19"/>
      <c r="R80" s="19"/>
      <c r="S80" s="19">
        <v>967</v>
      </c>
      <c r="T80" s="19"/>
      <c r="U80" s="19"/>
      <c r="V80" s="9"/>
      <c r="W80" s="9"/>
      <c r="X80" s="9">
        <v>1</v>
      </c>
      <c r="Y80" s="9">
        <v>0.9</v>
      </c>
      <c r="Z80" s="9"/>
      <c r="AA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0" s="9"/>
      <c r="AC80" s="20"/>
      <c r="AD80" s="19"/>
      <c r="AE80" s="9"/>
      <c r="AF80" s="19"/>
      <c r="AG80" s="43">
        <v>0.95</v>
      </c>
      <c r="AH80" s="9">
        <v>0.98</v>
      </c>
      <c r="AI80" s="9">
        <v>0.96</v>
      </c>
      <c r="AM80" s="1">
        <v>12</v>
      </c>
      <c r="AQ80" s="1">
        <v>12</v>
      </c>
      <c r="AR80" s="1">
        <v>4</v>
      </c>
      <c r="AS80" s="1">
        <v>12</v>
      </c>
      <c r="AT80" s="1">
        <v>8</v>
      </c>
      <c r="AU80" s="1">
        <v>0</v>
      </c>
      <c r="AV80" s="1" t="s">
        <v>382</v>
      </c>
      <c r="AW80" s="1" t="s">
        <v>278</v>
      </c>
      <c r="AZ80" s="1">
        <v>1095</v>
      </c>
      <c r="BB80" s="19"/>
      <c r="BC80" s="19"/>
      <c r="BD80" s="19"/>
      <c r="BE80" s="8"/>
      <c r="BF80" s="8">
        <v>0</v>
      </c>
      <c r="BG80" s="8"/>
      <c r="BH80" s="8"/>
      <c r="BI80" s="8"/>
      <c r="BL80" s="1" t="s">
        <v>391</v>
      </c>
      <c r="BM80" s="1" t="s">
        <v>486</v>
      </c>
      <c r="BN80" s="1" t="s">
        <v>486</v>
      </c>
      <c r="BO80" s="1" t="s">
        <v>486</v>
      </c>
      <c r="BQ80" s="13" t="s">
        <v>478</v>
      </c>
      <c r="BR80" s="13" t="s">
        <v>478</v>
      </c>
      <c r="BS80" s="13"/>
      <c r="BT80" s="13"/>
      <c r="BU80" s="13" t="s">
        <v>475</v>
      </c>
      <c r="BV80" s="13" t="s">
        <v>475</v>
      </c>
      <c r="BW80" s="13"/>
      <c r="BY80" s="13"/>
      <c r="BZ80" s="13" t="s">
        <v>503</v>
      </c>
      <c r="CA80" s="13"/>
      <c r="CB80" s="1" t="s">
        <v>481</v>
      </c>
      <c r="CC80" s="1" t="s">
        <v>481</v>
      </c>
      <c r="CD80" s="1" t="s">
        <v>480</v>
      </c>
      <c r="CE80" s="1" t="s">
        <v>472</v>
      </c>
      <c r="CF80" s="1" t="s">
        <v>510</v>
      </c>
      <c r="CG80" s="1" t="s">
        <v>506</v>
      </c>
      <c r="CH80" s="1" t="s">
        <v>507</v>
      </c>
      <c r="CI80" s="1" t="s">
        <v>506</v>
      </c>
      <c r="CK80" s="1" t="s">
        <v>506</v>
      </c>
    </row>
    <row r="81" spans="1:91" x14ac:dyDescent="0.2">
      <c r="A81" s="1" t="s">
        <v>140</v>
      </c>
      <c r="B81" s="1" t="s">
        <v>130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/>
      <c r="Q81" s="19"/>
      <c r="R81" s="19"/>
      <c r="S81" s="19">
        <v>0</v>
      </c>
      <c r="T81" s="19"/>
      <c r="U81" s="19"/>
      <c r="V81" s="9"/>
      <c r="W81" s="9"/>
      <c r="X81" s="9">
        <v>1</v>
      </c>
      <c r="Y81" s="9">
        <v>0.9</v>
      </c>
      <c r="Z81" s="9"/>
      <c r="AA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1" s="9"/>
      <c r="AC81" s="20"/>
      <c r="AD81" s="19"/>
      <c r="AE81" s="9"/>
      <c r="AF81" s="19"/>
      <c r="AG81" s="43">
        <v>0.95</v>
      </c>
      <c r="AH81" s="9">
        <v>0.98</v>
      </c>
      <c r="AI81" s="9">
        <v>0.96</v>
      </c>
      <c r="AM81" s="1">
        <v>12</v>
      </c>
      <c r="AQ81" s="1">
        <v>12</v>
      </c>
      <c r="AR81" s="1">
        <v>4</v>
      </c>
      <c r="AS81" s="1">
        <v>12</v>
      </c>
      <c r="AT81" s="1">
        <v>8</v>
      </c>
      <c r="AU81" s="1">
        <v>0</v>
      </c>
      <c r="AV81" s="1" t="s">
        <v>382</v>
      </c>
      <c r="AW81" s="1" t="s">
        <v>278</v>
      </c>
      <c r="AZ81" s="1">
        <v>1095</v>
      </c>
      <c r="BB81" s="19"/>
      <c r="BC81" s="19"/>
      <c r="BD81" s="19"/>
      <c r="BE81" s="8"/>
      <c r="BF81" s="8">
        <v>0</v>
      </c>
      <c r="BG81" s="8"/>
      <c r="BH81" s="8"/>
      <c r="BI81" s="8"/>
      <c r="BL81" s="1" t="s">
        <v>391</v>
      </c>
      <c r="BM81" s="1" t="s">
        <v>486</v>
      </c>
      <c r="BN81" s="1" t="s">
        <v>486</v>
      </c>
      <c r="BO81" s="1" t="s">
        <v>486</v>
      </c>
      <c r="BQ81" s="13" t="s">
        <v>479</v>
      </c>
      <c r="BR81" s="13" t="s">
        <v>479</v>
      </c>
      <c r="BS81" s="13"/>
      <c r="BT81" s="13"/>
      <c r="BU81" s="13" t="s">
        <v>475</v>
      </c>
      <c r="BV81" s="13" t="s">
        <v>475</v>
      </c>
      <c r="BW81" s="13"/>
      <c r="BY81" s="13"/>
      <c r="BZ81" s="13" t="s">
        <v>503</v>
      </c>
      <c r="CA81" s="13"/>
      <c r="CB81" s="1" t="s">
        <v>481</v>
      </c>
      <c r="CC81" s="1" t="s">
        <v>481</v>
      </c>
      <c r="CD81" s="1" t="s">
        <v>480</v>
      </c>
      <c r="CE81" s="1" t="s">
        <v>472</v>
      </c>
      <c r="CF81" s="1" t="s">
        <v>510</v>
      </c>
      <c r="CG81" s="1" t="s">
        <v>506</v>
      </c>
      <c r="CH81" s="1" t="s">
        <v>507</v>
      </c>
      <c r="CI81" s="1" t="s">
        <v>506</v>
      </c>
      <c r="CK81" s="1" t="s">
        <v>506</v>
      </c>
    </row>
    <row r="82" spans="1:91" x14ac:dyDescent="0.2">
      <c r="A82" s="33" t="s">
        <v>379</v>
      </c>
      <c r="B82" s="1" t="s">
        <v>130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/>
      <c r="Q82" s="19"/>
      <c r="R82" s="19"/>
      <c r="S82" s="19">
        <v>466</v>
      </c>
      <c r="T82" s="19"/>
      <c r="U82" s="19"/>
      <c r="V82" s="9"/>
      <c r="W82" s="9"/>
      <c r="X82" s="9"/>
      <c r="Y82" s="9"/>
      <c r="Z82" s="9">
        <f>4380/8760</f>
        <v>0.5</v>
      </c>
      <c r="AA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2" s="9"/>
      <c r="AC82" s="20"/>
      <c r="AD82" s="19"/>
      <c r="AE82" s="9"/>
      <c r="AF82" s="19"/>
      <c r="AG82" s="43">
        <v>0.95499999999999996</v>
      </c>
      <c r="AH82" s="43">
        <v>0.98</v>
      </c>
      <c r="AI82" s="9"/>
      <c r="AM82" s="1">
        <v>2</v>
      </c>
      <c r="AQ82" s="1">
        <v>2</v>
      </c>
      <c r="AR82" s="1">
        <v>2</v>
      </c>
      <c r="AS82" s="1">
        <v>6</v>
      </c>
      <c r="AT82" s="1">
        <v>2</v>
      </c>
      <c r="AU82" s="1">
        <v>8</v>
      </c>
      <c r="AV82" s="1" t="s">
        <v>382</v>
      </c>
      <c r="AW82" s="1" t="s">
        <v>279</v>
      </c>
      <c r="AX82" s="1">
        <f t="shared" ref="AX82:AX89" si="6">8/2</f>
        <v>4</v>
      </c>
      <c r="AZ82" s="1">
        <v>1095</v>
      </c>
      <c r="BB82" s="19"/>
      <c r="BC82" s="19"/>
      <c r="BD82" s="19">
        <f>5*Umrechnungsfaktoren!$B$15/Umrechnungsfaktoren!$B$12</f>
        <v>5.19</v>
      </c>
      <c r="BE82" s="8"/>
      <c r="BF82" s="3">
        <f>20*Umrechnungsfaktoren!$B$15/Umrechnungsfaktoren!$B$11</f>
        <v>20.8643216080402</v>
      </c>
      <c r="BG82" s="3"/>
      <c r="BH82" s="8">
        <f>0.03*Tabelle58971115[[#This Row],[Investitionsausgaben €_2018/kW]]</f>
        <v>0.15570000000000001</v>
      </c>
      <c r="BI82" s="8"/>
      <c r="BK82" s="7">
        <v>0.31</v>
      </c>
      <c r="BL82" s="1" t="s">
        <v>389</v>
      </c>
      <c r="BM82" s="1" t="s">
        <v>486</v>
      </c>
      <c r="BN82" s="1" t="s">
        <v>486</v>
      </c>
      <c r="BO82" s="1" t="s">
        <v>486</v>
      </c>
      <c r="BQ82" s="13" t="s">
        <v>483</v>
      </c>
      <c r="BR82" s="13" t="s">
        <v>484</v>
      </c>
      <c r="BS82" s="13"/>
      <c r="BT82" s="13"/>
      <c r="BU82" s="13" t="s">
        <v>475</v>
      </c>
      <c r="BV82" s="13" t="s">
        <v>475</v>
      </c>
      <c r="BW82" s="13"/>
      <c r="BY82" s="13"/>
      <c r="BZ82" s="13" t="s">
        <v>503</v>
      </c>
      <c r="CA82" s="13"/>
      <c r="CB82" s="1" t="s">
        <v>481</v>
      </c>
      <c r="CC82" s="1" t="s">
        <v>481</v>
      </c>
      <c r="CD82" s="1" t="s">
        <v>480</v>
      </c>
      <c r="CE82" s="1" t="s">
        <v>472</v>
      </c>
      <c r="CF82" s="1" t="s">
        <v>511</v>
      </c>
      <c r="CG82" s="1" t="s">
        <v>506</v>
      </c>
      <c r="CH82" s="1" t="s">
        <v>507</v>
      </c>
      <c r="CI82" s="1" t="s">
        <v>506</v>
      </c>
      <c r="CK82" s="1" t="s">
        <v>506</v>
      </c>
    </row>
    <row r="83" spans="1:91" x14ac:dyDescent="0.2">
      <c r="A83" s="33" t="s">
        <v>379</v>
      </c>
      <c r="B83" s="1" t="s">
        <v>130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/>
      <c r="Q83" s="19"/>
      <c r="R83" s="19"/>
      <c r="S83" s="19">
        <v>451</v>
      </c>
      <c r="T83" s="19"/>
      <c r="U83" s="19"/>
      <c r="V83" s="9"/>
      <c r="W83" s="9"/>
      <c r="X83" s="9">
        <v>0.9</v>
      </c>
      <c r="Y83" s="9">
        <v>0.9</v>
      </c>
      <c r="Z83" s="9"/>
      <c r="AA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3" s="9"/>
      <c r="AC83" s="20"/>
      <c r="AD83" s="19"/>
      <c r="AE83" s="9"/>
      <c r="AF83" s="19"/>
      <c r="AG83" s="43">
        <v>0.95499999999999996</v>
      </c>
      <c r="AH83" s="43">
        <v>0.98</v>
      </c>
      <c r="AI83" s="9"/>
      <c r="AM83" s="1">
        <v>2</v>
      </c>
      <c r="AQ83" s="1">
        <v>2</v>
      </c>
      <c r="AR83" s="1">
        <v>2</v>
      </c>
      <c r="AS83" s="1">
        <v>6</v>
      </c>
      <c r="AT83" s="1">
        <v>2</v>
      </c>
      <c r="AU83" s="1">
        <v>8</v>
      </c>
      <c r="AV83" s="1" t="s">
        <v>382</v>
      </c>
      <c r="AW83" s="1" t="s">
        <v>279</v>
      </c>
      <c r="AX83" s="1">
        <f t="shared" si="6"/>
        <v>4</v>
      </c>
      <c r="AZ83" s="1">
        <v>1095</v>
      </c>
      <c r="BB83" s="19"/>
      <c r="BC83" s="19"/>
      <c r="BD83" s="19">
        <f>5*Umrechnungsfaktoren!$B$15/Umrechnungsfaktoren!$B$12</f>
        <v>5.19</v>
      </c>
      <c r="BE83" s="8"/>
      <c r="BF83" s="3">
        <f>20*Umrechnungsfaktoren!$B$15/Umrechnungsfaktoren!$B$11</f>
        <v>20.8643216080402</v>
      </c>
      <c r="BG83" s="3"/>
      <c r="BH83" s="8">
        <f>0.03*Tabelle58971115[[#This Row],[Investitionsausgaben €_2018/kW]]</f>
        <v>0.15570000000000001</v>
      </c>
      <c r="BI83" s="8"/>
      <c r="BK83" s="7">
        <v>0.31</v>
      </c>
      <c r="BL83" s="1" t="s">
        <v>389</v>
      </c>
      <c r="BM83" s="1" t="s">
        <v>486</v>
      </c>
      <c r="BN83" s="1" t="s">
        <v>486</v>
      </c>
      <c r="BO83" s="1" t="s">
        <v>486</v>
      </c>
      <c r="BQ83" s="13" t="s">
        <v>477</v>
      </c>
      <c r="BR83" s="13" t="s">
        <v>477</v>
      </c>
      <c r="BS83" s="13"/>
      <c r="BT83" s="13"/>
      <c r="BU83" s="13" t="s">
        <v>475</v>
      </c>
      <c r="BV83" s="13" t="s">
        <v>475</v>
      </c>
      <c r="BW83" s="13"/>
      <c r="BY83" s="13"/>
      <c r="BZ83" s="13" t="s">
        <v>503</v>
      </c>
      <c r="CA83" s="13"/>
      <c r="CB83" s="1" t="s">
        <v>481</v>
      </c>
      <c r="CC83" s="1" t="s">
        <v>481</v>
      </c>
      <c r="CD83" s="1" t="s">
        <v>480</v>
      </c>
      <c r="CE83" s="1" t="s">
        <v>472</v>
      </c>
      <c r="CF83" s="1" t="s">
        <v>511</v>
      </c>
      <c r="CG83" s="1" t="s">
        <v>506</v>
      </c>
      <c r="CH83" s="1" t="s">
        <v>507</v>
      </c>
      <c r="CI83" s="1" t="s">
        <v>506</v>
      </c>
      <c r="CK83" s="1" t="s">
        <v>506</v>
      </c>
    </row>
    <row r="84" spans="1:91" x14ac:dyDescent="0.2">
      <c r="A84" s="33" t="s">
        <v>379</v>
      </c>
      <c r="B84" s="1" t="s">
        <v>130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/>
      <c r="Q84" s="19"/>
      <c r="R84" s="19"/>
      <c r="S84" s="19">
        <v>465</v>
      </c>
      <c r="T84" s="19"/>
      <c r="U84" s="19"/>
      <c r="V84" s="9"/>
      <c r="W84" s="9"/>
      <c r="X84" s="9">
        <v>0.9</v>
      </c>
      <c r="Y84" s="9">
        <v>0.9</v>
      </c>
      <c r="Z84" s="9"/>
      <c r="AA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4" s="9"/>
      <c r="AC84" s="20"/>
      <c r="AD84" s="19"/>
      <c r="AE84" s="9"/>
      <c r="AF84" s="19"/>
      <c r="AG84" s="43">
        <v>0.95499999999999996</v>
      </c>
      <c r="AH84" s="43">
        <v>0.98</v>
      </c>
      <c r="AI84" s="9"/>
      <c r="AM84" s="1">
        <v>2</v>
      </c>
      <c r="AQ84" s="1">
        <v>2</v>
      </c>
      <c r="AR84" s="1">
        <v>2</v>
      </c>
      <c r="AS84" s="1">
        <v>6</v>
      </c>
      <c r="AT84" s="1">
        <v>2</v>
      </c>
      <c r="AU84" s="1">
        <v>8</v>
      </c>
      <c r="AV84" s="1" t="s">
        <v>382</v>
      </c>
      <c r="AW84" s="1" t="s">
        <v>279</v>
      </c>
      <c r="AX84" s="1">
        <f t="shared" si="6"/>
        <v>4</v>
      </c>
      <c r="AZ84" s="1">
        <v>1095</v>
      </c>
      <c r="BB84" s="19"/>
      <c r="BC84" s="19"/>
      <c r="BD84" s="19">
        <f>5*Umrechnungsfaktoren!$B$15/Umrechnungsfaktoren!$B$12</f>
        <v>5.19</v>
      </c>
      <c r="BE84" s="8"/>
      <c r="BF84" s="3">
        <f>20*Umrechnungsfaktoren!$B$15/Umrechnungsfaktoren!$B$11</f>
        <v>20.8643216080402</v>
      </c>
      <c r="BG84" s="3"/>
      <c r="BH84" s="8">
        <f>0.03*Tabelle58971115[[#This Row],[Investitionsausgaben €_2018/kW]]</f>
        <v>0.15570000000000001</v>
      </c>
      <c r="BI84" s="8"/>
      <c r="BK84" s="7">
        <v>0.31</v>
      </c>
      <c r="BL84" s="1" t="s">
        <v>389</v>
      </c>
      <c r="BM84" s="1" t="s">
        <v>486</v>
      </c>
      <c r="BN84" s="1" t="s">
        <v>486</v>
      </c>
      <c r="BO84" s="1" t="s">
        <v>486</v>
      </c>
      <c r="BQ84" s="13" t="s">
        <v>478</v>
      </c>
      <c r="BR84" s="13" t="s">
        <v>478</v>
      </c>
      <c r="BS84" s="13"/>
      <c r="BT84" s="13"/>
      <c r="BU84" s="13" t="s">
        <v>475</v>
      </c>
      <c r="BV84" s="13" t="s">
        <v>475</v>
      </c>
      <c r="BW84" s="13"/>
      <c r="BY84" s="13"/>
      <c r="BZ84" s="13" t="s">
        <v>503</v>
      </c>
      <c r="CA84" s="13"/>
      <c r="CB84" s="1" t="s">
        <v>481</v>
      </c>
      <c r="CC84" s="1" t="s">
        <v>481</v>
      </c>
      <c r="CD84" s="1" t="s">
        <v>480</v>
      </c>
      <c r="CE84" s="1" t="s">
        <v>472</v>
      </c>
      <c r="CF84" s="1" t="s">
        <v>511</v>
      </c>
      <c r="CG84" s="1" t="s">
        <v>506</v>
      </c>
      <c r="CH84" s="1" t="s">
        <v>507</v>
      </c>
      <c r="CI84" s="1" t="s">
        <v>506</v>
      </c>
      <c r="CK84" s="1" t="s">
        <v>506</v>
      </c>
    </row>
    <row r="85" spans="1:91" x14ac:dyDescent="0.2">
      <c r="A85" s="33" t="s">
        <v>379</v>
      </c>
      <c r="B85" s="1" t="s">
        <v>130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/>
      <c r="Q85" s="19"/>
      <c r="R85" s="19"/>
      <c r="S85" s="19">
        <v>406</v>
      </c>
      <c r="T85" s="19"/>
      <c r="U85" s="19"/>
      <c r="V85" s="9"/>
      <c r="W85" s="9"/>
      <c r="X85" s="9">
        <v>0.9</v>
      </c>
      <c r="Y85" s="9">
        <v>0.9</v>
      </c>
      <c r="Z85" s="9"/>
      <c r="AA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5" s="9"/>
      <c r="AC85" s="20"/>
      <c r="AD85" s="19"/>
      <c r="AE85" s="9"/>
      <c r="AF85" s="19"/>
      <c r="AG85" s="43">
        <v>0.95499999999999996</v>
      </c>
      <c r="AH85" s="43">
        <v>0.98</v>
      </c>
      <c r="AI85" s="9"/>
      <c r="AM85" s="1">
        <v>2</v>
      </c>
      <c r="AQ85" s="1">
        <v>2</v>
      </c>
      <c r="AR85" s="1">
        <v>2</v>
      </c>
      <c r="AS85" s="1">
        <v>6</v>
      </c>
      <c r="AT85" s="1">
        <v>2</v>
      </c>
      <c r="AU85" s="1">
        <v>8</v>
      </c>
      <c r="AV85" s="1" t="s">
        <v>382</v>
      </c>
      <c r="AW85" s="1" t="s">
        <v>279</v>
      </c>
      <c r="AX85" s="1">
        <f t="shared" si="6"/>
        <v>4</v>
      </c>
      <c r="AZ85" s="1">
        <v>1095</v>
      </c>
      <c r="BB85" s="19"/>
      <c r="BC85" s="19"/>
      <c r="BD85" s="19">
        <f>5*Umrechnungsfaktoren!$B$15/Umrechnungsfaktoren!$B$12</f>
        <v>5.19</v>
      </c>
      <c r="BE85" s="8"/>
      <c r="BF85" s="3">
        <f>20*Umrechnungsfaktoren!$B$15/Umrechnungsfaktoren!$B$11</f>
        <v>20.8643216080402</v>
      </c>
      <c r="BG85" s="3"/>
      <c r="BH85" s="8">
        <f>0.03*Tabelle58971115[[#This Row],[Investitionsausgaben €_2018/kW]]</f>
        <v>0.15570000000000001</v>
      </c>
      <c r="BI85" s="8"/>
      <c r="BK85" s="7">
        <v>0.31</v>
      </c>
      <c r="BL85" s="1" t="s">
        <v>389</v>
      </c>
      <c r="BM85" s="1" t="s">
        <v>486</v>
      </c>
      <c r="BN85" s="1" t="s">
        <v>486</v>
      </c>
      <c r="BO85" s="1" t="s">
        <v>486</v>
      </c>
      <c r="BQ85" s="13" t="s">
        <v>479</v>
      </c>
      <c r="BR85" s="13" t="s">
        <v>479</v>
      </c>
      <c r="BS85" s="13"/>
      <c r="BT85" s="13"/>
      <c r="BU85" s="13" t="s">
        <v>475</v>
      </c>
      <c r="BV85" s="13" t="s">
        <v>475</v>
      </c>
      <c r="BW85" s="13"/>
      <c r="BY85" s="13"/>
      <c r="BZ85" s="13" t="s">
        <v>503</v>
      </c>
      <c r="CA85" s="13"/>
      <c r="CB85" s="1" t="s">
        <v>481</v>
      </c>
      <c r="CC85" s="1" t="s">
        <v>481</v>
      </c>
      <c r="CD85" s="1" t="s">
        <v>480</v>
      </c>
      <c r="CE85" s="1" t="s">
        <v>472</v>
      </c>
      <c r="CF85" s="1" t="s">
        <v>511</v>
      </c>
      <c r="CG85" s="1" t="s">
        <v>506</v>
      </c>
      <c r="CH85" s="1" t="s">
        <v>507</v>
      </c>
      <c r="CI85" s="1" t="s">
        <v>506</v>
      </c>
      <c r="CK85" s="1" t="s">
        <v>506</v>
      </c>
    </row>
    <row r="86" spans="1:91" x14ac:dyDescent="0.2">
      <c r="A86" s="1" t="s">
        <v>226</v>
      </c>
      <c r="B86" s="1" t="s">
        <v>130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/>
      <c r="Q86" s="19"/>
      <c r="R86" s="19"/>
      <c r="S86" s="19">
        <v>125</v>
      </c>
      <c r="T86" s="19"/>
      <c r="U86" s="19"/>
      <c r="V86" s="9"/>
      <c r="W86" s="9"/>
      <c r="X86" s="9"/>
      <c r="Y86" s="9"/>
      <c r="Z86" s="9">
        <f>5694/8760</f>
        <v>0.65</v>
      </c>
      <c r="AA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6" s="9"/>
      <c r="AC86" s="20"/>
      <c r="AD86" s="19"/>
      <c r="AE86" s="9"/>
      <c r="AF86" s="19"/>
      <c r="AG86" s="43">
        <v>0.95499999999999996</v>
      </c>
      <c r="AH86" s="43">
        <v>0.98</v>
      </c>
      <c r="AI86" s="9"/>
      <c r="AM86" s="1">
        <v>2</v>
      </c>
      <c r="AQ86" s="1">
        <v>2</v>
      </c>
      <c r="AR86" s="1">
        <v>2</v>
      </c>
      <c r="AS86" s="1">
        <v>6</v>
      </c>
      <c r="AT86" s="1">
        <v>2</v>
      </c>
      <c r="AU86" s="1">
        <v>8</v>
      </c>
      <c r="AV86" s="1" t="s">
        <v>373</v>
      </c>
      <c r="AW86" s="1" t="s">
        <v>279</v>
      </c>
      <c r="AX86" s="1">
        <f t="shared" si="6"/>
        <v>4</v>
      </c>
      <c r="AZ86" s="1">
        <v>1095</v>
      </c>
      <c r="BB86" s="19"/>
      <c r="BC86" s="19"/>
      <c r="BD86" s="19">
        <f>5*Umrechnungsfaktoren!$B$15/Umrechnungsfaktoren!$B$12</f>
        <v>5.19</v>
      </c>
      <c r="BE86" s="8"/>
      <c r="BF86" s="3">
        <f>20*Umrechnungsfaktoren!$B$15/Umrechnungsfaktoren!$B$11</f>
        <v>20.8643216080402</v>
      </c>
      <c r="BG86" s="3"/>
      <c r="BH86" s="8">
        <f>0.03*Tabelle58971115[[#This Row],[Investitionsausgaben €_2018/kW]]</f>
        <v>0.15570000000000001</v>
      </c>
      <c r="BI86" s="8"/>
      <c r="BK86" s="7">
        <v>0.31</v>
      </c>
      <c r="BM86" s="1" t="s">
        <v>486</v>
      </c>
      <c r="BN86" s="1" t="s">
        <v>486</v>
      </c>
      <c r="BO86" s="1" t="s">
        <v>486</v>
      </c>
      <c r="BQ86" s="13" t="s">
        <v>483</v>
      </c>
      <c r="BR86" s="13" t="s">
        <v>484</v>
      </c>
      <c r="BS86" s="13"/>
      <c r="BT86" s="13"/>
      <c r="BU86" s="13" t="s">
        <v>475</v>
      </c>
      <c r="BV86" s="13" t="s">
        <v>475</v>
      </c>
      <c r="BW86" s="13"/>
      <c r="BY86" s="13"/>
      <c r="BZ86" s="13" t="s">
        <v>503</v>
      </c>
      <c r="CA86" s="13"/>
      <c r="CB86" s="1" t="s">
        <v>481</v>
      </c>
      <c r="CC86" s="1" t="s">
        <v>481</v>
      </c>
      <c r="CD86" s="1" t="s">
        <v>480</v>
      </c>
      <c r="CE86" s="1" t="s">
        <v>472</v>
      </c>
      <c r="CF86" s="1" t="s">
        <v>511</v>
      </c>
      <c r="CG86" s="1" t="s">
        <v>506</v>
      </c>
      <c r="CH86" s="1" t="s">
        <v>507</v>
      </c>
      <c r="CI86" s="1" t="s">
        <v>506</v>
      </c>
      <c r="CK86" s="1" t="s">
        <v>506</v>
      </c>
    </row>
    <row r="87" spans="1:91" x14ac:dyDescent="0.2">
      <c r="A87" s="1" t="s">
        <v>226</v>
      </c>
      <c r="B87" s="1" t="s">
        <v>130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/>
      <c r="Q87" s="19"/>
      <c r="R87" s="19"/>
      <c r="S87" s="19">
        <v>135</v>
      </c>
      <c r="T87" s="19"/>
      <c r="U87" s="19"/>
      <c r="V87" s="9"/>
      <c r="W87" s="9"/>
      <c r="X87" s="9">
        <v>0.2</v>
      </c>
      <c r="Y87" s="9">
        <v>0.5</v>
      </c>
      <c r="Z87" s="9"/>
      <c r="AA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7" s="9"/>
      <c r="AC87" s="20"/>
      <c r="AD87" s="19"/>
      <c r="AE87" s="9"/>
      <c r="AF87" s="19"/>
      <c r="AG87" s="43">
        <v>0.95499999999999996</v>
      </c>
      <c r="AH87" s="43">
        <v>0.98</v>
      </c>
      <c r="AI87" s="9"/>
      <c r="AM87" s="1">
        <v>2</v>
      </c>
      <c r="AQ87" s="1">
        <v>2</v>
      </c>
      <c r="AR87" s="1">
        <v>2</v>
      </c>
      <c r="AS87" s="1">
        <v>6</v>
      </c>
      <c r="AT87" s="1">
        <v>2</v>
      </c>
      <c r="AU87" s="1">
        <v>8</v>
      </c>
      <c r="AV87" s="1" t="s">
        <v>373</v>
      </c>
      <c r="AW87" s="1" t="s">
        <v>279</v>
      </c>
      <c r="AX87" s="1">
        <f t="shared" si="6"/>
        <v>4</v>
      </c>
      <c r="AZ87" s="1">
        <v>1095</v>
      </c>
      <c r="BB87" s="19"/>
      <c r="BC87" s="19"/>
      <c r="BD87" s="19">
        <f>5*Umrechnungsfaktoren!$B$15/Umrechnungsfaktoren!$B$12</f>
        <v>5.19</v>
      </c>
      <c r="BE87" s="8"/>
      <c r="BF87" s="3">
        <f>20*Umrechnungsfaktoren!$B$15/Umrechnungsfaktoren!$B$11</f>
        <v>20.8643216080402</v>
      </c>
      <c r="BG87" s="3"/>
      <c r="BH87" s="8">
        <f>0.03*Tabelle58971115[[#This Row],[Investitionsausgaben €_2018/kW]]</f>
        <v>0.15570000000000001</v>
      </c>
      <c r="BI87" s="8"/>
      <c r="BK87" s="7">
        <v>0.31</v>
      </c>
      <c r="BM87" s="1" t="s">
        <v>486</v>
      </c>
      <c r="BN87" s="1" t="s">
        <v>486</v>
      </c>
      <c r="BO87" s="1" t="s">
        <v>486</v>
      </c>
      <c r="BQ87" s="13" t="s">
        <v>477</v>
      </c>
      <c r="BR87" s="13" t="s">
        <v>477</v>
      </c>
      <c r="BS87" s="13"/>
      <c r="BT87" s="13"/>
      <c r="BU87" s="13" t="s">
        <v>475</v>
      </c>
      <c r="BV87" s="13" t="s">
        <v>475</v>
      </c>
      <c r="BW87" s="13"/>
      <c r="BY87" s="13"/>
      <c r="BZ87" s="13" t="s">
        <v>503</v>
      </c>
      <c r="CA87" s="13"/>
      <c r="CB87" s="1" t="s">
        <v>481</v>
      </c>
      <c r="CC87" s="1" t="s">
        <v>481</v>
      </c>
      <c r="CD87" s="1" t="s">
        <v>480</v>
      </c>
      <c r="CE87" s="1" t="s">
        <v>472</v>
      </c>
      <c r="CF87" s="1" t="s">
        <v>511</v>
      </c>
      <c r="CG87" s="1" t="s">
        <v>506</v>
      </c>
      <c r="CH87" s="1" t="s">
        <v>507</v>
      </c>
      <c r="CI87" s="1" t="s">
        <v>506</v>
      </c>
      <c r="CK87" s="1" t="s">
        <v>506</v>
      </c>
    </row>
    <row r="88" spans="1:91" x14ac:dyDescent="0.2">
      <c r="A88" s="1" t="s">
        <v>226</v>
      </c>
      <c r="B88" s="1" t="s">
        <v>130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/>
      <c r="Q88" s="19"/>
      <c r="R88" s="19"/>
      <c r="S88" s="19">
        <v>139</v>
      </c>
      <c r="T88" s="19"/>
      <c r="U88" s="19"/>
      <c r="V88" s="9"/>
      <c r="W88" s="9"/>
      <c r="X88" s="9">
        <v>0.2</v>
      </c>
      <c r="Y88" s="9">
        <v>0.5</v>
      </c>
      <c r="Z88" s="9"/>
      <c r="AA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8" s="9"/>
      <c r="AC88" s="20"/>
      <c r="AD88" s="19"/>
      <c r="AE88" s="9"/>
      <c r="AF88" s="19"/>
      <c r="AG88" s="43">
        <v>0.95499999999999996</v>
      </c>
      <c r="AH88" s="43">
        <v>0.98</v>
      </c>
      <c r="AI88" s="9"/>
      <c r="AM88" s="1">
        <v>2</v>
      </c>
      <c r="AQ88" s="1">
        <v>2</v>
      </c>
      <c r="AR88" s="1">
        <v>2</v>
      </c>
      <c r="AS88" s="1">
        <v>6</v>
      </c>
      <c r="AT88" s="1">
        <v>2</v>
      </c>
      <c r="AU88" s="1">
        <v>8</v>
      </c>
      <c r="AV88" s="1" t="s">
        <v>373</v>
      </c>
      <c r="AW88" s="1" t="s">
        <v>279</v>
      </c>
      <c r="AX88" s="1">
        <f t="shared" si="6"/>
        <v>4</v>
      </c>
      <c r="AZ88" s="1">
        <v>1095</v>
      </c>
      <c r="BB88" s="19"/>
      <c r="BC88" s="19"/>
      <c r="BD88" s="19">
        <f>5*Umrechnungsfaktoren!$B$15/Umrechnungsfaktoren!$B$12</f>
        <v>5.19</v>
      </c>
      <c r="BE88" s="8"/>
      <c r="BF88" s="3">
        <f>20*Umrechnungsfaktoren!$B$15/Umrechnungsfaktoren!$B$11</f>
        <v>20.8643216080402</v>
      </c>
      <c r="BG88" s="3"/>
      <c r="BH88" s="8">
        <f>0.03*Tabelle58971115[[#This Row],[Investitionsausgaben €_2018/kW]]</f>
        <v>0.15570000000000001</v>
      </c>
      <c r="BI88" s="8"/>
      <c r="BK88" s="7">
        <v>0.31</v>
      </c>
      <c r="BM88" s="1" t="s">
        <v>486</v>
      </c>
      <c r="BN88" s="1" t="s">
        <v>486</v>
      </c>
      <c r="BO88" s="1" t="s">
        <v>486</v>
      </c>
      <c r="BQ88" s="13" t="s">
        <v>478</v>
      </c>
      <c r="BR88" s="13" t="s">
        <v>478</v>
      </c>
      <c r="BS88" s="13"/>
      <c r="BT88" s="13"/>
      <c r="BU88" s="13" t="s">
        <v>475</v>
      </c>
      <c r="BV88" s="13" t="s">
        <v>475</v>
      </c>
      <c r="BW88" s="13"/>
      <c r="BY88" s="13"/>
      <c r="BZ88" s="13" t="s">
        <v>503</v>
      </c>
      <c r="CA88" s="13"/>
      <c r="CB88" s="1" t="s">
        <v>481</v>
      </c>
      <c r="CC88" s="1" t="s">
        <v>481</v>
      </c>
      <c r="CD88" s="1" t="s">
        <v>480</v>
      </c>
      <c r="CE88" s="1" t="s">
        <v>472</v>
      </c>
      <c r="CF88" s="1" t="s">
        <v>511</v>
      </c>
      <c r="CG88" s="1" t="s">
        <v>506</v>
      </c>
      <c r="CH88" s="1" t="s">
        <v>507</v>
      </c>
      <c r="CI88" s="1" t="s">
        <v>506</v>
      </c>
      <c r="CK88" s="1" t="s">
        <v>506</v>
      </c>
    </row>
    <row r="89" spans="1:91" x14ac:dyDescent="0.2">
      <c r="A89" s="1" t="s">
        <v>226</v>
      </c>
      <c r="B89" s="1" t="s">
        <v>130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/>
      <c r="Q89" s="19"/>
      <c r="R89" s="19"/>
      <c r="S89" s="19">
        <v>121</v>
      </c>
      <c r="T89" s="19"/>
      <c r="U89" s="19"/>
      <c r="V89" s="9"/>
      <c r="W89" s="9"/>
      <c r="X89" s="9">
        <v>0.2</v>
      </c>
      <c r="Y89" s="9">
        <v>0.5</v>
      </c>
      <c r="Z89" s="9"/>
      <c r="AA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89" s="9"/>
      <c r="AC89" s="20"/>
      <c r="AD89" s="19"/>
      <c r="AE89" s="9"/>
      <c r="AF89" s="19"/>
      <c r="AG89" s="43">
        <v>0.95499999999999996</v>
      </c>
      <c r="AH89" s="43">
        <v>0.98</v>
      </c>
      <c r="AI89" s="9"/>
      <c r="AM89" s="1">
        <v>2</v>
      </c>
      <c r="AQ89" s="1">
        <v>2</v>
      </c>
      <c r="AR89" s="1">
        <v>2</v>
      </c>
      <c r="AS89" s="1">
        <v>6</v>
      </c>
      <c r="AT89" s="1">
        <v>2</v>
      </c>
      <c r="AU89" s="1">
        <v>8</v>
      </c>
      <c r="AV89" s="1" t="s">
        <v>373</v>
      </c>
      <c r="AW89" s="1" t="s">
        <v>279</v>
      </c>
      <c r="AX89" s="1">
        <f t="shared" si="6"/>
        <v>4</v>
      </c>
      <c r="AZ89" s="1">
        <v>1095</v>
      </c>
      <c r="BB89" s="19"/>
      <c r="BC89" s="19"/>
      <c r="BD89" s="19">
        <f>5*Umrechnungsfaktoren!$B$15/Umrechnungsfaktoren!$B$12</f>
        <v>5.19</v>
      </c>
      <c r="BE89" s="8"/>
      <c r="BF89" s="3">
        <f>20*Umrechnungsfaktoren!$B$15/Umrechnungsfaktoren!$B$11</f>
        <v>20.8643216080402</v>
      </c>
      <c r="BG89" s="3"/>
      <c r="BH89" s="8">
        <f>0.03*Tabelle58971115[[#This Row],[Investitionsausgaben €_2018/kW]]</f>
        <v>0.15570000000000001</v>
      </c>
      <c r="BI89" s="8"/>
      <c r="BK89" s="7">
        <v>0.31</v>
      </c>
      <c r="BM89" s="1" t="s">
        <v>486</v>
      </c>
      <c r="BN89" s="1" t="s">
        <v>486</v>
      </c>
      <c r="BO89" s="1" t="s">
        <v>486</v>
      </c>
      <c r="BQ89" s="13" t="s">
        <v>479</v>
      </c>
      <c r="BR89" s="13" t="s">
        <v>479</v>
      </c>
      <c r="BS89" s="13"/>
      <c r="BT89" s="13"/>
      <c r="BU89" s="13" t="s">
        <v>475</v>
      </c>
      <c r="BV89" s="13" t="s">
        <v>475</v>
      </c>
      <c r="BW89" s="13"/>
      <c r="BY89" s="13"/>
      <c r="BZ89" s="13" t="s">
        <v>503</v>
      </c>
      <c r="CA89" s="13"/>
      <c r="CB89" s="1" t="s">
        <v>481</v>
      </c>
      <c r="CC89" s="1" t="s">
        <v>481</v>
      </c>
      <c r="CD89" s="1" t="s">
        <v>480</v>
      </c>
      <c r="CE89" s="1" t="s">
        <v>472</v>
      </c>
      <c r="CF89" s="1" t="s">
        <v>511</v>
      </c>
      <c r="CG89" s="1" t="s">
        <v>506</v>
      </c>
      <c r="CH89" s="1" t="s">
        <v>507</v>
      </c>
      <c r="CI89" s="1" t="s">
        <v>506</v>
      </c>
      <c r="CK89" s="1" t="s">
        <v>506</v>
      </c>
    </row>
    <row r="90" spans="1:91" x14ac:dyDescent="0.2">
      <c r="A90" s="33" t="s">
        <v>367</v>
      </c>
      <c r="B90" s="33" t="s">
        <v>142</v>
      </c>
      <c r="C90" s="1" t="s">
        <v>501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34"/>
      <c r="P90" s="19"/>
      <c r="Q90" s="34"/>
      <c r="R90" s="34"/>
      <c r="S90" s="34">
        <v>985</v>
      </c>
      <c r="T90" s="34"/>
      <c r="U90" s="34"/>
      <c r="V90" s="9"/>
      <c r="W90" s="36"/>
      <c r="X90" s="36"/>
      <c r="Y90" s="36"/>
      <c r="Z90" s="9"/>
      <c r="AA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0" s="9"/>
      <c r="AC90" s="35"/>
      <c r="AD90" s="34"/>
      <c r="AE90" s="36"/>
      <c r="AF90" s="34"/>
      <c r="AG90" s="9"/>
      <c r="AH90" s="9"/>
      <c r="AI90" s="9">
        <v>0.97</v>
      </c>
      <c r="AJ90" s="33"/>
      <c r="AK90" s="33"/>
      <c r="AL90" s="33"/>
      <c r="AM90" s="1">
        <v>1</v>
      </c>
      <c r="AO90" s="33"/>
      <c r="AP90" s="33"/>
      <c r="AQ90" s="1">
        <v>1</v>
      </c>
      <c r="AR90" s="33"/>
      <c r="AS90" s="33"/>
      <c r="AT90" s="1">
        <v>2</v>
      </c>
      <c r="AU90" s="1">
        <v>4</v>
      </c>
      <c r="AV90" s="1" t="s">
        <v>382</v>
      </c>
      <c r="AW90" s="1" t="s">
        <v>279</v>
      </c>
      <c r="AX90" s="1">
        <f>4/1</f>
        <v>4</v>
      </c>
      <c r="AY90" s="33"/>
      <c r="AZ90" s="1">
        <v>1095</v>
      </c>
      <c r="BB90" s="34"/>
      <c r="BC90" s="34"/>
      <c r="BD90" s="34">
        <f>250*Umrechnungsfaktoren!$B$15/Umrechnungsfaktoren!$B$12</f>
        <v>259.5</v>
      </c>
      <c r="BE90" s="37"/>
      <c r="BF90" s="8">
        <f>10*Umrechnungsfaktoren!$B$15/Umrechnungsfaktoren!$B$12</f>
        <v>10.38</v>
      </c>
      <c r="BG90" s="8"/>
      <c r="BH90" s="37"/>
      <c r="BI90" s="37">
        <f>0.03*Tabelle58971115[[#This Row],[Investitionsausgaben €_2018/kW]]</f>
        <v>7.7850000000000001</v>
      </c>
      <c r="BJ90" s="33"/>
      <c r="BK90" s="48">
        <v>0.09</v>
      </c>
      <c r="BL90" s="33"/>
      <c r="BM90" s="1" t="s">
        <v>486</v>
      </c>
      <c r="BN90" s="1" t="s">
        <v>486</v>
      </c>
      <c r="BO90" s="1" t="s">
        <v>486</v>
      </c>
      <c r="BP90" s="1" t="s">
        <v>500</v>
      </c>
      <c r="BQ90" s="13" t="s">
        <v>483</v>
      </c>
      <c r="BR90" s="13" t="s">
        <v>484</v>
      </c>
      <c r="BS90" s="38"/>
      <c r="BT90" s="38"/>
      <c r="BU90" s="13" t="s">
        <v>475</v>
      </c>
      <c r="BV90" s="13" t="s">
        <v>475</v>
      </c>
      <c r="BW90" s="38"/>
      <c r="BX90" s="33"/>
      <c r="BY90" s="38"/>
      <c r="BZ90" s="13" t="s">
        <v>503</v>
      </c>
      <c r="CA90" s="38"/>
      <c r="CB90" s="1" t="s">
        <v>481</v>
      </c>
      <c r="CC90" s="1" t="s">
        <v>481</v>
      </c>
      <c r="CD90" s="1" t="s">
        <v>480</v>
      </c>
      <c r="CE90" s="1" t="s">
        <v>472</v>
      </c>
      <c r="CF90" s="1" t="s">
        <v>511</v>
      </c>
      <c r="CG90" s="1" t="s">
        <v>506</v>
      </c>
      <c r="CH90" s="1" t="s">
        <v>507</v>
      </c>
      <c r="CI90" s="1" t="s">
        <v>506</v>
      </c>
      <c r="CJ90" s="33"/>
      <c r="CK90" s="1" t="s">
        <v>506</v>
      </c>
      <c r="CL90" s="33"/>
      <c r="CM90" s="33"/>
    </row>
    <row r="91" spans="1:91" x14ac:dyDescent="0.2">
      <c r="A91" s="33" t="s">
        <v>367</v>
      </c>
      <c r="B91" s="33" t="s">
        <v>142</v>
      </c>
      <c r="C91" s="1" t="s">
        <v>501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/>
      <c r="Q91" s="34"/>
      <c r="R91" s="34"/>
      <c r="S91" s="34">
        <v>2160</v>
      </c>
      <c r="T91" s="19"/>
      <c r="U91" s="34"/>
      <c r="V91" s="9"/>
      <c r="W91" s="36"/>
      <c r="X91" s="36">
        <v>0.25</v>
      </c>
      <c r="Y91" s="36">
        <v>1</v>
      </c>
      <c r="Z91" s="9">
        <f>287/8760</f>
        <v>3.276255707762557E-2</v>
      </c>
      <c r="AA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1" s="9"/>
      <c r="AC91" s="35"/>
      <c r="AD91" s="34"/>
      <c r="AE91" s="36"/>
      <c r="AF91" s="34"/>
      <c r="AG91" s="9"/>
      <c r="AH91" s="9"/>
      <c r="AI91" s="9">
        <v>0.97</v>
      </c>
      <c r="AJ91" s="33"/>
      <c r="AK91" s="33"/>
      <c r="AL91" s="33"/>
      <c r="AM91" s="1">
        <v>1</v>
      </c>
      <c r="AO91" s="33"/>
      <c r="AP91" s="33"/>
      <c r="AQ91" s="1">
        <v>1</v>
      </c>
      <c r="AR91" s="33"/>
      <c r="AS91" s="33"/>
      <c r="AT91" s="1">
        <v>2</v>
      </c>
      <c r="AU91" s="1">
        <v>4</v>
      </c>
      <c r="AV91" s="1" t="s">
        <v>382</v>
      </c>
      <c r="AW91" s="1" t="s">
        <v>279</v>
      </c>
      <c r="AX91" s="1">
        <f t="shared" ref="AX91:AX97" si="7">4/1</f>
        <v>4</v>
      </c>
      <c r="AY91" s="33"/>
      <c r="AZ91" s="1">
        <v>1095</v>
      </c>
      <c r="BB91" s="34"/>
      <c r="BC91" s="34"/>
      <c r="BD91" s="34">
        <f>250*Umrechnungsfaktoren!$B$15/Umrechnungsfaktoren!$B$12</f>
        <v>259.5</v>
      </c>
      <c r="BE91" s="37"/>
      <c r="BF91" s="8">
        <f>10*Umrechnungsfaktoren!$B$15/Umrechnungsfaktoren!$B$12</f>
        <v>10.38</v>
      </c>
      <c r="BG91" s="8"/>
      <c r="BH91" s="37"/>
      <c r="BI91" s="37">
        <f>0.03*Tabelle58971115[[#This Row],[Investitionsausgaben €_2018/kW]]</f>
        <v>7.7850000000000001</v>
      </c>
      <c r="BJ91" s="33"/>
      <c r="BK91" s="48">
        <v>0.09</v>
      </c>
      <c r="BL91" s="33"/>
      <c r="BM91" s="1" t="s">
        <v>486</v>
      </c>
      <c r="BN91" s="1" t="s">
        <v>486</v>
      </c>
      <c r="BO91" s="1" t="s">
        <v>486</v>
      </c>
      <c r="BP91" s="1" t="s">
        <v>500</v>
      </c>
      <c r="BQ91" s="13" t="s">
        <v>477</v>
      </c>
      <c r="BR91" s="13" t="s">
        <v>477</v>
      </c>
      <c r="BS91" s="38"/>
      <c r="BT91" s="38"/>
      <c r="BU91" s="13" t="s">
        <v>475</v>
      </c>
      <c r="BV91" s="38">
        <v>157</v>
      </c>
      <c r="BW91" s="38"/>
      <c r="BX91" s="33"/>
      <c r="BY91" s="38"/>
      <c r="BZ91" s="13" t="s">
        <v>503</v>
      </c>
      <c r="CA91" s="38"/>
      <c r="CB91" s="1" t="s">
        <v>481</v>
      </c>
      <c r="CC91" s="1" t="s">
        <v>481</v>
      </c>
      <c r="CD91" s="1" t="s">
        <v>480</v>
      </c>
      <c r="CE91" s="1" t="s">
        <v>472</v>
      </c>
      <c r="CF91" s="1" t="s">
        <v>511</v>
      </c>
      <c r="CG91" s="1" t="s">
        <v>506</v>
      </c>
      <c r="CH91" s="1" t="s">
        <v>507</v>
      </c>
      <c r="CI91" s="1" t="s">
        <v>506</v>
      </c>
      <c r="CJ91" s="33"/>
      <c r="CK91" s="1" t="s">
        <v>506</v>
      </c>
      <c r="CL91" s="33"/>
      <c r="CM91" s="33"/>
    </row>
    <row r="92" spans="1:91" x14ac:dyDescent="0.2">
      <c r="A92" s="33" t="s">
        <v>367</v>
      </c>
      <c r="B92" s="33" t="s">
        <v>142</v>
      </c>
      <c r="C92" s="1" t="s">
        <v>501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/>
      <c r="Q92" s="34"/>
      <c r="R92" s="34"/>
      <c r="S92" s="34">
        <v>3102</v>
      </c>
      <c r="T92" s="19"/>
      <c r="U92" s="34"/>
      <c r="V92" s="9"/>
      <c r="W92" s="36"/>
      <c r="X92" s="36">
        <v>0.25</v>
      </c>
      <c r="Y92" s="36">
        <v>1</v>
      </c>
      <c r="Z92" s="9">
        <f>300/8760</f>
        <v>3.4246575342465752E-2</v>
      </c>
      <c r="AA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2" s="9"/>
      <c r="AC92" s="35"/>
      <c r="AD92" s="34"/>
      <c r="AE92" s="36"/>
      <c r="AF92" s="34"/>
      <c r="AG92" s="9"/>
      <c r="AH92" s="9"/>
      <c r="AI92" s="9">
        <v>0.97</v>
      </c>
      <c r="AJ92" s="33"/>
      <c r="AK92" s="33"/>
      <c r="AL92" s="33"/>
      <c r="AM92" s="1">
        <v>1</v>
      </c>
      <c r="AO92" s="33"/>
      <c r="AP92" s="33"/>
      <c r="AQ92" s="1">
        <v>1</v>
      </c>
      <c r="AR92" s="33"/>
      <c r="AS92" s="33"/>
      <c r="AT92" s="1">
        <v>2</v>
      </c>
      <c r="AU92" s="1">
        <v>4</v>
      </c>
      <c r="AV92" s="1" t="s">
        <v>382</v>
      </c>
      <c r="AW92" s="1" t="s">
        <v>279</v>
      </c>
      <c r="AX92" s="1">
        <f t="shared" si="7"/>
        <v>4</v>
      </c>
      <c r="AY92" s="33"/>
      <c r="AZ92" s="1">
        <v>1095</v>
      </c>
      <c r="BB92" s="34"/>
      <c r="BC92" s="34"/>
      <c r="BD92" s="34">
        <f>250*Umrechnungsfaktoren!$B$15/Umrechnungsfaktoren!$B$12</f>
        <v>259.5</v>
      </c>
      <c r="BE92" s="37"/>
      <c r="BF92" s="8">
        <f>10*Umrechnungsfaktoren!$B$15/Umrechnungsfaktoren!$B$12</f>
        <v>10.38</v>
      </c>
      <c r="BG92" s="8"/>
      <c r="BH92" s="37"/>
      <c r="BI92" s="37">
        <f>0.03*Tabelle58971115[[#This Row],[Investitionsausgaben €_2018/kW]]</f>
        <v>7.7850000000000001</v>
      </c>
      <c r="BJ92" s="33"/>
      <c r="BK92" s="48">
        <v>0.09</v>
      </c>
      <c r="BL92" s="33"/>
      <c r="BM92" s="1" t="s">
        <v>486</v>
      </c>
      <c r="BN92" s="1" t="s">
        <v>486</v>
      </c>
      <c r="BO92" s="1" t="s">
        <v>486</v>
      </c>
      <c r="BP92" s="1" t="s">
        <v>500</v>
      </c>
      <c r="BQ92" s="13" t="s">
        <v>478</v>
      </c>
      <c r="BR92" s="13" t="s">
        <v>478</v>
      </c>
      <c r="BS92" s="38"/>
      <c r="BT92" s="38"/>
      <c r="BU92" s="13" t="s">
        <v>475</v>
      </c>
      <c r="BV92" s="38">
        <v>157</v>
      </c>
      <c r="BW92" s="38"/>
      <c r="BX92" s="33"/>
      <c r="BY92" s="38"/>
      <c r="BZ92" s="13" t="s">
        <v>503</v>
      </c>
      <c r="CA92" s="38"/>
      <c r="CB92" s="1" t="s">
        <v>481</v>
      </c>
      <c r="CC92" s="1" t="s">
        <v>481</v>
      </c>
      <c r="CD92" s="1" t="s">
        <v>480</v>
      </c>
      <c r="CE92" s="1" t="s">
        <v>472</v>
      </c>
      <c r="CF92" s="1" t="s">
        <v>511</v>
      </c>
      <c r="CG92" s="1" t="s">
        <v>506</v>
      </c>
      <c r="CH92" s="1" t="s">
        <v>507</v>
      </c>
      <c r="CI92" s="1" t="s">
        <v>506</v>
      </c>
      <c r="CJ92" s="33"/>
      <c r="CK92" s="1" t="s">
        <v>506</v>
      </c>
      <c r="CL92" s="33"/>
      <c r="CM92" s="33"/>
    </row>
    <row r="93" spans="1:91" x14ac:dyDescent="0.2">
      <c r="A93" s="33" t="s">
        <v>367</v>
      </c>
      <c r="B93" s="33" t="s">
        <v>142</v>
      </c>
      <c r="C93" s="1" t="s">
        <v>501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/>
      <c r="Q93" s="34"/>
      <c r="R93" s="34"/>
      <c r="S93" s="34">
        <v>4201</v>
      </c>
      <c r="T93" s="19"/>
      <c r="U93" s="34"/>
      <c r="V93" s="9"/>
      <c r="W93" s="36"/>
      <c r="X93" s="36">
        <v>0.25</v>
      </c>
      <c r="Y93" s="36">
        <v>1</v>
      </c>
      <c r="Z93" s="9">
        <f>329/8760</f>
        <v>3.7557077625570777E-2</v>
      </c>
      <c r="AA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3" s="9"/>
      <c r="AC93" s="35"/>
      <c r="AD93" s="34"/>
      <c r="AE93" s="36"/>
      <c r="AF93" s="34"/>
      <c r="AG93" s="9"/>
      <c r="AH93" s="9"/>
      <c r="AI93" s="9">
        <v>0.97</v>
      </c>
      <c r="AJ93" s="33"/>
      <c r="AK93" s="33"/>
      <c r="AL93" s="33"/>
      <c r="AM93" s="1">
        <v>1</v>
      </c>
      <c r="AO93" s="33"/>
      <c r="AP93" s="33"/>
      <c r="AQ93" s="1">
        <v>1</v>
      </c>
      <c r="AR93" s="33"/>
      <c r="AS93" s="33"/>
      <c r="AT93" s="1">
        <v>2</v>
      </c>
      <c r="AU93" s="1">
        <v>4</v>
      </c>
      <c r="AV93" s="1" t="s">
        <v>382</v>
      </c>
      <c r="AW93" s="1" t="s">
        <v>279</v>
      </c>
      <c r="AX93" s="1">
        <f t="shared" si="7"/>
        <v>4</v>
      </c>
      <c r="AY93" s="33"/>
      <c r="AZ93" s="1">
        <v>1095</v>
      </c>
      <c r="BB93" s="34"/>
      <c r="BC93" s="34"/>
      <c r="BD93" s="34">
        <f>250*Umrechnungsfaktoren!$B$15/Umrechnungsfaktoren!$B$12</f>
        <v>259.5</v>
      </c>
      <c r="BE93" s="37"/>
      <c r="BF93" s="8">
        <f>10*Umrechnungsfaktoren!$B$15/Umrechnungsfaktoren!$B$12</f>
        <v>10.38</v>
      </c>
      <c r="BG93" s="8"/>
      <c r="BH93" s="37"/>
      <c r="BI93" s="37">
        <f>0.03*Tabelle58971115[[#This Row],[Investitionsausgaben €_2018/kW]]</f>
        <v>7.7850000000000001</v>
      </c>
      <c r="BJ93" s="33"/>
      <c r="BK93" s="48">
        <v>0.09</v>
      </c>
      <c r="BL93" s="33"/>
      <c r="BM93" s="1" t="s">
        <v>486</v>
      </c>
      <c r="BN93" s="1" t="s">
        <v>486</v>
      </c>
      <c r="BO93" s="1" t="s">
        <v>486</v>
      </c>
      <c r="BP93" s="1" t="s">
        <v>500</v>
      </c>
      <c r="BQ93" s="13" t="s">
        <v>479</v>
      </c>
      <c r="BR93" s="13" t="s">
        <v>479</v>
      </c>
      <c r="BS93" s="38"/>
      <c r="BT93" s="38"/>
      <c r="BU93" s="13" t="s">
        <v>475</v>
      </c>
      <c r="BV93" s="38">
        <v>157</v>
      </c>
      <c r="BW93" s="38"/>
      <c r="BX93" s="33"/>
      <c r="BY93" s="38"/>
      <c r="BZ93" s="13" t="s">
        <v>503</v>
      </c>
      <c r="CA93" s="38"/>
      <c r="CB93" s="1" t="s">
        <v>481</v>
      </c>
      <c r="CC93" s="1" t="s">
        <v>481</v>
      </c>
      <c r="CD93" s="1" t="s">
        <v>480</v>
      </c>
      <c r="CE93" s="1" t="s">
        <v>472</v>
      </c>
      <c r="CF93" s="1" t="s">
        <v>511</v>
      </c>
      <c r="CG93" s="1" t="s">
        <v>506</v>
      </c>
      <c r="CH93" s="1" t="s">
        <v>507</v>
      </c>
      <c r="CI93" s="1" t="s">
        <v>506</v>
      </c>
      <c r="CJ93" s="33"/>
      <c r="CK93" s="1" t="s">
        <v>506</v>
      </c>
      <c r="CL93" s="33"/>
      <c r="CM93" s="33"/>
    </row>
    <row r="94" spans="1:91" x14ac:dyDescent="0.2">
      <c r="A94" s="33" t="s">
        <v>394</v>
      </c>
      <c r="B94" s="33" t="s">
        <v>142</v>
      </c>
      <c r="C94" s="1" t="s">
        <v>501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/>
      <c r="Q94" s="34"/>
      <c r="R94" s="34"/>
      <c r="S94" s="34">
        <v>3614</v>
      </c>
      <c r="T94" s="34"/>
      <c r="U94" s="34"/>
      <c r="V94" s="9"/>
      <c r="W94" s="36"/>
      <c r="X94" s="36"/>
      <c r="Y94" s="36"/>
      <c r="Z94" s="36"/>
      <c r="AA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4" s="36"/>
      <c r="AC94" s="35"/>
      <c r="AD94" s="34"/>
      <c r="AE94" s="36"/>
      <c r="AF94" s="34"/>
      <c r="AG94" s="9"/>
      <c r="AH94" s="9"/>
      <c r="AI94" s="9">
        <v>0.97</v>
      </c>
      <c r="AJ94" s="33"/>
      <c r="AK94" s="33"/>
      <c r="AL94" s="33"/>
      <c r="AM94" s="1">
        <v>1</v>
      </c>
      <c r="AO94" s="33"/>
      <c r="AP94" s="33"/>
      <c r="AQ94" s="1">
        <v>1</v>
      </c>
      <c r="AR94" s="33"/>
      <c r="AS94" s="33"/>
      <c r="AT94" s="1">
        <v>2</v>
      </c>
      <c r="AU94" s="1">
        <v>4</v>
      </c>
      <c r="AV94" s="1" t="s">
        <v>374</v>
      </c>
      <c r="AW94" s="1" t="s">
        <v>279</v>
      </c>
      <c r="AX94" s="1">
        <f t="shared" si="7"/>
        <v>4</v>
      </c>
      <c r="AY94" s="33"/>
      <c r="AZ94" s="1">
        <v>1095</v>
      </c>
      <c r="BB94" s="34"/>
      <c r="BC94" s="34"/>
      <c r="BD94" s="34">
        <f>250*Umrechnungsfaktoren!$B$15/Umrechnungsfaktoren!$B$12</f>
        <v>259.5</v>
      </c>
      <c r="BE94" s="37"/>
      <c r="BF94" s="8">
        <f>10*Umrechnungsfaktoren!$B$15/Umrechnungsfaktoren!$B$12</f>
        <v>10.38</v>
      </c>
      <c r="BG94" s="8"/>
      <c r="BH94" s="37"/>
      <c r="BI94" s="37">
        <f>0.03*Tabelle58971115[[#This Row],[Investitionsausgaben €_2018/kW]]</f>
        <v>7.7850000000000001</v>
      </c>
      <c r="BJ94" s="33"/>
      <c r="BK94" s="48">
        <v>0.09</v>
      </c>
      <c r="BL94" s="1" t="s">
        <v>388</v>
      </c>
      <c r="BM94" s="1" t="s">
        <v>486</v>
      </c>
      <c r="BN94" s="1" t="s">
        <v>486</v>
      </c>
      <c r="BO94" s="1" t="s">
        <v>486</v>
      </c>
      <c r="BP94" s="1" t="s">
        <v>500</v>
      </c>
      <c r="BQ94" s="13" t="s">
        <v>483</v>
      </c>
      <c r="BR94" s="13" t="s">
        <v>484</v>
      </c>
      <c r="BS94" s="38"/>
      <c r="BT94" s="38"/>
      <c r="BU94" s="13" t="s">
        <v>476</v>
      </c>
      <c r="BV94" s="13" t="s">
        <v>476</v>
      </c>
      <c r="BW94" s="38"/>
      <c r="BX94" s="38"/>
      <c r="BY94" s="38"/>
      <c r="BZ94" s="13" t="s">
        <v>503</v>
      </c>
      <c r="CA94" s="38"/>
      <c r="CB94" s="1" t="s">
        <v>481</v>
      </c>
      <c r="CC94" s="1" t="s">
        <v>481</v>
      </c>
      <c r="CD94" s="1" t="s">
        <v>480</v>
      </c>
      <c r="CE94" s="1" t="s">
        <v>472</v>
      </c>
      <c r="CF94" s="1" t="s">
        <v>511</v>
      </c>
      <c r="CG94" s="1" t="s">
        <v>506</v>
      </c>
      <c r="CH94" s="1" t="s">
        <v>507</v>
      </c>
      <c r="CI94" s="1" t="s">
        <v>506</v>
      </c>
      <c r="CJ94" s="33"/>
      <c r="CK94" s="1" t="s">
        <v>506</v>
      </c>
      <c r="CL94" s="33"/>
      <c r="CM94" s="33"/>
    </row>
    <row r="95" spans="1:91" x14ac:dyDescent="0.2">
      <c r="A95" s="33" t="s">
        <v>394</v>
      </c>
      <c r="B95" s="33" t="s">
        <v>142</v>
      </c>
      <c r="C95" s="1" t="s">
        <v>501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/>
      <c r="Q95" s="34"/>
      <c r="R95" s="34"/>
      <c r="S95" s="34">
        <v>4524</v>
      </c>
      <c r="T95" s="34"/>
      <c r="U95" s="34"/>
      <c r="V95" s="9"/>
      <c r="W95" s="36"/>
      <c r="X95" s="36">
        <v>0.8</v>
      </c>
      <c r="Y95" s="36">
        <v>1</v>
      </c>
      <c r="Z95" s="36"/>
      <c r="AA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5" s="36"/>
      <c r="AC95" s="35"/>
      <c r="AD95" s="34"/>
      <c r="AE95" s="36"/>
      <c r="AF95" s="34"/>
      <c r="AG95" s="9"/>
      <c r="AH95" s="9"/>
      <c r="AI95" s="9">
        <v>0.97</v>
      </c>
      <c r="AJ95" s="33"/>
      <c r="AK95" s="33"/>
      <c r="AL95" s="33"/>
      <c r="AM95" s="1">
        <v>1</v>
      </c>
      <c r="AO95" s="33"/>
      <c r="AP95" s="33"/>
      <c r="AQ95" s="1">
        <v>1</v>
      </c>
      <c r="AR95" s="33"/>
      <c r="AS95" s="33"/>
      <c r="AT95" s="1">
        <v>2</v>
      </c>
      <c r="AU95" s="1">
        <v>4</v>
      </c>
      <c r="AV95" s="1" t="s">
        <v>374</v>
      </c>
      <c r="AW95" s="1" t="s">
        <v>279</v>
      </c>
      <c r="AX95" s="1">
        <f t="shared" si="7"/>
        <v>4</v>
      </c>
      <c r="AY95" s="33"/>
      <c r="AZ95" s="1">
        <v>1095</v>
      </c>
      <c r="BB95" s="34"/>
      <c r="BC95" s="34"/>
      <c r="BD95" s="34">
        <f>250*Umrechnungsfaktoren!$B$15/Umrechnungsfaktoren!$B$12</f>
        <v>259.5</v>
      </c>
      <c r="BE95" s="37"/>
      <c r="BF95" s="8">
        <f>10*Umrechnungsfaktoren!$B$15/Umrechnungsfaktoren!$B$12</f>
        <v>10.38</v>
      </c>
      <c r="BG95" s="8"/>
      <c r="BH95" s="37"/>
      <c r="BI95" s="37">
        <f>0.03*Tabelle58971115[[#This Row],[Investitionsausgaben €_2018/kW]]</f>
        <v>7.7850000000000001</v>
      </c>
      <c r="BJ95" s="33"/>
      <c r="BK95" s="48">
        <v>0.09</v>
      </c>
      <c r="BL95" s="1" t="s">
        <v>388</v>
      </c>
      <c r="BM95" s="1" t="s">
        <v>486</v>
      </c>
      <c r="BN95" s="1" t="s">
        <v>486</v>
      </c>
      <c r="BO95" s="1" t="s">
        <v>486</v>
      </c>
      <c r="BP95" s="1" t="s">
        <v>500</v>
      </c>
      <c r="BQ95" s="13" t="s">
        <v>477</v>
      </c>
      <c r="BR95" s="13" t="s">
        <v>477</v>
      </c>
      <c r="BS95" s="38"/>
      <c r="BT95" s="38"/>
      <c r="BU95" s="13" t="s">
        <v>476</v>
      </c>
      <c r="BV95" s="13" t="s">
        <v>476</v>
      </c>
      <c r="BW95" s="38"/>
      <c r="BX95" s="38"/>
      <c r="BY95" s="38"/>
      <c r="BZ95" s="13" t="s">
        <v>503</v>
      </c>
      <c r="CA95" s="38"/>
      <c r="CB95" s="1" t="s">
        <v>481</v>
      </c>
      <c r="CC95" s="1" t="s">
        <v>481</v>
      </c>
      <c r="CD95" s="1" t="s">
        <v>480</v>
      </c>
      <c r="CE95" s="1" t="s">
        <v>472</v>
      </c>
      <c r="CF95" s="1" t="s">
        <v>511</v>
      </c>
      <c r="CG95" s="1" t="s">
        <v>506</v>
      </c>
      <c r="CH95" s="1" t="s">
        <v>507</v>
      </c>
      <c r="CI95" s="1" t="s">
        <v>506</v>
      </c>
      <c r="CJ95" s="33"/>
      <c r="CK95" s="1" t="s">
        <v>506</v>
      </c>
      <c r="CL95" s="33"/>
      <c r="CM95" s="33"/>
    </row>
    <row r="96" spans="1:91" x14ac:dyDescent="0.2">
      <c r="A96" s="33" t="s">
        <v>394</v>
      </c>
      <c r="B96" s="33" t="s">
        <v>142</v>
      </c>
      <c r="C96" s="1" t="s">
        <v>501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34"/>
      <c r="P96" s="19"/>
      <c r="Q96" s="34"/>
      <c r="R96" s="34"/>
      <c r="S96" s="34">
        <v>5213</v>
      </c>
      <c r="T96" s="19"/>
      <c r="U96" s="34"/>
      <c r="V96" s="9"/>
      <c r="W96" s="36"/>
      <c r="X96" s="36">
        <v>0.8</v>
      </c>
      <c r="Y96" s="36">
        <v>1</v>
      </c>
      <c r="Z96" s="36"/>
      <c r="AA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6" s="36"/>
      <c r="AC96" s="35"/>
      <c r="AD96" s="34"/>
      <c r="AE96" s="36"/>
      <c r="AF96" s="34"/>
      <c r="AG96" s="9"/>
      <c r="AH96" s="9"/>
      <c r="AI96" s="9">
        <v>0.97</v>
      </c>
      <c r="AJ96" s="33"/>
      <c r="AK96" s="33"/>
      <c r="AL96" s="33"/>
      <c r="AM96" s="1">
        <v>1</v>
      </c>
      <c r="AO96" s="33"/>
      <c r="AP96" s="33"/>
      <c r="AQ96" s="1">
        <v>1</v>
      </c>
      <c r="AR96" s="33"/>
      <c r="AS96" s="33"/>
      <c r="AT96" s="1">
        <v>2</v>
      </c>
      <c r="AU96" s="1">
        <v>4</v>
      </c>
      <c r="AV96" s="1" t="s">
        <v>374</v>
      </c>
      <c r="AW96" s="1" t="s">
        <v>279</v>
      </c>
      <c r="AX96" s="1">
        <f t="shared" si="7"/>
        <v>4</v>
      </c>
      <c r="AY96" s="33"/>
      <c r="AZ96" s="1">
        <v>1095</v>
      </c>
      <c r="BB96" s="34"/>
      <c r="BC96" s="34"/>
      <c r="BD96" s="34">
        <f>250*Umrechnungsfaktoren!$B$15/Umrechnungsfaktoren!$B$12</f>
        <v>259.5</v>
      </c>
      <c r="BE96" s="37"/>
      <c r="BF96" s="8">
        <f>10*Umrechnungsfaktoren!$B$15/Umrechnungsfaktoren!$B$12</f>
        <v>10.38</v>
      </c>
      <c r="BG96" s="8"/>
      <c r="BH96" s="37"/>
      <c r="BI96" s="37">
        <f>0.03*Tabelle58971115[[#This Row],[Investitionsausgaben €_2018/kW]]</f>
        <v>7.7850000000000001</v>
      </c>
      <c r="BJ96" s="33"/>
      <c r="BK96" s="48">
        <v>0.09</v>
      </c>
      <c r="BL96" s="1" t="s">
        <v>388</v>
      </c>
      <c r="BM96" s="1" t="s">
        <v>486</v>
      </c>
      <c r="BN96" s="1" t="s">
        <v>486</v>
      </c>
      <c r="BO96" s="1" t="s">
        <v>486</v>
      </c>
      <c r="BP96" s="1" t="s">
        <v>500</v>
      </c>
      <c r="BQ96" s="13" t="s">
        <v>478</v>
      </c>
      <c r="BR96" s="13" t="s">
        <v>478</v>
      </c>
      <c r="BS96" s="38"/>
      <c r="BT96" s="38"/>
      <c r="BU96" s="13" t="s">
        <v>476</v>
      </c>
      <c r="BV96" s="13" t="s">
        <v>476</v>
      </c>
      <c r="BW96" s="38"/>
      <c r="BX96" s="33"/>
      <c r="BY96" s="38"/>
      <c r="BZ96" s="13" t="s">
        <v>503</v>
      </c>
      <c r="CA96" s="38"/>
      <c r="CB96" s="1" t="s">
        <v>481</v>
      </c>
      <c r="CC96" s="1" t="s">
        <v>481</v>
      </c>
      <c r="CD96" s="1" t="s">
        <v>480</v>
      </c>
      <c r="CE96" s="1" t="s">
        <v>472</v>
      </c>
      <c r="CF96" s="1" t="s">
        <v>511</v>
      </c>
      <c r="CG96" s="1" t="s">
        <v>506</v>
      </c>
      <c r="CH96" s="1" t="s">
        <v>507</v>
      </c>
      <c r="CI96" s="1" t="s">
        <v>506</v>
      </c>
      <c r="CJ96" s="33"/>
      <c r="CK96" s="1" t="s">
        <v>506</v>
      </c>
      <c r="CL96" s="33"/>
      <c r="CM96" s="33"/>
    </row>
    <row r="97" spans="1:91" x14ac:dyDescent="0.2">
      <c r="A97" s="33" t="s">
        <v>394</v>
      </c>
      <c r="B97" s="33" t="s">
        <v>142</v>
      </c>
      <c r="C97" s="1" t="s">
        <v>501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34"/>
      <c r="P97" s="19"/>
      <c r="Q97" s="34"/>
      <c r="R97" s="34"/>
      <c r="S97" s="34">
        <v>5612</v>
      </c>
      <c r="T97" s="19"/>
      <c r="U97" s="34"/>
      <c r="V97" s="9"/>
      <c r="W97" s="36"/>
      <c r="X97" s="36">
        <v>0.8</v>
      </c>
      <c r="Y97" s="36">
        <v>1</v>
      </c>
      <c r="Z97" s="36"/>
      <c r="AA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7" s="36"/>
      <c r="AC97" s="35"/>
      <c r="AD97" s="34"/>
      <c r="AE97" s="36"/>
      <c r="AF97" s="34"/>
      <c r="AG97" s="9"/>
      <c r="AH97" s="9"/>
      <c r="AI97" s="9">
        <v>0.97</v>
      </c>
      <c r="AJ97" s="33"/>
      <c r="AK97" s="33"/>
      <c r="AL97" s="33"/>
      <c r="AM97" s="1">
        <v>1</v>
      </c>
      <c r="AO97" s="33"/>
      <c r="AP97" s="33"/>
      <c r="AQ97" s="1">
        <v>1</v>
      </c>
      <c r="AR97" s="33"/>
      <c r="AS97" s="33"/>
      <c r="AT97" s="1">
        <v>2</v>
      </c>
      <c r="AU97" s="1">
        <v>4</v>
      </c>
      <c r="AV97" s="1" t="s">
        <v>374</v>
      </c>
      <c r="AW97" s="1" t="s">
        <v>279</v>
      </c>
      <c r="AX97" s="1">
        <f t="shared" si="7"/>
        <v>4</v>
      </c>
      <c r="AY97" s="33"/>
      <c r="AZ97" s="1">
        <v>1095</v>
      </c>
      <c r="BB97" s="34"/>
      <c r="BC97" s="34"/>
      <c r="BD97" s="34">
        <f>250*Umrechnungsfaktoren!$B$15/Umrechnungsfaktoren!$B$12</f>
        <v>259.5</v>
      </c>
      <c r="BE97" s="37"/>
      <c r="BF97" s="8">
        <f>10*Umrechnungsfaktoren!$B$15/Umrechnungsfaktoren!$B$12</f>
        <v>10.38</v>
      </c>
      <c r="BG97" s="8"/>
      <c r="BH97" s="37"/>
      <c r="BI97" s="37">
        <f>0.03*Tabelle58971115[[#This Row],[Investitionsausgaben €_2018/kW]]</f>
        <v>7.7850000000000001</v>
      </c>
      <c r="BJ97" s="33"/>
      <c r="BK97" s="48">
        <v>0.09</v>
      </c>
      <c r="BL97" s="1" t="s">
        <v>388</v>
      </c>
      <c r="BM97" s="1" t="s">
        <v>486</v>
      </c>
      <c r="BN97" s="1" t="s">
        <v>486</v>
      </c>
      <c r="BO97" s="1" t="s">
        <v>486</v>
      </c>
      <c r="BP97" s="1" t="s">
        <v>500</v>
      </c>
      <c r="BQ97" s="13" t="s">
        <v>479</v>
      </c>
      <c r="BR97" s="13" t="s">
        <v>479</v>
      </c>
      <c r="BS97" s="38"/>
      <c r="BT97" s="38"/>
      <c r="BU97" s="13" t="s">
        <v>476</v>
      </c>
      <c r="BV97" s="13" t="s">
        <v>476</v>
      </c>
      <c r="BW97" s="38"/>
      <c r="BX97" s="33"/>
      <c r="BY97" s="38"/>
      <c r="BZ97" s="13" t="s">
        <v>503</v>
      </c>
      <c r="CA97" s="38"/>
      <c r="CB97" s="1" t="s">
        <v>481</v>
      </c>
      <c r="CC97" s="1" t="s">
        <v>481</v>
      </c>
      <c r="CD97" s="1" t="s">
        <v>480</v>
      </c>
      <c r="CE97" s="1" t="s">
        <v>472</v>
      </c>
      <c r="CF97" s="1" t="s">
        <v>511</v>
      </c>
      <c r="CG97" s="1" t="s">
        <v>506</v>
      </c>
      <c r="CH97" s="1" t="s">
        <v>507</v>
      </c>
      <c r="CI97" s="1" t="s">
        <v>506</v>
      </c>
      <c r="CJ97" s="33"/>
      <c r="CK97" s="1" t="s">
        <v>506</v>
      </c>
      <c r="CL97" s="33"/>
      <c r="CM97" s="33"/>
    </row>
    <row r="98" spans="1:91" x14ac:dyDescent="0.2">
      <c r="A98" s="33" t="s">
        <v>132</v>
      </c>
      <c r="B98" s="33" t="s">
        <v>142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/>
      <c r="Q98" s="34"/>
      <c r="R98" s="34"/>
      <c r="S98" s="34">
        <v>24770</v>
      </c>
      <c r="T98" s="34"/>
      <c r="U98" s="34"/>
      <c r="V98" s="9"/>
      <c r="W98" s="36"/>
      <c r="X98" s="36"/>
      <c r="Y98" s="36"/>
      <c r="Z98" s="36"/>
      <c r="AA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8" s="36"/>
      <c r="AC98" s="35"/>
      <c r="AD98" s="34"/>
      <c r="AE98" s="36"/>
      <c r="AF98" s="34"/>
      <c r="AG98" s="47"/>
      <c r="AH98" s="47"/>
      <c r="AI98" s="36">
        <v>1</v>
      </c>
      <c r="AJ98" s="33"/>
      <c r="AK98" s="33">
        <v>1</v>
      </c>
      <c r="AL98" s="33"/>
      <c r="AM98" s="33">
        <v>12</v>
      </c>
      <c r="AN98" s="33"/>
      <c r="AO98" s="33">
        <v>1</v>
      </c>
      <c r="AP98" s="33"/>
      <c r="AQ98" s="33">
        <v>12</v>
      </c>
      <c r="AR98" s="33">
        <v>4</v>
      </c>
      <c r="AS98" s="33">
        <v>12</v>
      </c>
      <c r="AT98" s="33">
        <v>6</v>
      </c>
      <c r="AU98" s="33">
        <v>0</v>
      </c>
      <c r="AV98" s="1" t="s">
        <v>374</v>
      </c>
      <c r="AW98" s="1" t="s">
        <v>279</v>
      </c>
      <c r="AY98" s="33"/>
      <c r="AZ98" s="1">
        <v>1095</v>
      </c>
      <c r="BB98" s="34"/>
      <c r="BC98" s="34"/>
      <c r="BD98" s="34">
        <f>30*Umrechnungsfaktoren!$B$15/Umrechnungsfaktoren!$B$12</f>
        <v>31.14</v>
      </c>
      <c r="BE98" s="37"/>
      <c r="BF98" s="37">
        <f>0.05*10^3*Umrechnungsfaktoren!$B$15/Umrechnungsfaktoren!$B$12</f>
        <v>51.9</v>
      </c>
      <c r="BG98" s="37"/>
      <c r="BH98" s="37"/>
      <c r="BI98" s="37">
        <f>0.03*Tabelle58971115[[#This Row],[variable Kosten €_2018/MWh]]</f>
        <v>1.5569999999999999</v>
      </c>
      <c r="BJ98" s="33"/>
      <c r="BK98" s="48">
        <v>0.01</v>
      </c>
      <c r="BL98" s="1" t="s">
        <v>390</v>
      </c>
      <c r="BM98" s="1" t="s">
        <v>486</v>
      </c>
      <c r="BN98" s="1" t="s">
        <v>486</v>
      </c>
      <c r="BO98" s="1" t="s">
        <v>486</v>
      </c>
      <c r="BP98" s="1" t="s">
        <v>500</v>
      </c>
      <c r="BQ98" s="13" t="s">
        <v>483</v>
      </c>
      <c r="BR98" s="13" t="s">
        <v>484</v>
      </c>
      <c r="BS98" s="38"/>
      <c r="BT98" s="38"/>
      <c r="BU98" s="13" t="s">
        <v>476</v>
      </c>
      <c r="BV98" s="13" t="s">
        <v>476</v>
      </c>
      <c r="BW98" s="38"/>
      <c r="BX98" s="33"/>
      <c r="BY98" s="38"/>
      <c r="BZ98" s="13" t="s">
        <v>503</v>
      </c>
      <c r="CA98" s="38"/>
      <c r="CB98" s="1" t="s">
        <v>472</v>
      </c>
      <c r="CC98" s="1" t="s">
        <v>472</v>
      </c>
      <c r="CD98" s="33" t="s">
        <v>480</v>
      </c>
      <c r="CE98" s="1" t="s">
        <v>472</v>
      </c>
      <c r="CF98" s="1" t="s">
        <v>510</v>
      </c>
      <c r="CG98" s="1" t="s">
        <v>506</v>
      </c>
      <c r="CH98" s="1" t="s">
        <v>507</v>
      </c>
      <c r="CI98" s="1" t="s">
        <v>506</v>
      </c>
      <c r="CJ98" s="33"/>
      <c r="CK98" s="1" t="s">
        <v>506</v>
      </c>
      <c r="CL98" s="33"/>
      <c r="CM98" s="33"/>
    </row>
    <row r="99" spans="1:91" x14ac:dyDescent="0.2">
      <c r="A99" s="33" t="s">
        <v>132</v>
      </c>
      <c r="B99" s="33" t="s">
        <v>142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/>
      <c r="Q99" s="34"/>
      <c r="R99" s="34"/>
      <c r="S99" s="34">
        <v>1533</v>
      </c>
      <c r="T99" s="34"/>
      <c r="U99" s="34"/>
      <c r="V99" s="9"/>
      <c r="W99" s="36"/>
      <c r="X99" s="36">
        <v>0.13</v>
      </c>
      <c r="Y99" s="36">
        <v>0.08</v>
      </c>
      <c r="Z99" s="36"/>
      <c r="AA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99" s="36"/>
      <c r="AC99" s="35"/>
      <c r="AD99" s="34"/>
      <c r="AE99" s="36"/>
      <c r="AF99" s="34"/>
      <c r="AG99" s="47"/>
      <c r="AH99" s="47"/>
      <c r="AI99" s="36">
        <v>1</v>
      </c>
      <c r="AJ99" s="33"/>
      <c r="AK99" s="33"/>
      <c r="AL99" s="33"/>
      <c r="AM99" s="33">
        <v>12</v>
      </c>
      <c r="AN99" s="33"/>
      <c r="AO99" s="33"/>
      <c r="AP99" s="33"/>
      <c r="AQ99" s="33">
        <v>12</v>
      </c>
      <c r="AR99" s="33">
        <v>4</v>
      </c>
      <c r="AS99" s="33">
        <v>12</v>
      </c>
      <c r="AT99" s="33">
        <v>6</v>
      </c>
      <c r="AU99" s="33">
        <v>0</v>
      </c>
      <c r="AV99" s="1" t="s">
        <v>374</v>
      </c>
      <c r="AW99" s="1" t="s">
        <v>279</v>
      </c>
      <c r="AY99" s="33"/>
      <c r="AZ99" s="1">
        <v>1095</v>
      </c>
      <c r="BB99" s="34"/>
      <c r="BC99" s="34"/>
      <c r="BD99" s="34">
        <f>30*Umrechnungsfaktoren!$B$15/Umrechnungsfaktoren!$B$12</f>
        <v>31.14</v>
      </c>
      <c r="BE99" s="37"/>
      <c r="BF99" s="37">
        <f>0.05*10^3*Umrechnungsfaktoren!$B$15/Umrechnungsfaktoren!$B$12</f>
        <v>51.9</v>
      </c>
      <c r="BG99" s="37"/>
      <c r="BH99" s="37"/>
      <c r="BI99" s="37">
        <f>0.03*Tabelle58971115[[#This Row],[variable Kosten €_2018/MWh]]</f>
        <v>1.5569999999999999</v>
      </c>
      <c r="BJ99" s="33"/>
      <c r="BK99" s="48">
        <v>0.01</v>
      </c>
      <c r="BL99" s="1" t="s">
        <v>390</v>
      </c>
      <c r="BM99" s="1" t="s">
        <v>486</v>
      </c>
      <c r="BN99" s="1" t="s">
        <v>486</v>
      </c>
      <c r="BO99" s="1" t="s">
        <v>486</v>
      </c>
      <c r="BP99" s="1" t="s">
        <v>500</v>
      </c>
      <c r="BQ99" s="13" t="s">
        <v>477</v>
      </c>
      <c r="BR99" s="13" t="s">
        <v>477</v>
      </c>
      <c r="BS99" s="38"/>
      <c r="BT99" s="38"/>
      <c r="BU99" s="13" t="s">
        <v>476</v>
      </c>
      <c r="BV99" s="13" t="s">
        <v>476</v>
      </c>
      <c r="BW99" s="38"/>
      <c r="BX99" s="33"/>
      <c r="BY99" s="38"/>
      <c r="BZ99" s="13" t="s">
        <v>503</v>
      </c>
      <c r="CA99" s="38"/>
      <c r="CB99" s="1" t="s">
        <v>472</v>
      </c>
      <c r="CC99" s="1" t="s">
        <v>472</v>
      </c>
      <c r="CD99" s="33" t="s">
        <v>480</v>
      </c>
      <c r="CE99" s="1" t="s">
        <v>472</v>
      </c>
      <c r="CF99" s="1" t="s">
        <v>510</v>
      </c>
      <c r="CG99" s="1" t="s">
        <v>506</v>
      </c>
      <c r="CH99" s="1" t="s">
        <v>507</v>
      </c>
      <c r="CI99" s="1" t="s">
        <v>506</v>
      </c>
      <c r="CJ99" s="33"/>
      <c r="CK99" s="1" t="s">
        <v>506</v>
      </c>
      <c r="CL99" s="33"/>
      <c r="CM99" s="33"/>
    </row>
    <row r="100" spans="1:91" x14ac:dyDescent="0.2">
      <c r="A100" s="33" t="s">
        <v>132</v>
      </c>
      <c r="B100" s="33" t="s">
        <v>142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34"/>
      <c r="P100" s="19"/>
      <c r="Q100" s="34"/>
      <c r="R100" s="34"/>
      <c r="S100" s="34">
        <v>1456</v>
      </c>
      <c r="T100" s="19"/>
      <c r="U100" s="34"/>
      <c r="V100" s="9"/>
      <c r="W100" s="36"/>
      <c r="X100" s="36">
        <v>0.15</v>
      </c>
      <c r="Y100" s="36">
        <v>0.1</v>
      </c>
      <c r="Z100" s="36"/>
      <c r="AA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0" s="36"/>
      <c r="AC100" s="35"/>
      <c r="AD100" s="34"/>
      <c r="AE100" s="36"/>
      <c r="AF100" s="34"/>
      <c r="AG100" s="47"/>
      <c r="AH100" s="47"/>
      <c r="AI100" s="36">
        <v>1</v>
      </c>
      <c r="AJ100" s="33"/>
      <c r="AK100" s="33"/>
      <c r="AL100" s="33"/>
      <c r="AM100" s="33">
        <v>12</v>
      </c>
      <c r="AN100" s="33"/>
      <c r="AO100" s="33"/>
      <c r="AP100" s="33"/>
      <c r="AQ100" s="33">
        <v>12</v>
      </c>
      <c r="AR100" s="33">
        <v>4</v>
      </c>
      <c r="AS100" s="33">
        <v>12</v>
      </c>
      <c r="AT100" s="33">
        <v>6</v>
      </c>
      <c r="AU100" s="33">
        <v>0</v>
      </c>
      <c r="AV100" s="1" t="s">
        <v>374</v>
      </c>
      <c r="AW100" s="1" t="s">
        <v>279</v>
      </c>
      <c r="AY100" s="33"/>
      <c r="AZ100" s="1">
        <v>1095</v>
      </c>
      <c r="BB100" s="34"/>
      <c r="BC100" s="34"/>
      <c r="BD100" s="34">
        <f>30*Umrechnungsfaktoren!$B$15/Umrechnungsfaktoren!$B$12</f>
        <v>31.14</v>
      </c>
      <c r="BE100" s="37"/>
      <c r="BF100" s="37">
        <f>0.05*10^3*Umrechnungsfaktoren!$B$15/Umrechnungsfaktoren!$B$12</f>
        <v>51.9</v>
      </c>
      <c r="BG100" s="37"/>
      <c r="BH100" s="37"/>
      <c r="BI100" s="37">
        <f>0.03*Tabelle58971115[[#This Row],[variable Kosten €_2018/MWh]]</f>
        <v>1.5569999999999999</v>
      </c>
      <c r="BJ100" s="33"/>
      <c r="BK100" s="48">
        <v>0.01</v>
      </c>
      <c r="BL100" s="1" t="s">
        <v>390</v>
      </c>
      <c r="BM100" s="1" t="s">
        <v>486</v>
      </c>
      <c r="BN100" s="1" t="s">
        <v>486</v>
      </c>
      <c r="BO100" s="1" t="s">
        <v>486</v>
      </c>
      <c r="BP100" s="1" t="s">
        <v>500</v>
      </c>
      <c r="BQ100" s="13" t="s">
        <v>478</v>
      </c>
      <c r="BR100" s="13" t="s">
        <v>478</v>
      </c>
      <c r="BS100" s="38"/>
      <c r="BT100" s="38"/>
      <c r="BU100" s="13" t="s">
        <v>476</v>
      </c>
      <c r="BV100" s="13" t="s">
        <v>476</v>
      </c>
      <c r="BW100" s="38"/>
      <c r="BX100" s="33"/>
      <c r="BY100" s="38"/>
      <c r="BZ100" s="13" t="s">
        <v>503</v>
      </c>
      <c r="CA100" s="38"/>
      <c r="CB100" s="1" t="s">
        <v>472</v>
      </c>
      <c r="CC100" s="1" t="s">
        <v>472</v>
      </c>
      <c r="CD100" s="33" t="s">
        <v>480</v>
      </c>
      <c r="CE100" s="1" t="s">
        <v>472</v>
      </c>
      <c r="CF100" s="1" t="s">
        <v>510</v>
      </c>
      <c r="CG100" s="1" t="s">
        <v>506</v>
      </c>
      <c r="CH100" s="1" t="s">
        <v>507</v>
      </c>
      <c r="CI100" s="1" t="s">
        <v>506</v>
      </c>
      <c r="CJ100" s="33"/>
      <c r="CK100" s="1" t="s">
        <v>506</v>
      </c>
      <c r="CL100" s="33"/>
      <c r="CM100" s="33"/>
    </row>
    <row r="101" spans="1:91" x14ac:dyDescent="0.2">
      <c r="A101" s="33" t="s">
        <v>132</v>
      </c>
      <c r="B101" s="33" t="s">
        <v>142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34"/>
      <c r="P101" s="19"/>
      <c r="Q101" s="34"/>
      <c r="R101" s="34"/>
      <c r="S101" s="34">
        <v>1674</v>
      </c>
      <c r="T101" s="19"/>
      <c r="U101" s="34"/>
      <c r="V101" s="9"/>
      <c r="W101" s="36"/>
      <c r="X101" s="36">
        <v>0.2</v>
      </c>
      <c r="Y101" s="36">
        <v>0.15</v>
      </c>
      <c r="Z101" s="36"/>
      <c r="AA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1" s="36"/>
      <c r="AC101" s="35"/>
      <c r="AD101" s="34"/>
      <c r="AE101" s="36"/>
      <c r="AF101" s="34"/>
      <c r="AG101" s="47"/>
      <c r="AH101" s="47"/>
      <c r="AI101" s="36">
        <v>1</v>
      </c>
      <c r="AJ101" s="33"/>
      <c r="AK101" s="33"/>
      <c r="AL101" s="33"/>
      <c r="AM101" s="33">
        <v>12</v>
      </c>
      <c r="AN101" s="33"/>
      <c r="AO101" s="33"/>
      <c r="AP101" s="33"/>
      <c r="AQ101" s="33">
        <v>12</v>
      </c>
      <c r="AR101" s="33">
        <v>4</v>
      </c>
      <c r="AS101" s="33">
        <v>12</v>
      </c>
      <c r="AT101" s="33">
        <v>6</v>
      </c>
      <c r="AU101" s="33">
        <v>0</v>
      </c>
      <c r="AV101" s="1" t="s">
        <v>374</v>
      </c>
      <c r="AW101" s="1" t="s">
        <v>279</v>
      </c>
      <c r="AY101" s="33"/>
      <c r="AZ101" s="1">
        <v>1095</v>
      </c>
      <c r="BB101" s="34"/>
      <c r="BC101" s="34"/>
      <c r="BD101" s="34">
        <f>30*Umrechnungsfaktoren!$B$15/Umrechnungsfaktoren!$B$12</f>
        <v>31.14</v>
      </c>
      <c r="BE101" s="37"/>
      <c r="BF101" s="37">
        <f>0.05*10^3*Umrechnungsfaktoren!$B$15/Umrechnungsfaktoren!$B$12</f>
        <v>51.9</v>
      </c>
      <c r="BG101" s="37"/>
      <c r="BH101" s="37"/>
      <c r="BI101" s="37">
        <f>0.03*Tabelle58971115[[#This Row],[variable Kosten €_2018/MWh]]</f>
        <v>1.5569999999999999</v>
      </c>
      <c r="BJ101" s="33"/>
      <c r="BK101" s="48">
        <v>0.01</v>
      </c>
      <c r="BL101" s="1" t="s">
        <v>390</v>
      </c>
      <c r="BM101" s="1" t="s">
        <v>486</v>
      </c>
      <c r="BN101" s="1" t="s">
        <v>486</v>
      </c>
      <c r="BO101" s="1" t="s">
        <v>486</v>
      </c>
      <c r="BP101" s="1" t="s">
        <v>500</v>
      </c>
      <c r="BQ101" s="13" t="s">
        <v>479</v>
      </c>
      <c r="BR101" s="13" t="s">
        <v>479</v>
      </c>
      <c r="BS101" s="38"/>
      <c r="BT101" s="38"/>
      <c r="BU101" s="13" t="s">
        <v>476</v>
      </c>
      <c r="BV101" s="13" t="s">
        <v>476</v>
      </c>
      <c r="BW101" s="38"/>
      <c r="BX101" s="33"/>
      <c r="BY101" s="38"/>
      <c r="BZ101" s="13" t="s">
        <v>503</v>
      </c>
      <c r="CA101" s="38"/>
      <c r="CB101" s="1" t="s">
        <v>472</v>
      </c>
      <c r="CC101" s="1" t="s">
        <v>472</v>
      </c>
      <c r="CD101" s="33" t="s">
        <v>480</v>
      </c>
      <c r="CE101" s="1" t="s">
        <v>472</v>
      </c>
      <c r="CF101" s="1" t="s">
        <v>510</v>
      </c>
      <c r="CG101" s="1" t="s">
        <v>506</v>
      </c>
      <c r="CH101" s="1" t="s">
        <v>507</v>
      </c>
      <c r="CI101" s="1" t="s">
        <v>506</v>
      </c>
      <c r="CJ101" s="33"/>
      <c r="CK101" s="1" t="s">
        <v>506</v>
      </c>
      <c r="CL101" s="33"/>
      <c r="CM101" s="33"/>
    </row>
    <row r="102" spans="1:91" x14ac:dyDescent="0.2">
      <c r="A102" s="33" t="s">
        <v>133</v>
      </c>
      <c r="B102" s="33" t="s">
        <v>142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/>
      <c r="Q102" s="34"/>
      <c r="R102" s="34"/>
      <c r="S102" s="34">
        <v>22743</v>
      </c>
      <c r="T102" s="34"/>
      <c r="U102" s="34"/>
      <c r="V102" s="9"/>
      <c r="W102" s="36"/>
      <c r="X102" s="36"/>
      <c r="Y102" s="36"/>
      <c r="Z102" s="36"/>
      <c r="AA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2" s="36"/>
      <c r="AC102" s="35"/>
      <c r="AD102" s="34"/>
      <c r="AE102" s="36"/>
      <c r="AF102" s="34"/>
      <c r="AG102" s="47"/>
      <c r="AH102" s="47"/>
      <c r="AI102" s="36">
        <v>1</v>
      </c>
      <c r="AJ102" s="33"/>
      <c r="AK102" s="33"/>
      <c r="AL102" s="33"/>
      <c r="AM102" s="33">
        <v>12</v>
      </c>
      <c r="AN102" s="33"/>
      <c r="AO102" s="33"/>
      <c r="AP102" s="33"/>
      <c r="AQ102" s="33">
        <v>12</v>
      </c>
      <c r="AR102" s="33">
        <v>4</v>
      </c>
      <c r="AS102" s="33">
        <v>12</v>
      </c>
      <c r="AT102" s="33">
        <v>6</v>
      </c>
      <c r="AU102" s="33">
        <v>0</v>
      </c>
      <c r="AV102" s="1" t="s">
        <v>374</v>
      </c>
      <c r="AW102" s="1" t="s">
        <v>279</v>
      </c>
      <c r="AY102" s="33"/>
      <c r="AZ102" s="1">
        <v>1095</v>
      </c>
      <c r="BB102" s="34"/>
      <c r="BC102" s="34"/>
      <c r="BD102" s="34">
        <f>30*Umrechnungsfaktoren!$B$15/Umrechnungsfaktoren!$B$12</f>
        <v>31.14</v>
      </c>
      <c r="BE102" s="37"/>
      <c r="BF102" s="37">
        <f>0.05*10^3*Umrechnungsfaktoren!$B$15/Umrechnungsfaktoren!$B$12</f>
        <v>51.9</v>
      </c>
      <c r="BG102" s="37"/>
      <c r="BH102" s="37"/>
      <c r="BI102" s="37">
        <f>0.03*Tabelle58971115[[#This Row],[variable Kosten €_2018/MWh]]</f>
        <v>1.5569999999999999</v>
      </c>
      <c r="BJ102" s="33"/>
      <c r="BK102" s="48">
        <v>0.01</v>
      </c>
      <c r="BL102" s="1" t="s">
        <v>390</v>
      </c>
      <c r="BM102" s="1" t="s">
        <v>486</v>
      </c>
      <c r="BN102" s="1" t="s">
        <v>486</v>
      </c>
      <c r="BO102" s="1" t="s">
        <v>486</v>
      </c>
      <c r="BP102" s="1" t="s">
        <v>500</v>
      </c>
      <c r="BQ102" s="13" t="s">
        <v>483</v>
      </c>
      <c r="BR102" s="13" t="s">
        <v>484</v>
      </c>
      <c r="BS102" s="38"/>
      <c r="BT102" s="38"/>
      <c r="BU102" s="13" t="s">
        <v>476</v>
      </c>
      <c r="BV102" s="13" t="s">
        <v>476</v>
      </c>
      <c r="BW102" s="38"/>
      <c r="BX102" s="33"/>
      <c r="BY102" s="38"/>
      <c r="BZ102" s="13" t="s">
        <v>503</v>
      </c>
      <c r="CA102" s="38"/>
      <c r="CB102" s="1" t="s">
        <v>472</v>
      </c>
      <c r="CC102" s="1" t="s">
        <v>472</v>
      </c>
      <c r="CD102" s="33" t="s">
        <v>480</v>
      </c>
      <c r="CE102" s="1" t="s">
        <v>472</v>
      </c>
      <c r="CF102" s="1" t="s">
        <v>510</v>
      </c>
      <c r="CG102" s="1" t="s">
        <v>506</v>
      </c>
      <c r="CH102" s="1" t="s">
        <v>507</v>
      </c>
      <c r="CI102" s="1" t="s">
        <v>506</v>
      </c>
      <c r="CJ102" s="33"/>
      <c r="CK102" s="1" t="s">
        <v>506</v>
      </c>
      <c r="CL102" s="33"/>
      <c r="CM102" s="33"/>
    </row>
    <row r="103" spans="1:91" x14ac:dyDescent="0.2">
      <c r="A103" s="33" t="s">
        <v>133</v>
      </c>
      <c r="B103" s="33" t="s">
        <v>142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/>
      <c r="Q103" s="34"/>
      <c r="R103" s="34"/>
      <c r="S103" s="34">
        <v>1658</v>
      </c>
      <c r="T103" s="34"/>
      <c r="U103" s="34"/>
      <c r="V103" s="9"/>
      <c r="W103" s="36"/>
      <c r="X103" s="36">
        <v>0.25</v>
      </c>
      <c r="Y103" s="36">
        <v>0.08</v>
      </c>
      <c r="Z103" s="36"/>
      <c r="AA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3" s="36"/>
      <c r="AC103" s="35"/>
      <c r="AD103" s="34"/>
      <c r="AE103" s="36"/>
      <c r="AF103" s="34"/>
      <c r="AG103" s="47"/>
      <c r="AH103" s="47"/>
      <c r="AI103" s="36">
        <v>1</v>
      </c>
      <c r="AJ103" s="33"/>
      <c r="AK103" s="33"/>
      <c r="AL103" s="33"/>
      <c r="AM103" s="33">
        <v>12</v>
      </c>
      <c r="AN103" s="33"/>
      <c r="AO103" s="33"/>
      <c r="AP103" s="33"/>
      <c r="AQ103" s="33">
        <v>12</v>
      </c>
      <c r="AR103" s="33">
        <v>4</v>
      </c>
      <c r="AS103" s="33">
        <v>12</v>
      </c>
      <c r="AT103" s="33">
        <v>6</v>
      </c>
      <c r="AU103" s="33">
        <v>0</v>
      </c>
      <c r="AV103" s="1" t="s">
        <v>374</v>
      </c>
      <c r="AW103" s="1" t="s">
        <v>279</v>
      </c>
      <c r="AY103" s="33"/>
      <c r="AZ103" s="1">
        <v>1095</v>
      </c>
      <c r="BB103" s="34"/>
      <c r="BC103" s="34"/>
      <c r="BD103" s="34">
        <f>30*Umrechnungsfaktoren!$B$15/Umrechnungsfaktoren!$B$12</f>
        <v>31.14</v>
      </c>
      <c r="BE103" s="37"/>
      <c r="BF103" s="37">
        <f>0.05*10^3*Umrechnungsfaktoren!$B$15/Umrechnungsfaktoren!$B$12</f>
        <v>51.9</v>
      </c>
      <c r="BG103" s="37"/>
      <c r="BH103" s="37"/>
      <c r="BI103" s="37">
        <f>0.03*Tabelle58971115[[#This Row],[variable Kosten €_2018/MWh]]</f>
        <v>1.5569999999999999</v>
      </c>
      <c r="BJ103" s="33"/>
      <c r="BK103" s="48">
        <v>0.01</v>
      </c>
      <c r="BL103" s="1" t="s">
        <v>390</v>
      </c>
      <c r="BM103" s="1" t="s">
        <v>486</v>
      </c>
      <c r="BN103" s="1" t="s">
        <v>486</v>
      </c>
      <c r="BO103" s="1" t="s">
        <v>486</v>
      </c>
      <c r="BP103" s="1" t="s">
        <v>500</v>
      </c>
      <c r="BQ103" s="13" t="s">
        <v>477</v>
      </c>
      <c r="BR103" s="13" t="s">
        <v>477</v>
      </c>
      <c r="BS103" s="38"/>
      <c r="BT103" s="38"/>
      <c r="BU103" s="13" t="s">
        <v>476</v>
      </c>
      <c r="BV103" s="13" t="s">
        <v>476</v>
      </c>
      <c r="BW103" s="38"/>
      <c r="BX103" s="33"/>
      <c r="BY103" s="38"/>
      <c r="BZ103" s="13" t="s">
        <v>503</v>
      </c>
      <c r="CA103" s="38"/>
      <c r="CB103" s="1" t="s">
        <v>472</v>
      </c>
      <c r="CC103" s="1" t="s">
        <v>472</v>
      </c>
      <c r="CD103" s="33" t="s">
        <v>480</v>
      </c>
      <c r="CE103" s="1" t="s">
        <v>472</v>
      </c>
      <c r="CF103" s="1" t="s">
        <v>510</v>
      </c>
      <c r="CG103" s="1" t="s">
        <v>506</v>
      </c>
      <c r="CH103" s="1" t="s">
        <v>507</v>
      </c>
      <c r="CI103" s="1" t="s">
        <v>506</v>
      </c>
      <c r="CJ103" s="33"/>
      <c r="CK103" s="1" t="s">
        <v>506</v>
      </c>
      <c r="CL103" s="33"/>
      <c r="CM103" s="33"/>
    </row>
    <row r="104" spans="1:91" x14ac:dyDescent="0.2">
      <c r="A104" s="33" t="s">
        <v>133</v>
      </c>
      <c r="B104" s="33" t="s">
        <v>142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34"/>
      <c r="P104" s="19"/>
      <c r="Q104" s="34"/>
      <c r="R104" s="34"/>
      <c r="S104" s="34">
        <v>1880</v>
      </c>
      <c r="T104" s="19"/>
      <c r="U104" s="34"/>
      <c r="V104" s="9"/>
      <c r="W104" s="36"/>
      <c r="X104" s="36">
        <v>0.3</v>
      </c>
      <c r="Y104" s="36">
        <v>0.1</v>
      </c>
      <c r="Z104" s="36"/>
      <c r="AA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4" s="36"/>
      <c r="AC104" s="35"/>
      <c r="AD104" s="34"/>
      <c r="AE104" s="36"/>
      <c r="AF104" s="34"/>
      <c r="AG104" s="47"/>
      <c r="AH104" s="47"/>
      <c r="AI104" s="36">
        <v>1</v>
      </c>
      <c r="AJ104" s="33"/>
      <c r="AK104" s="33"/>
      <c r="AL104" s="33"/>
      <c r="AM104" s="33">
        <v>12</v>
      </c>
      <c r="AN104" s="33"/>
      <c r="AO104" s="33"/>
      <c r="AP104" s="33"/>
      <c r="AQ104" s="33">
        <v>12</v>
      </c>
      <c r="AR104" s="33">
        <v>4</v>
      </c>
      <c r="AS104" s="33">
        <v>12</v>
      </c>
      <c r="AT104" s="33">
        <v>6</v>
      </c>
      <c r="AU104" s="33">
        <v>0</v>
      </c>
      <c r="AV104" s="1" t="s">
        <v>374</v>
      </c>
      <c r="AW104" s="1" t="s">
        <v>279</v>
      </c>
      <c r="AY104" s="33"/>
      <c r="AZ104" s="1">
        <v>1095</v>
      </c>
      <c r="BB104" s="34"/>
      <c r="BC104" s="34"/>
      <c r="BD104" s="34">
        <f>30*Umrechnungsfaktoren!$B$15/Umrechnungsfaktoren!$B$12</f>
        <v>31.14</v>
      </c>
      <c r="BE104" s="37"/>
      <c r="BF104" s="37">
        <f>0.05*10^3*Umrechnungsfaktoren!$B$15/Umrechnungsfaktoren!$B$12</f>
        <v>51.9</v>
      </c>
      <c r="BG104" s="37"/>
      <c r="BH104" s="37"/>
      <c r="BI104" s="37">
        <f>0.03*Tabelle58971115[[#This Row],[variable Kosten €_2018/MWh]]</f>
        <v>1.5569999999999999</v>
      </c>
      <c r="BJ104" s="33"/>
      <c r="BK104" s="48">
        <v>0.01</v>
      </c>
      <c r="BL104" s="1" t="s">
        <v>390</v>
      </c>
      <c r="BM104" s="1" t="s">
        <v>486</v>
      </c>
      <c r="BN104" s="1" t="s">
        <v>486</v>
      </c>
      <c r="BO104" s="1" t="s">
        <v>486</v>
      </c>
      <c r="BP104" s="1" t="s">
        <v>500</v>
      </c>
      <c r="BQ104" s="13" t="s">
        <v>478</v>
      </c>
      <c r="BR104" s="13" t="s">
        <v>478</v>
      </c>
      <c r="BS104" s="38"/>
      <c r="BT104" s="38"/>
      <c r="BU104" s="13" t="s">
        <v>476</v>
      </c>
      <c r="BV104" s="13" t="s">
        <v>476</v>
      </c>
      <c r="BW104" s="38"/>
      <c r="BX104" s="33"/>
      <c r="BY104" s="38"/>
      <c r="BZ104" s="13" t="s">
        <v>503</v>
      </c>
      <c r="CA104" s="38"/>
      <c r="CB104" s="1" t="s">
        <v>472</v>
      </c>
      <c r="CC104" s="1" t="s">
        <v>472</v>
      </c>
      <c r="CD104" s="33" t="s">
        <v>480</v>
      </c>
      <c r="CE104" s="1" t="s">
        <v>472</v>
      </c>
      <c r="CF104" s="1" t="s">
        <v>510</v>
      </c>
      <c r="CG104" s="1" t="s">
        <v>506</v>
      </c>
      <c r="CH104" s="1" t="s">
        <v>507</v>
      </c>
      <c r="CI104" s="1" t="s">
        <v>506</v>
      </c>
      <c r="CJ104" s="33"/>
      <c r="CK104" s="1" t="s">
        <v>506</v>
      </c>
      <c r="CL104" s="33"/>
      <c r="CM104" s="33"/>
    </row>
    <row r="105" spans="1:91" x14ac:dyDescent="0.2">
      <c r="A105" s="33" t="s">
        <v>133</v>
      </c>
      <c r="B105" s="33" t="s">
        <v>142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34"/>
      <c r="P105" s="19"/>
      <c r="Q105" s="34"/>
      <c r="R105" s="34"/>
      <c r="S105" s="34">
        <v>2034</v>
      </c>
      <c r="T105" s="19"/>
      <c r="U105" s="34"/>
      <c r="V105" s="9"/>
      <c r="W105" s="36"/>
      <c r="X105" s="36">
        <v>0.4</v>
      </c>
      <c r="Y105" s="36">
        <v>0.15</v>
      </c>
      <c r="Z105" s="36"/>
      <c r="AA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5" s="36"/>
      <c r="AC105" s="35"/>
      <c r="AD105" s="34"/>
      <c r="AE105" s="36"/>
      <c r="AF105" s="34"/>
      <c r="AG105" s="47"/>
      <c r="AH105" s="47"/>
      <c r="AI105" s="36">
        <v>1</v>
      </c>
      <c r="AJ105" s="33"/>
      <c r="AK105" s="33"/>
      <c r="AL105" s="33"/>
      <c r="AM105" s="33">
        <v>12</v>
      </c>
      <c r="AN105" s="33"/>
      <c r="AO105" s="33"/>
      <c r="AP105" s="33"/>
      <c r="AQ105" s="33">
        <v>12</v>
      </c>
      <c r="AR105" s="33">
        <v>4</v>
      </c>
      <c r="AS105" s="33">
        <v>12</v>
      </c>
      <c r="AT105" s="33">
        <v>6</v>
      </c>
      <c r="AU105" s="33">
        <v>0</v>
      </c>
      <c r="AV105" s="1" t="s">
        <v>374</v>
      </c>
      <c r="AW105" s="1" t="s">
        <v>279</v>
      </c>
      <c r="AY105" s="33"/>
      <c r="AZ105" s="1">
        <v>1095</v>
      </c>
      <c r="BB105" s="34"/>
      <c r="BC105" s="34"/>
      <c r="BD105" s="34">
        <f>30*Umrechnungsfaktoren!$B$15/Umrechnungsfaktoren!$B$12</f>
        <v>31.14</v>
      </c>
      <c r="BE105" s="37"/>
      <c r="BF105" s="37">
        <f>0.05*10^3*Umrechnungsfaktoren!$B$15/Umrechnungsfaktoren!$B$12</f>
        <v>51.9</v>
      </c>
      <c r="BG105" s="37"/>
      <c r="BH105" s="37"/>
      <c r="BI105" s="37">
        <f>0.03*Tabelle58971115[[#This Row],[variable Kosten €_2018/MWh]]</f>
        <v>1.5569999999999999</v>
      </c>
      <c r="BJ105" s="33"/>
      <c r="BK105" s="48">
        <v>0.01</v>
      </c>
      <c r="BL105" s="1" t="s">
        <v>390</v>
      </c>
      <c r="BM105" s="1" t="s">
        <v>486</v>
      </c>
      <c r="BN105" s="1" t="s">
        <v>486</v>
      </c>
      <c r="BO105" s="1" t="s">
        <v>486</v>
      </c>
      <c r="BP105" s="1" t="s">
        <v>500</v>
      </c>
      <c r="BQ105" s="13" t="s">
        <v>479</v>
      </c>
      <c r="BR105" s="13" t="s">
        <v>479</v>
      </c>
      <c r="BS105" s="38"/>
      <c r="BT105" s="38"/>
      <c r="BU105" s="13" t="s">
        <v>476</v>
      </c>
      <c r="BV105" s="13" t="s">
        <v>476</v>
      </c>
      <c r="BW105" s="38"/>
      <c r="BX105" s="33"/>
      <c r="BY105" s="38"/>
      <c r="BZ105" s="13" t="s">
        <v>503</v>
      </c>
      <c r="CA105" s="38"/>
      <c r="CB105" s="1" t="s">
        <v>472</v>
      </c>
      <c r="CC105" s="1" t="s">
        <v>472</v>
      </c>
      <c r="CD105" s="33" t="s">
        <v>480</v>
      </c>
      <c r="CE105" s="1" t="s">
        <v>472</v>
      </c>
      <c r="CF105" s="1" t="s">
        <v>510</v>
      </c>
      <c r="CG105" s="1" t="s">
        <v>506</v>
      </c>
      <c r="CH105" s="1" t="s">
        <v>507</v>
      </c>
      <c r="CI105" s="1" t="s">
        <v>506</v>
      </c>
      <c r="CJ105" s="33"/>
      <c r="CK105" s="1" t="s">
        <v>506</v>
      </c>
      <c r="CL105" s="33"/>
      <c r="CM105" s="33"/>
    </row>
    <row r="106" spans="1:91" x14ac:dyDescent="0.2">
      <c r="A106" s="33" t="s">
        <v>288</v>
      </c>
      <c r="B106" s="33" t="s">
        <v>142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/>
      <c r="Q106" s="34"/>
      <c r="R106" s="34"/>
      <c r="S106" s="34">
        <v>15863</v>
      </c>
      <c r="T106" s="34"/>
      <c r="U106" s="34"/>
      <c r="V106" s="9"/>
      <c r="W106" s="36"/>
      <c r="X106" s="36">
        <v>0.25</v>
      </c>
      <c r="Y106" s="36">
        <v>0.08</v>
      </c>
      <c r="Z106" s="36"/>
      <c r="AA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6" s="36"/>
      <c r="AC106" s="35"/>
      <c r="AD106" s="34"/>
      <c r="AE106" s="36"/>
      <c r="AF106" s="34"/>
      <c r="AG106" s="47"/>
      <c r="AH106" s="47"/>
      <c r="AI106" s="36">
        <v>1</v>
      </c>
      <c r="AJ106" s="33"/>
      <c r="AK106" s="33"/>
      <c r="AL106" s="33"/>
      <c r="AM106" s="33">
        <v>12</v>
      </c>
      <c r="AN106" s="33"/>
      <c r="AO106" s="33"/>
      <c r="AP106" s="33"/>
      <c r="AQ106" s="33">
        <v>12</v>
      </c>
      <c r="AR106" s="33">
        <v>4</v>
      </c>
      <c r="AS106" s="33">
        <v>12</v>
      </c>
      <c r="AT106" s="33">
        <v>6</v>
      </c>
      <c r="AU106" s="33">
        <v>0</v>
      </c>
      <c r="AV106" s="1" t="s">
        <v>374</v>
      </c>
      <c r="AW106" s="1" t="s">
        <v>279</v>
      </c>
      <c r="AY106" s="33"/>
      <c r="AZ106" s="1">
        <v>1095</v>
      </c>
      <c r="BB106" s="34"/>
      <c r="BC106" s="34"/>
      <c r="BD106" s="34">
        <f>30*Umrechnungsfaktoren!$B$15/Umrechnungsfaktoren!$B$12</f>
        <v>31.14</v>
      </c>
      <c r="BE106" s="37"/>
      <c r="BF106" s="37">
        <f>0.05*10^3*Umrechnungsfaktoren!$B$15/Umrechnungsfaktoren!$B$12</f>
        <v>51.9</v>
      </c>
      <c r="BG106" s="37"/>
      <c r="BH106" s="37"/>
      <c r="BI106" s="37">
        <f>0.03*Tabelle58971115[[#This Row],[variable Kosten €_2018/MWh]]</f>
        <v>1.5569999999999999</v>
      </c>
      <c r="BJ106" s="33"/>
      <c r="BK106" s="48">
        <v>0.01</v>
      </c>
      <c r="BL106" s="1" t="s">
        <v>390</v>
      </c>
      <c r="BM106" s="1" t="s">
        <v>486</v>
      </c>
      <c r="BN106" s="1" t="s">
        <v>486</v>
      </c>
      <c r="BO106" s="1" t="s">
        <v>486</v>
      </c>
      <c r="BP106" s="1" t="s">
        <v>500</v>
      </c>
      <c r="BQ106" s="13" t="s">
        <v>483</v>
      </c>
      <c r="BR106" s="13" t="s">
        <v>484</v>
      </c>
      <c r="BS106" s="38"/>
      <c r="BT106" s="38"/>
      <c r="BU106" s="13" t="s">
        <v>476</v>
      </c>
      <c r="BV106" s="13" t="s">
        <v>476</v>
      </c>
      <c r="BW106" s="38"/>
      <c r="BX106" s="33"/>
      <c r="BY106" s="38"/>
      <c r="BZ106" s="13" t="s">
        <v>503</v>
      </c>
      <c r="CA106" s="38"/>
      <c r="CB106" s="1" t="s">
        <v>472</v>
      </c>
      <c r="CC106" s="1" t="s">
        <v>472</v>
      </c>
      <c r="CD106" s="33" t="s">
        <v>480</v>
      </c>
      <c r="CE106" s="1" t="s">
        <v>472</v>
      </c>
      <c r="CF106" s="1" t="s">
        <v>510</v>
      </c>
      <c r="CG106" s="1" t="s">
        <v>506</v>
      </c>
      <c r="CH106" s="1" t="s">
        <v>507</v>
      </c>
      <c r="CI106" s="1" t="s">
        <v>506</v>
      </c>
      <c r="CJ106" s="33"/>
      <c r="CK106" s="1" t="s">
        <v>506</v>
      </c>
      <c r="CL106" s="33"/>
      <c r="CM106" s="33"/>
    </row>
    <row r="107" spans="1:91" x14ac:dyDescent="0.2">
      <c r="A107" s="33" t="s">
        <v>288</v>
      </c>
      <c r="B107" s="33" t="s">
        <v>142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/>
      <c r="Q107" s="34"/>
      <c r="R107" s="34"/>
      <c r="S107" s="34">
        <v>1038</v>
      </c>
      <c r="T107" s="34"/>
      <c r="U107" s="34"/>
      <c r="V107" s="9"/>
      <c r="W107" s="36"/>
      <c r="X107" s="36"/>
      <c r="Y107" s="36"/>
      <c r="Z107" s="36"/>
      <c r="AA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7" s="36"/>
      <c r="AC107" s="35"/>
      <c r="AD107" s="34"/>
      <c r="AE107" s="36"/>
      <c r="AF107" s="34"/>
      <c r="AG107" s="47"/>
      <c r="AH107" s="47"/>
      <c r="AI107" s="36">
        <v>1</v>
      </c>
      <c r="AJ107" s="33"/>
      <c r="AK107" s="33"/>
      <c r="AL107" s="33"/>
      <c r="AM107" s="33">
        <v>12</v>
      </c>
      <c r="AN107" s="33"/>
      <c r="AO107" s="33"/>
      <c r="AP107" s="33"/>
      <c r="AQ107" s="33">
        <v>12</v>
      </c>
      <c r="AR107" s="33">
        <v>4</v>
      </c>
      <c r="AS107" s="33">
        <v>12</v>
      </c>
      <c r="AT107" s="33">
        <v>6</v>
      </c>
      <c r="AU107" s="33">
        <v>0</v>
      </c>
      <c r="AV107" s="1" t="s">
        <v>374</v>
      </c>
      <c r="AW107" s="1" t="s">
        <v>279</v>
      </c>
      <c r="AY107" s="33"/>
      <c r="AZ107" s="1">
        <v>1095</v>
      </c>
      <c r="BB107" s="34"/>
      <c r="BC107" s="34"/>
      <c r="BD107" s="34">
        <f>30*Umrechnungsfaktoren!$B$15/Umrechnungsfaktoren!$B$12</f>
        <v>31.14</v>
      </c>
      <c r="BE107" s="37"/>
      <c r="BF107" s="37">
        <f>0.05*10^3*Umrechnungsfaktoren!$B$15/Umrechnungsfaktoren!$B$12</f>
        <v>51.9</v>
      </c>
      <c r="BG107" s="37"/>
      <c r="BH107" s="37"/>
      <c r="BI107" s="37">
        <f>0.03*Tabelle58971115[[#This Row],[variable Kosten €_2018/MWh]]</f>
        <v>1.5569999999999999</v>
      </c>
      <c r="BJ107" s="33"/>
      <c r="BK107" s="48">
        <v>0.01</v>
      </c>
      <c r="BL107" s="1" t="s">
        <v>390</v>
      </c>
      <c r="BM107" s="1" t="s">
        <v>486</v>
      </c>
      <c r="BN107" s="1" t="s">
        <v>486</v>
      </c>
      <c r="BO107" s="1" t="s">
        <v>486</v>
      </c>
      <c r="BP107" s="1" t="s">
        <v>500</v>
      </c>
      <c r="BQ107" s="13" t="s">
        <v>477</v>
      </c>
      <c r="BR107" s="13" t="s">
        <v>477</v>
      </c>
      <c r="BS107" s="38"/>
      <c r="BT107" s="38"/>
      <c r="BU107" s="13" t="s">
        <v>476</v>
      </c>
      <c r="BV107" s="13" t="s">
        <v>476</v>
      </c>
      <c r="BW107" s="38"/>
      <c r="BX107" s="33"/>
      <c r="BY107" s="38"/>
      <c r="BZ107" s="13" t="s">
        <v>503</v>
      </c>
      <c r="CA107" s="38"/>
      <c r="CB107" s="1" t="s">
        <v>472</v>
      </c>
      <c r="CC107" s="1" t="s">
        <v>472</v>
      </c>
      <c r="CD107" s="33" t="s">
        <v>480</v>
      </c>
      <c r="CE107" s="1" t="s">
        <v>472</v>
      </c>
      <c r="CF107" s="1" t="s">
        <v>510</v>
      </c>
      <c r="CG107" s="1" t="s">
        <v>506</v>
      </c>
      <c r="CH107" s="1" t="s">
        <v>507</v>
      </c>
      <c r="CI107" s="1" t="s">
        <v>506</v>
      </c>
      <c r="CJ107" s="33"/>
      <c r="CK107" s="1" t="s">
        <v>506</v>
      </c>
      <c r="CL107" s="33"/>
      <c r="CM107" s="33"/>
    </row>
    <row r="108" spans="1:91" x14ac:dyDescent="0.2">
      <c r="A108" s="33" t="s">
        <v>288</v>
      </c>
      <c r="B108" s="33" t="s">
        <v>142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34"/>
      <c r="P108" s="19"/>
      <c r="Q108" s="34"/>
      <c r="R108" s="34"/>
      <c r="S108" s="34">
        <v>1094</v>
      </c>
      <c r="T108" s="19"/>
      <c r="U108" s="34"/>
      <c r="V108" s="9"/>
      <c r="W108" s="36"/>
      <c r="X108" s="36">
        <v>0.3</v>
      </c>
      <c r="Y108" s="36">
        <v>0.1</v>
      </c>
      <c r="Z108" s="36"/>
      <c r="AA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8" s="36"/>
      <c r="AC108" s="35"/>
      <c r="AD108" s="34"/>
      <c r="AE108" s="36"/>
      <c r="AF108" s="34"/>
      <c r="AG108" s="47"/>
      <c r="AH108" s="47"/>
      <c r="AI108" s="36">
        <v>1</v>
      </c>
      <c r="AJ108" s="33"/>
      <c r="AK108" s="33"/>
      <c r="AL108" s="33"/>
      <c r="AM108" s="33">
        <v>12</v>
      </c>
      <c r="AN108" s="33"/>
      <c r="AO108" s="33"/>
      <c r="AP108" s="33"/>
      <c r="AQ108" s="33">
        <v>12</v>
      </c>
      <c r="AR108" s="33">
        <v>4</v>
      </c>
      <c r="AS108" s="33">
        <v>12</v>
      </c>
      <c r="AT108" s="33">
        <v>6</v>
      </c>
      <c r="AU108" s="33">
        <v>0</v>
      </c>
      <c r="AV108" s="1" t="s">
        <v>374</v>
      </c>
      <c r="AW108" s="1" t="s">
        <v>279</v>
      </c>
      <c r="AY108" s="33"/>
      <c r="AZ108" s="1">
        <v>1095</v>
      </c>
      <c r="BB108" s="34"/>
      <c r="BC108" s="34"/>
      <c r="BD108" s="34">
        <f>30*Umrechnungsfaktoren!$B$15/Umrechnungsfaktoren!$B$12</f>
        <v>31.14</v>
      </c>
      <c r="BE108" s="37"/>
      <c r="BF108" s="37">
        <f>0.05*10^3*Umrechnungsfaktoren!$B$15/Umrechnungsfaktoren!$B$12</f>
        <v>51.9</v>
      </c>
      <c r="BG108" s="37"/>
      <c r="BH108" s="37"/>
      <c r="BI108" s="37">
        <f>0.03*Tabelle58971115[[#This Row],[variable Kosten €_2018/MWh]]</f>
        <v>1.5569999999999999</v>
      </c>
      <c r="BJ108" s="33"/>
      <c r="BK108" s="48">
        <v>0.01</v>
      </c>
      <c r="BL108" s="1" t="s">
        <v>390</v>
      </c>
      <c r="BM108" s="1" t="s">
        <v>486</v>
      </c>
      <c r="BN108" s="1" t="s">
        <v>486</v>
      </c>
      <c r="BO108" s="1" t="s">
        <v>486</v>
      </c>
      <c r="BP108" s="1" t="s">
        <v>500</v>
      </c>
      <c r="BQ108" s="13" t="s">
        <v>478</v>
      </c>
      <c r="BR108" s="13" t="s">
        <v>478</v>
      </c>
      <c r="BS108" s="38"/>
      <c r="BT108" s="38"/>
      <c r="BU108" s="13" t="s">
        <v>476</v>
      </c>
      <c r="BV108" s="13" t="s">
        <v>476</v>
      </c>
      <c r="BW108" s="38"/>
      <c r="BX108" s="33"/>
      <c r="BY108" s="38"/>
      <c r="BZ108" s="13" t="s">
        <v>503</v>
      </c>
      <c r="CA108" s="38"/>
      <c r="CB108" s="1" t="s">
        <v>472</v>
      </c>
      <c r="CC108" s="1" t="s">
        <v>472</v>
      </c>
      <c r="CD108" s="33" t="s">
        <v>480</v>
      </c>
      <c r="CE108" s="1" t="s">
        <v>472</v>
      </c>
      <c r="CF108" s="1" t="s">
        <v>510</v>
      </c>
      <c r="CG108" s="1" t="s">
        <v>506</v>
      </c>
      <c r="CH108" s="1" t="s">
        <v>507</v>
      </c>
      <c r="CI108" s="1" t="s">
        <v>506</v>
      </c>
      <c r="CJ108" s="33"/>
      <c r="CK108" s="1" t="s">
        <v>506</v>
      </c>
      <c r="CL108" s="33"/>
      <c r="CM108" s="33"/>
    </row>
    <row r="109" spans="1:91" x14ac:dyDescent="0.2">
      <c r="A109" s="33" t="s">
        <v>288</v>
      </c>
      <c r="B109" s="33" t="s">
        <v>142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34"/>
      <c r="P109" s="19"/>
      <c r="Q109" s="34"/>
      <c r="R109" s="34"/>
      <c r="S109" s="34">
        <v>1276</v>
      </c>
      <c r="T109" s="19"/>
      <c r="U109" s="34"/>
      <c r="V109" s="9"/>
      <c r="W109" s="36"/>
      <c r="X109" s="36">
        <v>0.4</v>
      </c>
      <c r="Y109" s="36">
        <v>0.15</v>
      </c>
      <c r="Z109" s="36"/>
      <c r="AA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09" s="36"/>
      <c r="AC109" s="35"/>
      <c r="AD109" s="34"/>
      <c r="AE109" s="36"/>
      <c r="AF109" s="34"/>
      <c r="AG109" s="47"/>
      <c r="AH109" s="47"/>
      <c r="AI109" s="36">
        <v>1</v>
      </c>
      <c r="AJ109" s="33"/>
      <c r="AK109" s="33"/>
      <c r="AL109" s="33"/>
      <c r="AM109" s="33">
        <v>12</v>
      </c>
      <c r="AN109" s="33"/>
      <c r="AO109" s="33"/>
      <c r="AP109" s="33"/>
      <c r="AQ109" s="33">
        <v>12</v>
      </c>
      <c r="AR109" s="33">
        <v>4</v>
      </c>
      <c r="AS109" s="33">
        <v>12</v>
      </c>
      <c r="AT109" s="33">
        <v>6</v>
      </c>
      <c r="AU109" s="33">
        <v>0</v>
      </c>
      <c r="AV109" s="1" t="s">
        <v>374</v>
      </c>
      <c r="AW109" s="1" t="s">
        <v>279</v>
      </c>
      <c r="AY109" s="33"/>
      <c r="AZ109" s="1">
        <v>1095</v>
      </c>
      <c r="BB109" s="34"/>
      <c r="BC109" s="34"/>
      <c r="BD109" s="34">
        <f>30*Umrechnungsfaktoren!$B$15/Umrechnungsfaktoren!$B$12</f>
        <v>31.14</v>
      </c>
      <c r="BE109" s="37"/>
      <c r="BF109" s="37">
        <f>0.05*10^3*Umrechnungsfaktoren!$B$15/Umrechnungsfaktoren!$B$12</f>
        <v>51.9</v>
      </c>
      <c r="BG109" s="37"/>
      <c r="BH109" s="37"/>
      <c r="BI109" s="37">
        <f>0.03*Tabelle58971115[[#This Row],[variable Kosten €_2018/MWh]]</f>
        <v>1.5569999999999999</v>
      </c>
      <c r="BJ109" s="33"/>
      <c r="BK109" s="48">
        <v>0.01</v>
      </c>
      <c r="BL109" s="1" t="s">
        <v>390</v>
      </c>
      <c r="BM109" s="1" t="s">
        <v>486</v>
      </c>
      <c r="BN109" s="1" t="s">
        <v>486</v>
      </c>
      <c r="BO109" s="1" t="s">
        <v>486</v>
      </c>
      <c r="BP109" s="1" t="s">
        <v>500</v>
      </c>
      <c r="BQ109" s="13" t="s">
        <v>479</v>
      </c>
      <c r="BR109" s="13" t="s">
        <v>479</v>
      </c>
      <c r="BS109" s="38"/>
      <c r="BT109" s="38"/>
      <c r="BU109" s="13" t="s">
        <v>476</v>
      </c>
      <c r="BV109" s="13" t="s">
        <v>476</v>
      </c>
      <c r="BW109" s="38"/>
      <c r="BX109" s="33"/>
      <c r="BY109" s="38"/>
      <c r="BZ109" s="13" t="s">
        <v>503</v>
      </c>
      <c r="CA109" s="38"/>
      <c r="CB109" s="1" t="s">
        <v>472</v>
      </c>
      <c r="CC109" s="1" t="s">
        <v>472</v>
      </c>
      <c r="CD109" s="33" t="s">
        <v>480</v>
      </c>
      <c r="CE109" s="1" t="s">
        <v>472</v>
      </c>
      <c r="CF109" s="1" t="s">
        <v>510</v>
      </c>
      <c r="CG109" s="1" t="s">
        <v>506</v>
      </c>
      <c r="CH109" s="1" t="s">
        <v>507</v>
      </c>
      <c r="CI109" s="1" t="s">
        <v>506</v>
      </c>
      <c r="CJ109" s="33"/>
      <c r="CK109" s="1" t="s">
        <v>506</v>
      </c>
      <c r="CL109" s="33"/>
      <c r="CM109" s="33"/>
    </row>
    <row r="110" spans="1:91" x14ac:dyDescent="0.2">
      <c r="A110" s="1" t="s">
        <v>153</v>
      </c>
      <c r="B110" s="1" t="s">
        <v>142</v>
      </c>
      <c r="C110" s="1" t="s">
        <v>501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/>
      <c r="Q110" s="19"/>
      <c r="R110" s="19"/>
      <c r="S110" s="19">
        <v>1058</v>
      </c>
      <c r="T110" s="19"/>
      <c r="U110" s="19"/>
      <c r="V110" s="9"/>
      <c r="W110" s="9"/>
      <c r="X110" s="9">
        <v>1</v>
      </c>
      <c r="Y110" s="9">
        <v>0.9</v>
      </c>
      <c r="Z110" s="9"/>
      <c r="AA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0" s="9"/>
      <c r="AC110" s="20"/>
      <c r="AD110" s="19"/>
      <c r="AE110" s="9"/>
      <c r="AF110" s="19"/>
      <c r="AG110" s="9"/>
      <c r="AH110" s="9"/>
      <c r="AI110" s="9">
        <v>0.97</v>
      </c>
      <c r="AM110" s="1">
        <v>1</v>
      </c>
      <c r="AQ110" s="1">
        <v>1</v>
      </c>
      <c r="AT110" s="1">
        <v>2</v>
      </c>
      <c r="AU110" s="1">
        <v>4</v>
      </c>
      <c r="AV110" s="1" t="s">
        <v>382</v>
      </c>
      <c r="AW110" s="1" t="s">
        <v>278</v>
      </c>
      <c r="AX110" s="1">
        <f>4/1</f>
        <v>4</v>
      </c>
      <c r="AZ110" s="1">
        <v>1095</v>
      </c>
      <c r="BB110" s="19"/>
      <c r="BC110" s="19"/>
      <c r="BD110" s="34">
        <f>250*Umrechnungsfaktoren!$B$15/Umrechnungsfaktoren!$B$12</f>
        <v>259.5</v>
      </c>
      <c r="BE110" s="8"/>
      <c r="BF110" s="8">
        <f>10*Umrechnungsfaktoren!$B$15/Umrechnungsfaktoren!$B$12</f>
        <v>10.38</v>
      </c>
      <c r="BG110" s="8"/>
      <c r="BH110" s="8"/>
      <c r="BI110" s="37">
        <f>0.03*Tabelle58971115[[#This Row],[Investitionsausgaben €_2018/kW]]</f>
        <v>7.7850000000000001</v>
      </c>
      <c r="BK110" s="48">
        <v>0.09</v>
      </c>
      <c r="BM110" s="1" t="s">
        <v>486</v>
      </c>
      <c r="BN110" s="1" t="s">
        <v>486</v>
      </c>
      <c r="BO110" s="1" t="s">
        <v>486</v>
      </c>
      <c r="BP110" s="1" t="s">
        <v>500</v>
      </c>
      <c r="BQ110" s="13" t="s">
        <v>483</v>
      </c>
      <c r="BR110" s="13" t="s">
        <v>484</v>
      </c>
      <c r="BS110" s="13"/>
      <c r="BT110" s="13"/>
      <c r="BU110" s="13" t="s">
        <v>476</v>
      </c>
      <c r="BV110" s="13" t="s">
        <v>476</v>
      </c>
      <c r="BW110" s="38"/>
      <c r="BY110" s="13"/>
      <c r="BZ110" s="13" t="s">
        <v>503</v>
      </c>
      <c r="CA110" s="13"/>
      <c r="CB110" s="1" t="s">
        <v>481</v>
      </c>
      <c r="CC110" s="1" t="s">
        <v>481</v>
      </c>
      <c r="CD110" s="1" t="s">
        <v>480</v>
      </c>
      <c r="CE110" s="1" t="s">
        <v>472</v>
      </c>
      <c r="CF110" s="1" t="s">
        <v>511</v>
      </c>
      <c r="CG110" s="1" t="s">
        <v>506</v>
      </c>
      <c r="CH110" s="1" t="s">
        <v>507</v>
      </c>
      <c r="CI110" s="1" t="s">
        <v>506</v>
      </c>
      <c r="CK110" s="1" t="s">
        <v>506</v>
      </c>
    </row>
    <row r="111" spans="1:91" x14ac:dyDescent="0.2">
      <c r="A111" s="1" t="s">
        <v>153</v>
      </c>
      <c r="B111" s="1" t="s">
        <v>142</v>
      </c>
      <c r="C111" s="1" t="s">
        <v>501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/>
      <c r="Q111" s="19"/>
      <c r="R111" s="19"/>
      <c r="S111" s="19">
        <v>937</v>
      </c>
      <c r="T111" s="19"/>
      <c r="U111" s="19"/>
      <c r="V111" s="9"/>
      <c r="W111" s="9"/>
      <c r="X111" s="9"/>
      <c r="Y111" s="9"/>
      <c r="Z111" s="9">
        <f>4877/8760</f>
        <v>0.55673515981735155</v>
      </c>
      <c r="AA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1" s="9"/>
      <c r="AC111" s="20"/>
      <c r="AD111" s="19"/>
      <c r="AE111" s="9"/>
      <c r="AF111" s="19"/>
      <c r="AG111" s="9"/>
      <c r="AH111" s="9"/>
      <c r="AI111" s="9">
        <v>0.97</v>
      </c>
      <c r="AM111" s="1">
        <v>1</v>
      </c>
      <c r="AQ111" s="1">
        <v>1</v>
      </c>
      <c r="AT111" s="1">
        <v>2</v>
      </c>
      <c r="AU111" s="1">
        <v>4</v>
      </c>
      <c r="AV111" s="1" t="s">
        <v>382</v>
      </c>
      <c r="AW111" s="1" t="s">
        <v>278</v>
      </c>
      <c r="AX111" s="1">
        <f>4/1</f>
        <v>4</v>
      </c>
      <c r="AZ111" s="1">
        <v>1095</v>
      </c>
      <c r="BB111" s="19"/>
      <c r="BC111" s="19"/>
      <c r="BD111" s="34">
        <f>250*Umrechnungsfaktoren!$B$15/Umrechnungsfaktoren!$B$12</f>
        <v>259.5</v>
      </c>
      <c r="BE111" s="8"/>
      <c r="BF111" s="8">
        <f>10*Umrechnungsfaktoren!$B$15/Umrechnungsfaktoren!$B$12</f>
        <v>10.38</v>
      </c>
      <c r="BG111" s="8"/>
      <c r="BH111" s="8"/>
      <c r="BI111" s="37">
        <f>0.03*Tabelle58971115[[#This Row],[Investitionsausgaben €_2018/kW]]</f>
        <v>7.7850000000000001</v>
      </c>
      <c r="BK111" s="48">
        <v>0.09</v>
      </c>
      <c r="BM111" s="1" t="s">
        <v>486</v>
      </c>
      <c r="BN111" s="1" t="s">
        <v>486</v>
      </c>
      <c r="BO111" s="1" t="s">
        <v>486</v>
      </c>
      <c r="BP111" s="1" t="s">
        <v>500</v>
      </c>
      <c r="BQ111" s="13" t="s">
        <v>477</v>
      </c>
      <c r="BR111" s="13" t="s">
        <v>477</v>
      </c>
      <c r="BS111" s="13"/>
      <c r="BT111" s="13"/>
      <c r="BU111" s="38"/>
      <c r="BV111" s="38">
        <v>157</v>
      </c>
      <c r="BW111" s="38"/>
      <c r="BY111" s="13"/>
      <c r="BZ111" s="13" t="s">
        <v>503</v>
      </c>
      <c r="CA111" s="13"/>
      <c r="CB111" s="1" t="s">
        <v>481</v>
      </c>
      <c r="CC111" s="1" t="s">
        <v>481</v>
      </c>
      <c r="CD111" s="1" t="s">
        <v>480</v>
      </c>
      <c r="CE111" s="1" t="s">
        <v>472</v>
      </c>
      <c r="CF111" s="1" t="s">
        <v>511</v>
      </c>
      <c r="CG111" s="1" t="s">
        <v>506</v>
      </c>
      <c r="CH111" s="1" t="s">
        <v>507</v>
      </c>
      <c r="CI111" s="1" t="s">
        <v>506</v>
      </c>
      <c r="CK111" s="1" t="s">
        <v>506</v>
      </c>
    </row>
    <row r="112" spans="1:91" x14ac:dyDescent="0.2">
      <c r="A112" s="1" t="s">
        <v>153</v>
      </c>
      <c r="B112" s="1" t="s">
        <v>142</v>
      </c>
      <c r="C112" s="1" t="s">
        <v>501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/>
      <c r="Q112" s="19"/>
      <c r="R112" s="19"/>
      <c r="S112" s="19">
        <v>768</v>
      </c>
      <c r="T112" s="19"/>
      <c r="U112" s="19"/>
      <c r="V112" s="9"/>
      <c r="W112" s="9"/>
      <c r="X112" s="9">
        <v>1</v>
      </c>
      <c r="Y112" s="9">
        <v>0.9</v>
      </c>
      <c r="Z112" s="9">
        <f>4873/8760</f>
        <v>0.55627853881278544</v>
      </c>
      <c r="AA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2" s="9"/>
      <c r="AC112" s="20"/>
      <c r="AD112" s="19"/>
      <c r="AE112" s="9"/>
      <c r="AF112" s="19"/>
      <c r="AG112" s="9"/>
      <c r="AH112" s="9"/>
      <c r="AI112" s="9">
        <v>0.97</v>
      </c>
      <c r="AM112" s="1">
        <v>1</v>
      </c>
      <c r="AQ112" s="1">
        <v>1</v>
      </c>
      <c r="AT112" s="1">
        <v>2</v>
      </c>
      <c r="AU112" s="1">
        <v>4</v>
      </c>
      <c r="AV112" s="1" t="s">
        <v>382</v>
      </c>
      <c r="AW112" s="1" t="s">
        <v>278</v>
      </c>
      <c r="AX112" s="1">
        <f>4/1</f>
        <v>4</v>
      </c>
      <c r="AZ112" s="1">
        <v>1095</v>
      </c>
      <c r="BB112" s="19"/>
      <c r="BC112" s="19"/>
      <c r="BD112" s="34">
        <f>250*Umrechnungsfaktoren!$B$15/Umrechnungsfaktoren!$B$12</f>
        <v>259.5</v>
      </c>
      <c r="BE112" s="8"/>
      <c r="BF112" s="8">
        <f>10*Umrechnungsfaktoren!$B$15/Umrechnungsfaktoren!$B$12</f>
        <v>10.38</v>
      </c>
      <c r="BG112" s="8"/>
      <c r="BH112" s="8"/>
      <c r="BI112" s="37">
        <f>0.03*Tabelle58971115[[#This Row],[Investitionsausgaben €_2018/kW]]</f>
        <v>7.7850000000000001</v>
      </c>
      <c r="BK112" s="48">
        <v>0.09</v>
      </c>
      <c r="BM112" s="1" t="s">
        <v>486</v>
      </c>
      <c r="BN112" s="1" t="s">
        <v>486</v>
      </c>
      <c r="BO112" s="1" t="s">
        <v>486</v>
      </c>
      <c r="BP112" s="1" t="s">
        <v>500</v>
      </c>
      <c r="BQ112" s="13" t="s">
        <v>478</v>
      </c>
      <c r="BR112" s="13" t="s">
        <v>478</v>
      </c>
      <c r="BS112" s="13"/>
      <c r="BT112" s="13"/>
      <c r="BU112" s="38"/>
      <c r="BV112" s="38">
        <v>157</v>
      </c>
      <c r="BW112" s="13"/>
      <c r="BY112" s="13"/>
      <c r="BZ112" s="13" t="s">
        <v>503</v>
      </c>
      <c r="CA112" s="13"/>
      <c r="CB112" s="1" t="s">
        <v>481</v>
      </c>
      <c r="CC112" s="1" t="s">
        <v>481</v>
      </c>
      <c r="CD112" s="1" t="s">
        <v>480</v>
      </c>
      <c r="CE112" s="1" t="s">
        <v>472</v>
      </c>
      <c r="CF112" s="1" t="s">
        <v>511</v>
      </c>
      <c r="CG112" s="1" t="s">
        <v>506</v>
      </c>
      <c r="CH112" s="1" t="s">
        <v>507</v>
      </c>
      <c r="CI112" s="1" t="s">
        <v>506</v>
      </c>
      <c r="CK112" s="1" t="s">
        <v>506</v>
      </c>
    </row>
    <row r="113" spans="1:89" x14ac:dyDescent="0.2">
      <c r="A113" s="1" t="s">
        <v>153</v>
      </c>
      <c r="B113" s="1" t="s">
        <v>142</v>
      </c>
      <c r="C113" s="1" t="s">
        <v>501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/>
      <c r="Q113" s="19"/>
      <c r="R113" s="19"/>
      <c r="S113" s="19">
        <v>284</v>
      </c>
      <c r="T113" s="19"/>
      <c r="U113" s="19"/>
      <c r="V113" s="9"/>
      <c r="W113" s="9"/>
      <c r="X113" s="9">
        <v>1</v>
      </c>
      <c r="Y113" s="9">
        <v>0.9</v>
      </c>
      <c r="Z113" s="9">
        <f>4842/8760</f>
        <v>0.55273972602739729</v>
      </c>
      <c r="AA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3" s="9"/>
      <c r="AC113" s="20"/>
      <c r="AD113" s="19"/>
      <c r="AE113" s="9"/>
      <c r="AF113" s="19"/>
      <c r="AG113" s="9"/>
      <c r="AH113" s="9"/>
      <c r="AI113" s="9">
        <v>0.97</v>
      </c>
      <c r="AM113" s="1">
        <v>1</v>
      </c>
      <c r="AQ113" s="1">
        <v>1</v>
      </c>
      <c r="AT113" s="1">
        <v>2</v>
      </c>
      <c r="AU113" s="1">
        <v>4</v>
      </c>
      <c r="AV113" s="1" t="s">
        <v>382</v>
      </c>
      <c r="AW113" s="1" t="s">
        <v>278</v>
      </c>
      <c r="AX113" s="1">
        <f>4/1</f>
        <v>4</v>
      </c>
      <c r="AZ113" s="1">
        <v>1095</v>
      </c>
      <c r="BB113" s="19"/>
      <c r="BC113" s="19"/>
      <c r="BD113" s="34">
        <f>250*Umrechnungsfaktoren!$B$15/Umrechnungsfaktoren!$B$12</f>
        <v>259.5</v>
      </c>
      <c r="BE113" s="8"/>
      <c r="BF113" s="8">
        <f>10*Umrechnungsfaktoren!$B$15/Umrechnungsfaktoren!$B$12</f>
        <v>10.38</v>
      </c>
      <c r="BG113" s="8"/>
      <c r="BH113" s="8"/>
      <c r="BI113" s="37">
        <f>0.03*Tabelle58971115[[#This Row],[Investitionsausgaben €_2018/kW]]</f>
        <v>7.7850000000000001</v>
      </c>
      <c r="BK113" s="48">
        <v>0.09</v>
      </c>
      <c r="BM113" s="1" t="s">
        <v>486</v>
      </c>
      <c r="BN113" s="1" t="s">
        <v>486</v>
      </c>
      <c r="BO113" s="1" t="s">
        <v>486</v>
      </c>
      <c r="BP113" s="1" t="s">
        <v>500</v>
      </c>
      <c r="BQ113" s="13" t="s">
        <v>479</v>
      </c>
      <c r="BR113" s="13" t="s">
        <v>479</v>
      </c>
      <c r="BS113" s="13"/>
      <c r="BT113" s="13"/>
      <c r="BU113" s="38"/>
      <c r="BV113" s="38">
        <v>157</v>
      </c>
      <c r="BW113" s="13"/>
      <c r="BY113" s="13"/>
      <c r="BZ113" s="13" t="s">
        <v>503</v>
      </c>
      <c r="CA113" s="13"/>
      <c r="CB113" s="1" t="s">
        <v>481</v>
      </c>
      <c r="CC113" s="1" t="s">
        <v>481</v>
      </c>
      <c r="CD113" s="1" t="s">
        <v>480</v>
      </c>
      <c r="CE113" s="1" t="s">
        <v>472</v>
      </c>
      <c r="CF113" s="1" t="s">
        <v>511</v>
      </c>
      <c r="CG113" s="1" t="s">
        <v>506</v>
      </c>
      <c r="CH113" s="1" t="s">
        <v>507</v>
      </c>
      <c r="CI113" s="1" t="s">
        <v>506</v>
      </c>
      <c r="CK113" s="1" t="s">
        <v>506</v>
      </c>
    </row>
    <row r="114" spans="1:89" x14ac:dyDescent="0.2">
      <c r="A114" s="1" t="s">
        <v>141</v>
      </c>
      <c r="B114" s="1" t="s">
        <v>142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/>
      <c r="Q114" s="19"/>
      <c r="R114" s="19"/>
      <c r="S114" s="19">
        <v>20637</v>
      </c>
      <c r="T114" s="19"/>
      <c r="U114" s="19"/>
      <c r="V114" s="9"/>
      <c r="W114" s="9"/>
      <c r="X114" s="9"/>
      <c r="Y114" s="9"/>
      <c r="Z114" s="9"/>
      <c r="AA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4" s="9"/>
      <c r="AC114" s="20"/>
      <c r="AD114" s="19"/>
      <c r="AE114" s="9"/>
      <c r="AF114" s="19"/>
      <c r="AG114" s="43">
        <v>0.95</v>
      </c>
      <c r="AH114" s="9">
        <v>0.98</v>
      </c>
      <c r="AI114" s="9">
        <v>0.96</v>
      </c>
      <c r="AM114" s="1">
        <v>12</v>
      </c>
      <c r="AQ114" s="1">
        <v>12</v>
      </c>
      <c r="AR114" s="1">
        <v>4</v>
      </c>
      <c r="AS114" s="1">
        <v>12</v>
      </c>
      <c r="AT114" s="1">
        <v>8</v>
      </c>
      <c r="AU114" s="1">
        <v>0</v>
      </c>
      <c r="AV114" s="1" t="s">
        <v>382</v>
      </c>
      <c r="AW114" s="1" t="s">
        <v>278</v>
      </c>
      <c r="AZ114" s="1">
        <v>1095</v>
      </c>
      <c r="BB114" s="19"/>
      <c r="BC114" s="19"/>
      <c r="BD114" s="19">
        <f>20*Umrechnungsfaktoren!$B$15/Umrechnungsfaktoren!$B$12</f>
        <v>20.76</v>
      </c>
      <c r="BE114" s="8"/>
      <c r="BF114" s="8">
        <f>10*Umrechnungsfaktoren!$B$15/Umrechnungsfaktoren!$B$12</f>
        <v>10.38</v>
      </c>
      <c r="BG114" s="8"/>
      <c r="BH114" s="8"/>
      <c r="BI114" s="8">
        <f>0.03*Tabelle58971115[[#This Row],[Investitionsausgaben €_2018/kW]]</f>
        <v>0.62280000000000002</v>
      </c>
      <c r="BK114" s="7">
        <v>0.04</v>
      </c>
      <c r="BM114" s="1" t="s">
        <v>486</v>
      </c>
      <c r="BN114" s="1" t="s">
        <v>486</v>
      </c>
      <c r="BO114" s="1" t="s">
        <v>486</v>
      </c>
      <c r="BP114" s="33"/>
      <c r="BQ114" s="13" t="s">
        <v>483</v>
      </c>
      <c r="BR114" s="13" t="s">
        <v>484</v>
      </c>
      <c r="BS114" s="13"/>
      <c r="BT114" s="13"/>
      <c r="BU114" s="13"/>
      <c r="BV114" s="13"/>
      <c r="BW114" s="13"/>
      <c r="BY114" s="13"/>
      <c r="BZ114" s="13" t="s">
        <v>503</v>
      </c>
      <c r="CA114" s="13"/>
      <c r="CB114" s="1" t="s">
        <v>481</v>
      </c>
      <c r="CC114" s="1" t="s">
        <v>481</v>
      </c>
      <c r="CD114" s="1" t="s">
        <v>480</v>
      </c>
      <c r="CE114" s="1" t="s">
        <v>472</v>
      </c>
      <c r="CF114" s="1" t="s">
        <v>510</v>
      </c>
      <c r="CG114" s="1" t="s">
        <v>506</v>
      </c>
      <c r="CH114" s="1" t="s">
        <v>507</v>
      </c>
      <c r="CI114" s="1" t="s">
        <v>506</v>
      </c>
      <c r="CK114" s="1" t="s">
        <v>506</v>
      </c>
    </row>
    <row r="115" spans="1:89" x14ac:dyDescent="0.2">
      <c r="A115" s="1" t="s">
        <v>141</v>
      </c>
      <c r="B115" s="1" t="s">
        <v>142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/>
      <c r="Q115" s="19"/>
      <c r="R115" s="19"/>
      <c r="S115" s="19">
        <v>15414</v>
      </c>
      <c r="T115" s="19"/>
      <c r="U115" s="19"/>
      <c r="V115" s="9"/>
      <c r="W115" s="9"/>
      <c r="X115" s="9">
        <v>0.83</v>
      </c>
      <c r="Y115" s="9">
        <v>1</v>
      </c>
      <c r="Z115" s="9"/>
      <c r="AA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5" s="9"/>
      <c r="AC115" s="20"/>
      <c r="AD115" s="19"/>
      <c r="AE115" s="9"/>
      <c r="AF115" s="19"/>
      <c r="AG115" s="43">
        <v>0.95</v>
      </c>
      <c r="AH115" s="9">
        <v>0.98</v>
      </c>
      <c r="AI115" s="9">
        <v>0.96</v>
      </c>
      <c r="AM115" s="1">
        <v>12</v>
      </c>
      <c r="AQ115" s="1">
        <v>12</v>
      </c>
      <c r="AR115" s="1">
        <v>4</v>
      </c>
      <c r="AS115" s="1">
        <v>12</v>
      </c>
      <c r="AT115" s="1">
        <v>8</v>
      </c>
      <c r="AU115" s="1">
        <v>0</v>
      </c>
      <c r="AV115" s="1" t="s">
        <v>382</v>
      </c>
      <c r="AW115" s="1" t="s">
        <v>278</v>
      </c>
      <c r="AZ115" s="1">
        <v>1095</v>
      </c>
      <c r="BB115" s="19"/>
      <c r="BC115" s="19"/>
      <c r="BD115" s="19">
        <f>20*Umrechnungsfaktoren!$B$15/Umrechnungsfaktoren!$B$12</f>
        <v>20.76</v>
      </c>
      <c r="BE115" s="8"/>
      <c r="BF115" s="8">
        <f>10*Umrechnungsfaktoren!$B$15/Umrechnungsfaktoren!$B$12</f>
        <v>10.38</v>
      </c>
      <c r="BG115" s="8"/>
      <c r="BH115" s="8"/>
      <c r="BI115" s="8">
        <f>0.03*Tabelle58971115[[#This Row],[Investitionsausgaben €_2018/kW]]</f>
        <v>0.62280000000000002</v>
      </c>
      <c r="BK115" s="7">
        <v>0.04</v>
      </c>
      <c r="BM115" s="1" t="s">
        <v>486</v>
      </c>
      <c r="BN115" s="1" t="s">
        <v>486</v>
      </c>
      <c r="BO115" s="1" t="s">
        <v>486</v>
      </c>
      <c r="BP115" s="33"/>
      <c r="BQ115" s="13" t="s">
        <v>477</v>
      </c>
      <c r="BR115" s="13" t="s">
        <v>477</v>
      </c>
      <c r="BS115" s="13"/>
      <c r="BT115" s="13"/>
      <c r="BU115" s="13"/>
      <c r="BV115" s="13"/>
      <c r="BW115" s="13"/>
      <c r="BY115" s="13"/>
      <c r="BZ115" s="13" t="s">
        <v>503</v>
      </c>
      <c r="CA115" s="13"/>
      <c r="CB115" s="1" t="s">
        <v>481</v>
      </c>
      <c r="CC115" s="1" t="s">
        <v>481</v>
      </c>
      <c r="CD115" s="1" t="s">
        <v>480</v>
      </c>
      <c r="CE115" s="1" t="s">
        <v>472</v>
      </c>
      <c r="CF115" s="1" t="s">
        <v>510</v>
      </c>
      <c r="CG115" s="1" t="s">
        <v>506</v>
      </c>
      <c r="CH115" s="1" t="s">
        <v>507</v>
      </c>
      <c r="CI115" s="1" t="s">
        <v>506</v>
      </c>
      <c r="CK115" s="1" t="s">
        <v>506</v>
      </c>
    </row>
    <row r="116" spans="1:89" x14ac:dyDescent="0.2">
      <c r="A116" s="1" t="s">
        <v>141</v>
      </c>
      <c r="B116" s="1" t="s">
        <v>142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/>
      <c r="Q116" s="19"/>
      <c r="R116" s="19"/>
      <c r="S116" s="19">
        <v>12014</v>
      </c>
      <c r="T116" s="19"/>
      <c r="U116" s="19"/>
      <c r="V116" s="9"/>
      <c r="W116" s="9"/>
      <c r="X116" s="9">
        <v>0.85</v>
      </c>
      <c r="Y116" s="9">
        <v>1</v>
      </c>
      <c r="Z116" s="9"/>
      <c r="AA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6" s="9"/>
      <c r="AC116" s="20"/>
      <c r="AD116" s="19"/>
      <c r="AE116" s="9"/>
      <c r="AF116" s="19"/>
      <c r="AG116" s="43">
        <v>0.95</v>
      </c>
      <c r="AH116" s="9">
        <v>0.98</v>
      </c>
      <c r="AI116" s="9">
        <v>0.96</v>
      </c>
      <c r="AM116" s="1">
        <v>12</v>
      </c>
      <c r="AQ116" s="1">
        <v>12</v>
      </c>
      <c r="AR116" s="1">
        <v>4</v>
      </c>
      <c r="AS116" s="1">
        <v>12</v>
      </c>
      <c r="AT116" s="1">
        <v>8</v>
      </c>
      <c r="AU116" s="1">
        <v>0</v>
      </c>
      <c r="AV116" s="1" t="s">
        <v>382</v>
      </c>
      <c r="AW116" s="1" t="s">
        <v>278</v>
      </c>
      <c r="AZ116" s="1">
        <v>1095</v>
      </c>
      <c r="BB116" s="19"/>
      <c r="BC116" s="19"/>
      <c r="BD116" s="19">
        <f>20*Umrechnungsfaktoren!$B$15/Umrechnungsfaktoren!$B$12</f>
        <v>20.76</v>
      </c>
      <c r="BE116" s="8"/>
      <c r="BF116" s="8">
        <f>10*Umrechnungsfaktoren!$B$15/Umrechnungsfaktoren!$B$12</f>
        <v>10.38</v>
      </c>
      <c r="BG116" s="8"/>
      <c r="BH116" s="8"/>
      <c r="BI116" s="8">
        <f>0.03*Tabelle58971115[[#This Row],[Investitionsausgaben €_2018/kW]]</f>
        <v>0.62280000000000002</v>
      </c>
      <c r="BK116" s="7">
        <v>0.04</v>
      </c>
      <c r="BM116" s="1" t="s">
        <v>486</v>
      </c>
      <c r="BN116" s="1" t="s">
        <v>486</v>
      </c>
      <c r="BO116" s="1" t="s">
        <v>486</v>
      </c>
      <c r="BQ116" s="13" t="s">
        <v>478</v>
      </c>
      <c r="BR116" s="13" t="s">
        <v>478</v>
      </c>
      <c r="BS116" s="13"/>
      <c r="BT116" s="13"/>
      <c r="BU116" s="13"/>
      <c r="BV116" s="13"/>
      <c r="BW116" s="13"/>
      <c r="BY116" s="13"/>
      <c r="BZ116" s="13" t="s">
        <v>503</v>
      </c>
      <c r="CA116" s="13"/>
      <c r="CB116" s="1" t="s">
        <v>481</v>
      </c>
      <c r="CC116" s="1" t="s">
        <v>481</v>
      </c>
      <c r="CD116" s="1" t="s">
        <v>480</v>
      </c>
      <c r="CE116" s="1" t="s">
        <v>472</v>
      </c>
      <c r="CF116" s="1" t="s">
        <v>510</v>
      </c>
      <c r="CG116" s="1" t="s">
        <v>506</v>
      </c>
      <c r="CH116" s="1" t="s">
        <v>507</v>
      </c>
      <c r="CI116" s="1" t="s">
        <v>506</v>
      </c>
      <c r="CK116" s="1" t="s">
        <v>506</v>
      </c>
    </row>
    <row r="117" spans="1:89" x14ac:dyDescent="0.2">
      <c r="A117" s="1" t="s">
        <v>141</v>
      </c>
      <c r="B117" s="1" t="s">
        <v>142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/>
      <c r="Q117" s="19"/>
      <c r="R117" s="19"/>
      <c r="S117" s="19">
        <v>4628</v>
      </c>
      <c r="T117" s="19"/>
      <c r="U117" s="19"/>
      <c r="V117" s="9"/>
      <c r="W117" s="9"/>
      <c r="X117" s="9">
        <v>0.9</v>
      </c>
      <c r="Y117" s="9">
        <v>1</v>
      </c>
      <c r="Z117" s="9"/>
      <c r="AA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7" s="9"/>
      <c r="AC117" s="20"/>
      <c r="AD117" s="19"/>
      <c r="AE117" s="9"/>
      <c r="AF117" s="19"/>
      <c r="AG117" s="43">
        <v>0.95</v>
      </c>
      <c r="AH117" s="9">
        <v>0.98</v>
      </c>
      <c r="AI117" s="9">
        <v>0.96</v>
      </c>
      <c r="AM117" s="1">
        <v>12</v>
      </c>
      <c r="AQ117" s="1">
        <v>12</v>
      </c>
      <c r="AR117" s="1">
        <v>4</v>
      </c>
      <c r="AS117" s="1">
        <v>12</v>
      </c>
      <c r="AT117" s="1">
        <v>8</v>
      </c>
      <c r="AU117" s="1">
        <v>0</v>
      </c>
      <c r="AV117" s="1" t="s">
        <v>382</v>
      </c>
      <c r="AW117" s="1" t="s">
        <v>278</v>
      </c>
      <c r="AZ117" s="1">
        <v>1095</v>
      </c>
      <c r="BB117" s="19"/>
      <c r="BC117" s="19"/>
      <c r="BD117" s="19">
        <f>20*Umrechnungsfaktoren!$B$15/Umrechnungsfaktoren!$B$12</f>
        <v>20.76</v>
      </c>
      <c r="BE117" s="8"/>
      <c r="BF117" s="8">
        <f>10*Umrechnungsfaktoren!$B$15/Umrechnungsfaktoren!$B$12</f>
        <v>10.38</v>
      </c>
      <c r="BG117" s="8"/>
      <c r="BH117" s="8"/>
      <c r="BI117" s="8">
        <f>0.03*Tabelle58971115[[#This Row],[Investitionsausgaben €_2018/kW]]</f>
        <v>0.62280000000000002</v>
      </c>
      <c r="BK117" s="7">
        <v>0.04</v>
      </c>
      <c r="BM117" s="1" t="s">
        <v>486</v>
      </c>
      <c r="BN117" s="1" t="s">
        <v>486</v>
      </c>
      <c r="BO117" s="1" t="s">
        <v>486</v>
      </c>
      <c r="BQ117" s="13" t="s">
        <v>479</v>
      </c>
      <c r="BR117" s="13" t="s">
        <v>479</v>
      </c>
      <c r="BS117" s="13"/>
      <c r="BT117" s="13"/>
      <c r="BU117" s="13"/>
      <c r="BV117" s="13"/>
      <c r="BW117" s="13"/>
      <c r="BY117" s="13"/>
      <c r="BZ117" s="13" t="s">
        <v>503</v>
      </c>
      <c r="CA117" s="13"/>
      <c r="CB117" s="1" t="s">
        <v>481</v>
      </c>
      <c r="CC117" s="1" t="s">
        <v>481</v>
      </c>
      <c r="CD117" s="1" t="s">
        <v>480</v>
      </c>
      <c r="CE117" s="1" t="s">
        <v>472</v>
      </c>
      <c r="CF117" s="1" t="s">
        <v>510</v>
      </c>
      <c r="CG117" s="1" t="s">
        <v>506</v>
      </c>
      <c r="CH117" s="1" t="s">
        <v>507</v>
      </c>
      <c r="CI117" s="1" t="s">
        <v>506</v>
      </c>
      <c r="CK117" s="1" t="s">
        <v>506</v>
      </c>
    </row>
    <row r="118" spans="1:89" x14ac:dyDescent="0.2">
      <c r="A118" s="1" t="s">
        <v>138</v>
      </c>
      <c r="B118" s="1" t="s">
        <v>142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/>
      <c r="Q118" s="19"/>
      <c r="R118" s="19"/>
      <c r="S118" s="19">
        <v>8507</v>
      </c>
      <c r="T118" s="19"/>
      <c r="U118" s="19"/>
      <c r="V118" s="9"/>
      <c r="W118" s="9"/>
      <c r="X118" s="9"/>
      <c r="Y118" s="9"/>
      <c r="Z118" s="9"/>
      <c r="AA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8" s="9"/>
      <c r="AC118" s="20"/>
      <c r="AD118" s="19"/>
      <c r="AE118" s="9"/>
      <c r="AF118" s="19"/>
      <c r="AG118" s="43">
        <v>0.95</v>
      </c>
      <c r="AH118" s="9">
        <v>0.98</v>
      </c>
      <c r="AI118" s="9">
        <v>0.96</v>
      </c>
      <c r="AM118" s="1">
        <v>12</v>
      </c>
      <c r="AQ118" s="1">
        <v>12</v>
      </c>
      <c r="AR118" s="1">
        <v>4</v>
      </c>
      <c r="AS118" s="1">
        <v>12</v>
      </c>
      <c r="AT118" s="1">
        <v>8</v>
      </c>
      <c r="AU118" s="1">
        <v>0</v>
      </c>
      <c r="AV118" s="1" t="s">
        <v>382</v>
      </c>
      <c r="AW118" s="1" t="s">
        <v>278</v>
      </c>
      <c r="AZ118" s="1">
        <v>1095</v>
      </c>
      <c r="BB118" s="19"/>
      <c r="BC118" s="19"/>
      <c r="BD118" s="19">
        <f>20*Umrechnungsfaktoren!$B$15/Umrechnungsfaktoren!$B$12</f>
        <v>20.76</v>
      </c>
      <c r="BE118" s="8"/>
      <c r="BF118" s="8">
        <f>10*Umrechnungsfaktoren!$B$15/Umrechnungsfaktoren!$B$12</f>
        <v>10.38</v>
      </c>
      <c r="BG118" s="8"/>
      <c r="BH118" s="8"/>
      <c r="BI118" s="8">
        <f>0.03*Tabelle58971115[[#This Row],[Investitionsausgaben €_2018/kW]]</f>
        <v>0.62280000000000002</v>
      </c>
      <c r="BK118" s="7">
        <v>0.04</v>
      </c>
      <c r="BM118" s="1" t="s">
        <v>486</v>
      </c>
      <c r="BN118" s="1" t="s">
        <v>486</v>
      </c>
      <c r="BO118" s="1" t="s">
        <v>486</v>
      </c>
      <c r="BP118" s="33"/>
      <c r="BQ118" s="13" t="s">
        <v>483</v>
      </c>
      <c r="BR118" s="13" t="s">
        <v>484</v>
      </c>
      <c r="BS118" s="13"/>
      <c r="BT118" s="13"/>
      <c r="BU118" s="13"/>
      <c r="BV118" s="13"/>
      <c r="BW118" s="13"/>
      <c r="BY118" s="13"/>
      <c r="BZ118" s="13" t="s">
        <v>503</v>
      </c>
      <c r="CA118" s="13"/>
      <c r="CB118" s="1" t="s">
        <v>481</v>
      </c>
      <c r="CC118" s="1" t="s">
        <v>481</v>
      </c>
      <c r="CD118" s="1" t="s">
        <v>480</v>
      </c>
      <c r="CE118" s="1" t="s">
        <v>472</v>
      </c>
      <c r="CF118" s="1" t="s">
        <v>510</v>
      </c>
      <c r="CG118" s="1" t="s">
        <v>506</v>
      </c>
      <c r="CH118" s="1" t="s">
        <v>507</v>
      </c>
      <c r="CI118" s="1" t="s">
        <v>506</v>
      </c>
      <c r="CK118" s="1" t="s">
        <v>506</v>
      </c>
    </row>
    <row r="119" spans="1:89" x14ac:dyDescent="0.2">
      <c r="A119" s="1" t="s">
        <v>138</v>
      </c>
      <c r="B119" s="1" t="s">
        <v>142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/>
      <c r="Q119" s="19"/>
      <c r="R119" s="19"/>
      <c r="S119" s="19">
        <v>6754</v>
      </c>
      <c r="T119" s="19"/>
      <c r="U119" s="19"/>
      <c r="V119" s="9"/>
      <c r="W119" s="9"/>
      <c r="X119" s="9">
        <v>1</v>
      </c>
      <c r="Y119" s="9">
        <v>0.9</v>
      </c>
      <c r="Z119" s="9"/>
      <c r="AA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19" s="9"/>
      <c r="AC119" s="20"/>
      <c r="AD119" s="19"/>
      <c r="AE119" s="9"/>
      <c r="AF119" s="19"/>
      <c r="AG119" s="43">
        <v>0.95</v>
      </c>
      <c r="AH119" s="9">
        <v>0.98</v>
      </c>
      <c r="AI119" s="9">
        <v>0.96</v>
      </c>
      <c r="AM119" s="1">
        <v>12</v>
      </c>
      <c r="AQ119" s="1">
        <v>12</v>
      </c>
      <c r="AR119" s="1">
        <v>4</v>
      </c>
      <c r="AS119" s="1">
        <v>12</v>
      </c>
      <c r="AT119" s="1">
        <v>8</v>
      </c>
      <c r="AU119" s="1">
        <v>0</v>
      </c>
      <c r="AV119" s="1" t="s">
        <v>382</v>
      </c>
      <c r="AW119" s="1" t="s">
        <v>278</v>
      </c>
      <c r="AZ119" s="1">
        <v>1095</v>
      </c>
      <c r="BB119" s="19"/>
      <c r="BC119" s="19"/>
      <c r="BD119" s="19">
        <f>20*Umrechnungsfaktoren!$B$15/Umrechnungsfaktoren!$B$12</f>
        <v>20.76</v>
      </c>
      <c r="BE119" s="8"/>
      <c r="BF119" s="8">
        <f>10*Umrechnungsfaktoren!$B$15/Umrechnungsfaktoren!$B$12</f>
        <v>10.38</v>
      </c>
      <c r="BG119" s="8"/>
      <c r="BH119" s="8"/>
      <c r="BI119" s="8">
        <f>0.03*Tabelle58971115[[#This Row],[Investitionsausgaben €_2018/kW]]</f>
        <v>0.62280000000000002</v>
      </c>
      <c r="BK119" s="7">
        <v>0.04</v>
      </c>
      <c r="BM119" s="1" t="s">
        <v>486</v>
      </c>
      <c r="BN119" s="1" t="s">
        <v>486</v>
      </c>
      <c r="BO119" s="1" t="s">
        <v>486</v>
      </c>
      <c r="BP119" s="33"/>
      <c r="BQ119" s="13" t="s">
        <v>477</v>
      </c>
      <c r="BR119" s="13" t="s">
        <v>477</v>
      </c>
      <c r="BS119" s="13"/>
      <c r="BT119" s="13"/>
      <c r="BU119" s="13"/>
      <c r="BV119" s="13"/>
      <c r="BW119" s="13"/>
      <c r="BY119" s="13"/>
      <c r="BZ119" s="13" t="s">
        <v>503</v>
      </c>
      <c r="CA119" s="13"/>
      <c r="CB119" s="1" t="s">
        <v>481</v>
      </c>
      <c r="CC119" s="1" t="s">
        <v>481</v>
      </c>
      <c r="CD119" s="1" t="s">
        <v>480</v>
      </c>
      <c r="CE119" s="1" t="s">
        <v>472</v>
      </c>
      <c r="CF119" s="1" t="s">
        <v>510</v>
      </c>
      <c r="CG119" s="1" t="s">
        <v>506</v>
      </c>
      <c r="CH119" s="1" t="s">
        <v>507</v>
      </c>
      <c r="CI119" s="1" t="s">
        <v>506</v>
      </c>
      <c r="CK119" s="1" t="s">
        <v>506</v>
      </c>
    </row>
    <row r="120" spans="1:89" x14ac:dyDescent="0.2">
      <c r="A120" s="1" t="s">
        <v>138</v>
      </c>
      <c r="B120" s="1" t="s">
        <v>142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/>
      <c r="Q120" s="19"/>
      <c r="R120" s="19"/>
      <c r="S120" s="19">
        <v>5763</v>
      </c>
      <c r="T120" s="19"/>
      <c r="U120" s="19"/>
      <c r="V120" s="9"/>
      <c r="W120" s="9"/>
      <c r="X120" s="9">
        <v>1</v>
      </c>
      <c r="Y120" s="9">
        <v>0.9</v>
      </c>
      <c r="Z120" s="9"/>
      <c r="AA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20" s="9"/>
      <c r="AC120" s="20"/>
      <c r="AD120" s="19"/>
      <c r="AE120" s="9"/>
      <c r="AF120" s="19"/>
      <c r="AG120" s="43">
        <v>0.95</v>
      </c>
      <c r="AH120" s="9">
        <v>0.98</v>
      </c>
      <c r="AI120" s="9">
        <v>0.96</v>
      </c>
      <c r="AM120" s="1">
        <v>12</v>
      </c>
      <c r="AQ120" s="1">
        <v>12</v>
      </c>
      <c r="AR120" s="1">
        <v>4</v>
      </c>
      <c r="AS120" s="1">
        <v>12</v>
      </c>
      <c r="AT120" s="1">
        <v>8</v>
      </c>
      <c r="AU120" s="1">
        <v>0</v>
      </c>
      <c r="AV120" s="1" t="s">
        <v>382</v>
      </c>
      <c r="AW120" s="1" t="s">
        <v>278</v>
      </c>
      <c r="AZ120" s="1">
        <v>1095</v>
      </c>
      <c r="BB120" s="19"/>
      <c r="BC120" s="19"/>
      <c r="BD120" s="19">
        <f>20*Umrechnungsfaktoren!$B$15/Umrechnungsfaktoren!$B$12</f>
        <v>20.76</v>
      </c>
      <c r="BE120" s="8"/>
      <c r="BF120" s="8">
        <f>10*Umrechnungsfaktoren!$B$15/Umrechnungsfaktoren!$B$12</f>
        <v>10.38</v>
      </c>
      <c r="BG120" s="8"/>
      <c r="BH120" s="8"/>
      <c r="BI120" s="8">
        <f>0.03*Tabelle58971115[[#This Row],[Investitionsausgaben €_2018/kW]]</f>
        <v>0.62280000000000002</v>
      </c>
      <c r="BK120" s="7">
        <v>0.04</v>
      </c>
      <c r="BM120" s="1" t="s">
        <v>486</v>
      </c>
      <c r="BN120" s="1" t="s">
        <v>486</v>
      </c>
      <c r="BO120" s="1" t="s">
        <v>486</v>
      </c>
      <c r="BQ120" s="13" t="s">
        <v>478</v>
      </c>
      <c r="BR120" s="13" t="s">
        <v>478</v>
      </c>
      <c r="BS120" s="13"/>
      <c r="BT120" s="13"/>
      <c r="BU120" s="13"/>
      <c r="BV120" s="13"/>
      <c r="BW120" s="13"/>
      <c r="BY120" s="13"/>
      <c r="BZ120" s="13" t="s">
        <v>503</v>
      </c>
      <c r="CA120" s="13"/>
      <c r="CB120" s="1" t="s">
        <v>481</v>
      </c>
      <c r="CC120" s="1" t="s">
        <v>481</v>
      </c>
      <c r="CD120" s="1" t="s">
        <v>480</v>
      </c>
      <c r="CE120" s="1" t="s">
        <v>472</v>
      </c>
      <c r="CF120" s="1" t="s">
        <v>510</v>
      </c>
      <c r="CG120" s="1" t="s">
        <v>506</v>
      </c>
      <c r="CH120" s="1" t="s">
        <v>507</v>
      </c>
      <c r="CI120" s="1" t="s">
        <v>506</v>
      </c>
      <c r="CK120" s="1" t="s">
        <v>506</v>
      </c>
    </row>
    <row r="121" spans="1:89" x14ac:dyDescent="0.2">
      <c r="A121" s="1" t="s">
        <v>138</v>
      </c>
      <c r="B121" s="1" t="s">
        <v>142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/>
      <c r="Q121" s="19"/>
      <c r="R121" s="19"/>
      <c r="S121" s="19">
        <v>3469</v>
      </c>
      <c r="T121" s="19"/>
      <c r="U121" s="19"/>
      <c r="V121" s="9"/>
      <c r="W121" s="9"/>
      <c r="X121" s="9">
        <v>1</v>
      </c>
      <c r="Y121" s="9">
        <v>0.9</v>
      </c>
      <c r="Z121" s="9"/>
      <c r="AA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AB121" s="9"/>
      <c r="AC121" s="20"/>
      <c r="AD121" s="19"/>
      <c r="AE121" s="9"/>
      <c r="AF121" s="19"/>
      <c r="AG121" s="43">
        <v>0.95</v>
      </c>
      <c r="AH121" s="9">
        <v>0.98</v>
      </c>
      <c r="AI121" s="9">
        <v>0.96</v>
      </c>
      <c r="AM121" s="1">
        <v>12</v>
      </c>
      <c r="AQ121" s="1">
        <v>12</v>
      </c>
      <c r="AR121" s="1">
        <v>4</v>
      </c>
      <c r="AS121" s="1">
        <v>12</v>
      </c>
      <c r="AT121" s="1">
        <v>8</v>
      </c>
      <c r="AU121" s="1">
        <v>0</v>
      </c>
      <c r="AV121" s="1" t="s">
        <v>382</v>
      </c>
      <c r="AW121" s="1" t="s">
        <v>278</v>
      </c>
      <c r="AZ121" s="1">
        <v>1095</v>
      </c>
      <c r="BB121" s="19"/>
      <c r="BC121" s="19"/>
      <c r="BD121" s="19">
        <f>20*Umrechnungsfaktoren!$B$15/Umrechnungsfaktoren!$B$12</f>
        <v>20.76</v>
      </c>
      <c r="BE121" s="8"/>
      <c r="BF121" s="8">
        <f>10*Umrechnungsfaktoren!$B$15/Umrechnungsfaktoren!$B$12</f>
        <v>10.38</v>
      </c>
      <c r="BG121" s="8"/>
      <c r="BH121" s="8"/>
      <c r="BI121" s="8">
        <f>0.03*Tabelle58971115[[#This Row],[Investitionsausgaben €_2018/kW]]</f>
        <v>0.62280000000000002</v>
      </c>
      <c r="BK121" s="7">
        <v>0.04</v>
      </c>
      <c r="BM121" s="1" t="s">
        <v>486</v>
      </c>
      <c r="BN121" s="1" t="s">
        <v>486</v>
      </c>
      <c r="BO121" s="1" t="s">
        <v>486</v>
      </c>
      <c r="BQ121" s="13" t="s">
        <v>479</v>
      </c>
      <c r="BR121" s="13" t="s">
        <v>479</v>
      </c>
      <c r="BS121" s="13"/>
      <c r="BT121" s="13"/>
      <c r="BU121" s="13"/>
      <c r="BV121" s="13"/>
      <c r="BW121" s="13"/>
      <c r="BY121" s="13"/>
      <c r="BZ121" s="13" t="s">
        <v>503</v>
      </c>
      <c r="CA121" s="13"/>
      <c r="CB121" s="1" t="s">
        <v>481</v>
      </c>
      <c r="CC121" s="1" t="s">
        <v>481</v>
      </c>
      <c r="CD121" s="1" t="s">
        <v>480</v>
      </c>
      <c r="CE121" s="1" t="s">
        <v>472</v>
      </c>
      <c r="CF121" s="1" t="s">
        <v>510</v>
      </c>
      <c r="CG121" s="1" t="s">
        <v>506</v>
      </c>
      <c r="CH121" s="1" t="s">
        <v>507</v>
      </c>
      <c r="CI121" s="1" t="s">
        <v>506</v>
      </c>
      <c r="CK121" s="1" t="s">
        <v>506</v>
      </c>
    </row>
    <row r="123" spans="1:89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BT23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E40" sqref="E40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5" width="24.7109375" style="1" customWidth="1"/>
    <col min="26" max="26" width="28.42578125" style="1" customWidth="1"/>
    <col min="27" max="27" width="27.42578125" style="1" bestFit="1" customWidth="1"/>
    <col min="28" max="29" width="27.42578125" style="1" customWidth="1"/>
    <col min="30" max="30" width="20.7109375" style="1" bestFit="1" customWidth="1"/>
    <col min="31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1021</v>
      </c>
      <c r="J1" s="2" t="s">
        <v>1022</v>
      </c>
      <c r="K1" s="2" t="s">
        <v>97</v>
      </c>
      <c r="L1" s="2" t="s">
        <v>156</v>
      </c>
      <c r="M1" s="2" t="s">
        <v>158</v>
      </c>
      <c r="N1" s="2" t="s">
        <v>1023</v>
      </c>
      <c r="O1" s="2" t="s">
        <v>1024</v>
      </c>
      <c r="P1" s="2" t="s">
        <v>56</v>
      </c>
      <c r="Q1" s="2" t="s">
        <v>55</v>
      </c>
      <c r="R1" s="2" t="s">
        <v>1025</v>
      </c>
      <c r="S1" s="2" t="s">
        <v>1026</v>
      </c>
      <c r="T1" s="2" t="s">
        <v>332</v>
      </c>
      <c r="U1" s="2" t="s">
        <v>237</v>
      </c>
      <c r="V1" s="2" t="s">
        <v>116</v>
      </c>
      <c r="W1" s="2" t="s">
        <v>1027</v>
      </c>
      <c r="X1" s="2" t="s">
        <v>1028</v>
      </c>
      <c r="Y1" s="2" t="s">
        <v>123</v>
      </c>
      <c r="Z1" s="2" t="s">
        <v>58</v>
      </c>
      <c r="AA1" s="2" t="s">
        <v>9</v>
      </c>
      <c r="AB1" s="2" t="s">
        <v>431</v>
      </c>
      <c r="AC1" s="2" t="s">
        <v>227</v>
      </c>
      <c r="AD1" s="2" t="s">
        <v>159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1029</v>
      </c>
      <c r="AK1" s="2" t="s">
        <v>1030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1161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58" t="s">
        <v>394</v>
      </c>
      <c r="B2" s="1" t="s">
        <v>142</v>
      </c>
      <c r="C2" s="58">
        <v>2020</v>
      </c>
      <c r="D2" s="58">
        <v>1</v>
      </c>
      <c r="E2" s="58">
        <v>0</v>
      </c>
      <c r="F2" s="58">
        <v>0</v>
      </c>
      <c r="G2" s="59"/>
      <c r="H2" s="59"/>
      <c r="I2" s="59">
        <v>400</v>
      </c>
      <c r="J2" s="59">
        <v>1000</v>
      </c>
      <c r="K2" s="59"/>
      <c r="L2" s="59"/>
      <c r="M2" s="59"/>
      <c r="N2" s="59">
        <v>400</v>
      </c>
      <c r="O2" s="59">
        <v>1000</v>
      </c>
      <c r="P2" s="59"/>
      <c r="Q2" s="60"/>
      <c r="R2" s="61">
        <v>0.08</v>
      </c>
      <c r="S2" s="61">
        <v>0.2</v>
      </c>
      <c r="T2" s="62"/>
      <c r="U2" s="61"/>
      <c r="V2" s="60"/>
      <c r="W2" s="59">
        <f>Tabelle589711142925[[#This Row],[Potenzial pos. max MW Referenz]]/Tabelle589711142925[[#This Row],[flexibilisierbarer Anteil Referenz]]</f>
        <v>5000</v>
      </c>
      <c r="X2" s="59">
        <f>Tabelle589711142925[[#This Row],[Potenzial pos. max MW optimistisch (Szenario 2)]]/Tabelle589711142925[[#This Row],[flexibilisierbarer Anteil optimistisch (Szenario 2)]]</f>
        <v>5000</v>
      </c>
      <c r="Y2" s="59"/>
      <c r="Z2" s="59"/>
      <c r="AA2" s="59"/>
      <c r="AB2" s="59"/>
      <c r="AC2" s="63"/>
      <c r="AD2" s="58"/>
      <c r="AE2" s="58"/>
      <c r="AF2" s="58"/>
      <c r="AG2" s="58"/>
      <c r="AH2" s="58"/>
      <c r="AI2" s="58"/>
      <c r="AJ2" s="58">
        <v>1</v>
      </c>
      <c r="AK2" s="58">
        <v>2</v>
      </c>
      <c r="AL2" s="58"/>
      <c r="AM2" s="63"/>
      <c r="AN2" s="58"/>
      <c r="AO2" s="59"/>
      <c r="AP2" s="59"/>
      <c r="AQ2" s="59"/>
      <c r="AR2" s="64"/>
      <c r="AS2" s="64"/>
      <c r="AT2" s="64"/>
      <c r="AU2" s="64"/>
      <c r="AV2" s="64"/>
      <c r="AW2" s="58"/>
      <c r="AX2" s="58"/>
      <c r="AY2" s="1" t="s">
        <v>1003</v>
      </c>
      <c r="AZ2" s="1" t="s">
        <v>1003</v>
      </c>
      <c r="BA2" s="13" t="s">
        <v>1031</v>
      </c>
      <c r="BB2" s="13" t="s">
        <v>1031</v>
      </c>
      <c r="BC2" s="65"/>
      <c r="BD2" s="65">
        <v>89</v>
      </c>
      <c r="BE2" s="65"/>
      <c r="BF2" s="65"/>
      <c r="BG2" s="1" t="s">
        <v>1031</v>
      </c>
      <c r="BH2" s="65"/>
      <c r="BI2" s="65"/>
      <c r="BJ2" s="58"/>
      <c r="BK2" s="1" t="s">
        <v>1031</v>
      </c>
      <c r="BL2" s="58"/>
      <c r="BM2" s="58"/>
      <c r="BN2" s="58"/>
      <c r="BO2" s="58"/>
      <c r="BP2" s="58"/>
      <c r="BQ2" s="58"/>
      <c r="BR2" s="58"/>
      <c r="BS2" s="58"/>
      <c r="BT2" s="58"/>
    </row>
    <row r="3" spans="1:72" x14ac:dyDescent="0.2">
      <c r="A3" s="58" t="s">
        <v>394</v>
      </c>
      <c r="B3" s="1" t="s">
        <v>142</v>
      </c>
      <c r="C3" s="58">
        <v>2030</v>
      </c>
      <c r="D3" s="58">
        <v>1</v>
      </c>
      <c r="E3" s="58">
        <v>0</v>
      </c>
      <c r="F3" s="58">
        <v>0</v>
      </c>
      <c r="G3" s="59"/>
      <c r="H3" s="59"/>
      <c r="I3" s="59">
        <v>3100</v>
      </c>
      <c r="J3" s="59">
        <v>3700</v>
      </c>
      <c r="K3" s="59"/>
      <c r="L3" s="59"/>
      <c r="M3" s="59"/>
      <c r="N3" s="59">
        <v>3100</v>
      </c>
      <c r="O3" s="59">
        <v>3700</v>
      </c>
      <c r="P3" s="59"/>
      <c r="Q3" s="60"/>
      <c r="R3" s="61">
        <v>0.23</v>
      </c>
      <c r="S3" s="61">
        <v>0.6</v>
      </c>
      <c r="T3" s="62"/>
      <c r="U3" s="61"/>
      <c r="V3" s="60"/>
      <c r="W3" s="59">
        <f>Tabelle589711142925[[#This Row],[Potenzial pos. max MW Referenz]]/Tabelle589711142925[[#This Row],[flexibilisierbarer Anteil Referenz]]</f>
        <v>13478.260869565216</v>
      </c>
      <c r="X3" s="59">
        <f>Tabelle589711142925[[#This Row],[Potenzial pos. max MW optimistisch (Szenario 2)]]/Tabelle589711142925[[#This Row],[flexibilisierbarer Anteil optimistisch (Szenario 2)]]</f>
        <v>6166.666666666667</v>
      </c>
      <c r="Y3" s="62"/>
      <c r="Z3" s="59"/>
      <c r="AA3" s="63"/>
      <c r="AB3" s="63"/>
      <c r="AC3" s="63"/>
      <c r="AD3" s="58"/>
      <c r="AE3" s="58"/>
      <c r="AF3" s="58"/>
      <c r="AG3" s="58"/>
      <c r="AH3" s="58"/>
      <c r="AI3" s="58"/>
      <c r="AJ3" s="58">
        <v>1</v>
      </c>
      <c r="AK3" s="58">
        <v>2</v>
      </c>
      <c r="AL3" s="58"/>
      <c r="AM3" s="63"/>
      <c r="AN3" s="58"/>
      <c r="AO3" s="59"/>
      <c r="AP3" s="59"/>
      <c r="AQ3" s="59"/>
      <c r="AR3" s="64"/>
      <c r="AS3" s="64"/>
      <c r="AT3" s="64"/>
      <c r="AU3" s="64"/>
      <c r="AV3" s="64"/>
      <c r="AW3" s="58"/>
      <c r="AX3" s="58"/>
      <c r="AY3" s="1" t="s">
        <v>1003</v>
      </c>
      <c r="AZ3" s="1" t="s">
        <v>1003</v>
      </c>
      <c r="BA3" s="13" t="s">
        <v>1031</v>
      </c>
      <c r="BB3" s="13" t="s">
        <v>1031</v>
      </c>
      <c r="BC3" s="65"/>
      <c r="BD3" s="65">
        <v>89</v>
      </c>
      <c r="BE3" s="65"/>
      <c r="BF3" s="65"/>
      <c r="BG3" s="1" t="s">
        <v>1031</v>
      </c>
      <c r="BH3" s="65"/>
      <c r="BI3" s="65"/>
      <c r="BJ3" s="58"/>
      <c r="BK3" s="1" t="s">
        <v>1031</v>
      </c>
      <c r="BL3" s="58"/>
      <c r="BM3" s="58"/>
      <c r="BN3" s="58"/>
      <c r="BO3" s="58"/>
      <c r="BP3" s="58"/>
      <c r="BQ3" s="58"/>
      <c r="BR3" s="58"/>
      <c r="BS3" s="58"/>
      <c r="BT3" s="58"/>
    </row>
    <row r="4" spans="1:72" x14ac:dyDescent="0.2">
      <c r="A4" s="58" t="s">
        <v>394</v>
      </c>
      <c r="B4" s="1" t="s">
        <v>130</v>
      </c>
      <c r="C4" s="58">
        <v>2020</v>
      </c>
      <c r="D4" s="58">
        <v>1</v>
      </c>
      <c r="E4" s="58">
        <v>0</v>
      </c>
      <c r="F4" s="58">
        <v>0</v>
      </c>
      <c r="G4" s="59"/>
      <c r="H4" s="59"/>
      <c r="I4" s="59">
        <v>300</v>
      </c>
      <c r="J4" s="59">
        <v>700</v>
      </c>
      <c r="K4" s="59"/>
      <c r="L4" s="59"/>
      <c r="M4" s="59"/>
      <c r="N4" s="59">
        <v>300</v>
      </c>
      <c r="O4" s="59">
        <v>700</v>
      </c>
      <c r="P4" s="59"/>
      <c r="Q4" s="60"/>
      <c r="R4" s="61">
        <v>0.08</v>
      </c>
      <c r="S4" s="61">
        <v>0.2</v>
      </c>
      <c r="T4" s="62"/>
      <c r="U4" s="61"/>
      <c r="V4" s="60"/>
      <c r="W4" s="59">
        <f>Tabelle589711142925[[#This Row],[Potenzial pos. max MW Referenz]]/Tabelle589711142925[[#This Row],[flexibilisierbarer Anteil Referenz]]</f>
        <v>3750</v>
      </c>
      <c r="X4" s="59">
        <f>Tabelle589711142925[[#This Row],[Potenzial pos. max MW optimistisch (Szenario 2)]]/Tabelle589711142925[[#This Row],[flexibilisierbarer Anteil optimistisch (Szenario 2)]]</f>
        <v>3500</v>
      </c>
      <c r="Y4" s="62"/>
      <c r="Z4" s="59"/>
      <c r="AA4" s="63"/>
      <c r="AB4" s="63"/>
      <c r="AC4" s="63"/>
      <c r="AD4" s="58"/>
      <c r="AE4" s="58"/>
      <c r="AF4" s="58"/>
      <c r="AG4" s="58"/>
      <c r="AH4" s="58"/>
      <c r="AI4" s="58"/>
      <c r="AJ4" s="58">
        <v>2</v>
      </c>
      <c r="AK4" s="58">
        <v>2</v>
      </c>
      <c r="AL4" s="58"/>
      <c r="AM4" s="63"/>
      <c r="AN4" s="58"/>
      <c r="AO4" s="59"/>
      <c r="AP4" s="59"/>
      <c r="AQ4" s="59"/>
      <c r="AR4" s="64"/>
      <c r="AS4" s="64"/>
      <c r="AT4" s="64"/>
      <c r="AU4" s="64"/>
      <c r="AV4" s="64"/>
      <c r="AW4" s="58"/>
      <c r="AX4" s="58"/>
      <c r="AY4" s="1" t="s">
        <v>1003</v>
      </c>
      <c r="AZ4" s="1" t="s">
        <v>1003</v>
      </c>
      <c r="BA4" s="13" t="s">
        <v>1031</v>
      </c>
      <c r="BB4" s="13" t="s">
        <v>1031</v>
      </c>
      <c r="BC4" s="65"/>
      <c r="BD4" s="65">
        <v>89</v>
      </c>
      <c r="BE4" s="65"/>
      <c r="BF4" s="65"/>
      <c r="BG4" s="1" t="s">
        <v>1031</v>
      </c>
      <c r="BH4" s="65"/>
      <c r="BI4" s="65"/>
      <c r="BJ4" s="58"/>
      <c r="BK4" s="1" t="s">
        <v>1031</v>
      </c>
      <c r="BL4" s="58"/>
      <c r="BM4" s="58"/>
      <c r="BN4" s="58"/>
      <c r="BO4" s="58"/>
      <c r="BP4" s="58"/>
      <c r="BQ4" s="58"/>
      <c r="BR4" s="58"/>
      <c r="BS4" s="58"/>
      <c r="BT4" s="58"/>
    </row>
    <row r="5" spans="1:72" x14ac:dyDescent="0.2">
      <c r="A5" s="58" t="s">
        <v>394</v>
      </c>
      <c r="B5" s="1" t="s">
        <v>130</v>
      </c>
      <c r="C5" s="58">
        <v>2030</v>
      </c>
      <c r="D5" s="58">
        <v>1</v>
      </c>
      <c r="E5" s="58">
        <v>0</v>
      </c>
      <c r="F5" s="58">
        <v>0</v>
      </c>
      <c r="G5" s="59"/>
      <c r="H5" s="59"/>
      <c r="I5" s="59">
        <v>800</v>
      </c>
      <c r="J5" s="59">
        <v>2100</v>
      </c>
      <c r="K5" s="59"/>
      <c r="L5" s="59"/>
      <c r="M5" s="59"/>
      <c r="N5" s="59">
        <v>800</v>
      </c>
      <c r="O5" s="59">
        <v>2100</v>
      </c>
      <c r="P5" s="59"/>
      <c r="Q5" s="60"/>
      <c r="R5" s="61">
        <v>0.23</v>
      </c>
      <c r="S5" s="61">
        <v>0.6</v>
      </c>
      <c r="T5" s="62"/>
      <c r="U5" s="61"/>
      <c r="V5" s="60"/>
      <c r="W5" s="59">
        <f>Tabelle589711142925[[#This Row],[Potenzial pos. max MW Referenz]]/Tabelle589711142925[[#This Row],[flexibilisierbarer Anteil Referenz]]</f>
        <v>3478.260869565217</v>
      </c>
      <c r="X5" s="59">
        <f>Tabelle589711142925[[#This Row],[Potenzial pos. max MW optimistisch (Szenario 2)]]/Tabelle589711142925[[#This Row],[flexibilisierbarer Anteil optimistisch (Szenario 2)]]</f>
        <v>3500</v>
      </c>
      <c r="Y5" s="62"/>
      <c r="Z5" s="59"/>
      <c r="AA5" s="63"/>
      <c r="AB5" s="63"/>
      <c r="AC5" s="63"/>
      <c r="AD5" s="58"/>
      <c r="AE5" s="58"/>
      <c r="AF5" s="58"/>
      <c r="AG5" s="58"/>
      <c r="AH5" s="58"/>
      <c r="AI5" s="58"/>
      <c r="AJ5" s="58">
        <v>2</v>
      </c>
      <c r="AK5" s="58">
        <v>2</v>
      </c>
      <c r="AL5" s="58"/>
      <c r="AM5" s="63"/>
      <c r="AN5" s="58"/>
      <c r="AO5" s="59"/>
      <c r="AP5" s="59"/>
      <c r="AQ5" s="59"/>
      <c r="AR5" s="64"/>
      <c r="AS5" s="64"/>
      <c r="AT5" s="64"/>
      <c r="AU5" s="64"/>
      <c r="AV5" s="64"/>
      <c r="AW5" s="58"/>
      <c r="AX5" s="58"/>
      <c r="AY5" s="1" t="s">
        <v>1003</v>
      </c>
      <c r="AZ5" s="1" t="s">
        <v>1003</v>
      </c>
      <c r="BA5" s="13" t="s">
        <v>1031</v>
      </c>
      <c r="BB5" s="13" t="s">
        <v>1031</v>
      </c>
      <c r="BC5" s="65"/>
      <c r="BD5" s="65">
        <v>89</v>
      </c>
      <c r="BE5" s="65"/>
      <c r="BF5" s="65"/>
      <c r="BG5" s="1" t="s">
        <v>1031</v>
      </c>
      <c r="BH5" s="65"/>
      <c r="BI5" s="65"/>
      <c r="BJ5" s="58"/>
      <c r="BK5" s="1" t="s">
        <v>1031</v>
      </c>
      <c r="BL5" s="58"/>
      <c r="BM5" s="58"/>
      <c r="BN5" s="58"/>
      <c r="BO5" s="58"/>
      <c r="BP5" s="58"/>
      <c r="BQ5" s="58"/>
      <c r="BR5" s="58"/>
      <c r="BS5" s="58"/>
      <c r="BT5" s="58"/>
    </row>
    <row r="6" spans="1:72" x14ac:dyDescent="0.2">
      <c r="A6" s="58" t="s">
        <v>132</v>
      </c>
      <c r="B6" s="1" t="s">
        <v>142</v>
      </c>
      <c r="C6" s="58">
        <v>2020</v>
      </c>
      <c r="D6" s="58">
        <v>1</v>
      </c>
      <c r="E6" s="58">
        <v>0</v>
      </c>
      <c r="F6" s="58">
        <v>0</v>
      </c>
      <c r="G6" s="59"/>
      <c r="H6" s="59"/>
      <c r="I6" s="59">
        <v>1000</v>
      </c>
      <c r="J6" s="59">
        <v>1800</v>
      </c>
      <c r="K6" s="59"/>
      <c r="L6" s="59"/>
      <c r="M6" s="59"/>
      <c r="N6" s="59">
        <v>1000</v>
      </c>
      <c r="O6" s="59">
        <v>1800</v>
      </c>
      <c r="P6" s="59"/>
      <c r="Q6" s="60"/>
      <c r="R6" s="61">
        <v>0.08</v>
      </c>
      <c r="S6" s="61">
        <v>0.2</v>
      </c>
      <c r="T6" s="62"/>
      <c r="U6" s="61"/>
      <c r="V6" s="60"/>
      <c r="W6" s="59">
        <f>Tabelle589711142925[[#This Row],[Potenzial pos. max MW Referenz]]/Tabelle589711142925[[#This Row],[flexibilisierbarer Anteil Referenz]]</f>
        <v>12500</v>
      </c>
      <c r="X6" s="59">
        <f>Tabelle589711142925[[#This Row],[Potenzial pos. max MW optimistisch (Szenario 2)]]/Tabelle589711142925[[#This Row],[flexibilisierbarer Anteil optimistisch (Szenario 2)]]</f>
        <v>9000</v>
      </c>
      <c r="Y6" s="62"/>
      <c r="Z6" s="59"/>
      <c r="AA6" s="63"/>
      <c r="AB6" s="63"/>
      <c r="AC6" s="63"/>
      <c r="AD6" s="58"/>
      <c r="AE6" s="58"/>
      <c r="AF6" s="58"/>
      <c r="AG6" s="58"/>
      <c r="AH6" s="58"/>
      <c r="AI6" s="58"/>
      <c r="AJ6" s="58">
        <v>1</v>
      </c>
      <c r="AK6" s="58">
        <v>3</v>
      </c>
      <c r="AL6" s="58"/>
      <c r="AM6" s="63"/>
      <c r="AN6" s="58"/>
      <c r="AO6" s="59"/>
      <c r="AP6" s="59"/>
      <c r="AQ6" s="59"/>
      <c r="AR6" s="64"/>
      <c r="AS6" s="64"/>
      <c r="AT6" s="64"/>
      <c r="AU6" s="64"/>
      <c r="AV6" s="64"/>
      <c r="AW6" s="58"/>
      <c r="AX6" s="58"/>
      <c r="AY6" s="1" t="s">
        <v>1003</v>
      </c>
      <c r="AZ6" s="1" t="s">
        <v>1003</v>
      </c>
      <c r="BA6" s="13" t="s">
        <v>1031</v>
      </c>
      <c r="BB6" s="13" t="s">
        <v>1031</v>
      </c>
      <c r="BC6" s="65"/>
      <c r="BD6" s="65">
        <v>89</v>
      </c>
      <c r="BE6" s="65"/>
      <c r="BF6" s="65"/>
      <c r="BG6" s="1" t="s">
        <v>1031</v>
      </c>
      <c r="BH6" s="65"/>
      <c r="BI6" s="65"/>
      <c r="BJ6" s="58"/>
      <c r="BK6" s="1" t="s">
        <v>1031</v>
      </c>
      <c r="BL6" s="58"/>
      <c r="BM6" s="58"/>
      <c r="BN6" s="58"/>
      <c r="BO6" s="58"/>
      <c r="BP6" s="58"/>
      <c r="BQ6" s="58"/>
      <c r="BR6" s="58"/>
      <c r="BS6" s="58"/>
      <c r="BT6" s="58"/>
    </row>
    <row r="7" spans="1:72" x14ac:dyDescent="0.2">
      <c r="A7" s="58" t="s">
        <v>132</v>
      </c>
      <c r="B7" s="1" t="s">
        <v>142</v>
      </c>
      <c r="C7" s="58">
        <v>2030</v>
      </c>
      <c r="D7" s="58">
        <v>1</v>
      </c>
      <c r="E7" s="58">
        <v>0</v>
      </c>
      <c r="F7" s="58">
        <v>0</v>
      </c>
      <c r="G7" s="59"/>
      <c r="H7" s="59"/>
      <c r="I7" s="59">
        <v>3000</v>
      </c>
      <c r="J7" s="59">
        <v>5000</v>
      </c>
      <c r="K7" s="59"/>
      <c r="L7" s="59"/>
      <c r="M7" s="59"/>
      <c r="N7" s="59">
        <v>3000</v>
      </c>
      <c r="O7" s="59">
        <v>5000</v>
      </c>
      <c r="P7" s="59"/>
      <c r="Q7" s="60"/>
      <c r="R7" s="61">
        <v>0.68</v>
      </c>
      <c r="S7" s="61">
        <v>0.6</v>
      </c>
      <c r="T7" s="62"/>
      <c r="U7" s="61"/>
      <c r="V7" s="60"/>
      <c r="W7" s="59">
        <f>Tabelle589711142925[[#This Row],[Potenzial pos. max MW Referenz]]/Tabelle589711142925[[#This Row],[flexibilisierbarer Anteil Referenz]]</f>
        <v>4411.7647058823522</v>
      </c>
      <c r="X7" s="59">
        <f>Tabelle589711142925[[#This Row],[Potenzial pos. max MW optimistisch (Szenario 2)]]/Tabelle589711142925[[#This Row],[flexibilisierbarer Anteil optimistisch (Szenario 2)]]</f>
        <v>8333.3333333333339</v>
      </c>
      <c r="Y7" s="62"/>
      <c r="Z7" s="59"/>
      <c r="AA7" s="63"/>
      <c r="AB7" s="63"/>
      <c r="AC7" s="63"/>
      <c r="AD7" s="58"/>
      <c r="AE7" s="58"/>
      <c r="AF7" s="58"/>
      <c r="AG7" s="58"/>
      <c r="AH7" s="58"/>
      <c r="AI7" s="58"/>
      <c r="AJ7" s="58">
        <v>1</v>
      </c>
      <c r="AK7" s="58">
        <v>3</v>
      </c>
      <c r="AL7" s="58"/>
      <c r="AM7" s="63"/>
      <c r="AN7" s="58"/>
      <c r="AO7" s="59"/>
      <c r="AP7" s="59"/>
      <c r="AQ7" s="59"/>
      <c r="AR7" s="64"/>
      <c r="AS7" s="64"/>
      <c r="AT7" s="64"/>
      <c r="AU7" s="64"/>
      <c r="AV7" s="64"/>
      <c r="AW7" s="58"/>
      <c r="AX7" s="58"/>
      <c r="AY7" s="1" t="s">
        <v>1003</v>
      </c>
      <c r="AZ7" s="1" t="s">
        <v>1003</v>
      </c>
      <c r="BA7" s="13" t="s">
        <v>1031</v>
      </c>
      <c r="BB7" s="13" t="s">
        <v>1031</v>
      </c>
      <c r="BC7" s="65"/>
      <c r="BD7" s="65">
        <v>89</v>
      </c>
      <c r="BE7" s="65"/>
      <c r="BF7" s="65"/>
      <c r="BG7" s="1" t="s">
        <v>1031</v>
      </c>
      <c r="BH7" s="65"/>
      <c r="BI7" s="65"/>
      <c r="BJ7" s="58"/>
      <c r="BK7" s="1" t="s">
        <v>1031</v>
      </c>
      <c r="BL7" s="58"/>
      <c r="BM7" s="58"/>
      <c r="BN7" s="58"/>
      <c r="BO7" s="58"/>
      <c r="BP7" s="58"/>
      <c r="BQ7" s="58"/>
      <c r="BR7" s="58"/>
      <c r="BS7" s="58"/>
      <c r="BT7" s="58"/>
    </row>
    <row r="8" spans="1:72" x14ac:dyDescent="0.2">
      <c r="A8" s="58" t="s">
        <v>133</v>
      </c>
      <c r="B8" s="1" t="s">
        <v>142</v>
      </c>
      <c r="C8" s="58">
        <v>2020</v>
      </c>
      <c r="D8" s="58">
        <v>1</v>
      </c>
      <c r="E8" s="58">
        <v>0</v>
      </c>
      <c r="F8" s="58">
        <v>0</v>
      </c>
      <c r="G8" s="59"/>
      <c r="H8" s="59"/>
      <c r="I8" s="59">
        <v>1100</v>
      </c>
      <c r="J8" s="59">
        <v>2000</v>
      </c>
      <c r="K8" s="59"/>
      <c r="L8" s="59"/>
      <c r="M8" s="59"/>
      <c r="N8" s="59">
        <v>1100</v>
      </c>
      <c r="O8" s="59">
        <v>2000</v>
      </c>
      <c r="P8" s="59"/>
      <c r="Q8" s="60"/>
      <c r="R8" s="61">
        <v>0.08</v>
      </c>
      <c r="S8" s="61">
        <v>0.28999999999999998</v>
      </c>
      <c r="T8" s="62"/>
      <c r="U8" s="61"/>
      <c r="V8" s="60"/>
      <c r="W8" s="59">
        <f>Tabelle589711142925[[#This Row],[Potenzial pos. max MW Referenz]]/Tabelle589711142925[[#This Row],[flexibilisierbarer Anteil Referenz]]</f>
        <v>13750</v>
      </c>
      <c r="X8" s="59">
        <f>Tabelle589711142925[[#This Row],[Potenzial pos. max MW optimistisch (Szenario 2)]]/Tabelle589711142925[[#This Row],[flexibilisierbarer Anteil optimistisch (Szenario 2)]]</f>
        <v>6896.5517241379312</v>
      </c>
      <c r="Y8" s="62"/>
      <c r="Z8" s="59"/>
      <c r="AA8" s="63"/>
      <c r="AB8" s="63"/>
      <c r="AC8" s="63"/>
      <c r="AD8" s="58"/>
      <c r="AE8" s="58"/>
      <c r="AF8" s="58"/>
      <c r="AG8" s="58"/>
      <c r="AH8" s="58"/>
      <c r="AI8" s="58"/>
      <c r="AJ8" s="58">
        <v>1</v>
      </c>
      <c r="AK8" s="58">
        <v>3</v>
      </c>
      <c r="AL8" s="58"/>
      <c r="AM8" s="63"/>
      <c r="AN8" s="58"/>
      <c r="AO8" s="59"/>
      <c r="AP8" s="59"/>
      <c r="AQ8" s="59"/>
      <c r="AR8" s="64"/>
      <c r="AS8" s="64"/>
      <c r="AT8" s="64"/>
      <c r="AU8" s="64"/>
      <c r="AV8" s="64"/>
      <c r="AW8" s="58"/>
      <c r="AX8" s="58"/>
      <c r="AY8" s="1" t="s">
        <v>1003</v>
      </c>
      <c r="AZ8" s="1" t="s">
        <v>1003</v>
      </c>
      <c r="BA8" s="13" t="s">
        <v>1031</v>
      </c>
      <c r="BB8" s="13" t="s">
        <v>1031</v>
      </c>
      <c r="BC8" s="65"/>
      <c r="BD8" s="65">
        <v>89</v>
      </c>
      <c r="BE8" s="65"/>
      <c r="BF8" s="65"/>
      <c r="BG8" s="1" t="s">
        <v>1031</v>
      </c>
      <c r="BH8" s="65"/>
      <c r="BI8" s="65"/>
      <c r="BJ8" s="58"/>
      <c r="BK8" s="1" t="s">
        <v>1031</v>
      </c>
      <c r="BL8" s="58"/>
      <c r="BM8" s="58"/>
      <c r="BN8" s="58"/>
      <c r="BO8" s="58"/>
      <c r="BP8" s="58"/>
      <c r="BQ8" s="58"/>
      <c r="BR8" s="58"/>
      <c r="BS8" s="58"/>
      <c r="BT8" s="58"/>
    </row>
    <row r="9" spans="1:72" x14ac:dyDescent="0.2">
      <c r="A9" s="58" t="s">
        <v>133</v>
      </c>
      <c r="B9" s="1" t="s">
        <v>142</v>
      </c>
      <c r="C9" s="58">
        <v>2030</v>
      </c>
      <c r="D9" s="58">
        <v>1</v>
      </c>
      <c r="E9" s="58">
        <v>0</v>
      </c>
      <c r="F9" s="58">
        <v>0</v>
      </c>
      <c r="G9" s="59"/>
      <c r="H9" s="59"/>
      <c r="I9" s="59">
        <v>3300</v>
      </c>
      <c r="J9" s="59">
        <v>5400</v>
      </c>
      <c r="K9" s="59"/>
      <c r="L9" s="59"/>
      <c r="M9" s="59"/>
      <c r="N9" s="59">
        <v>3300</v>
      </c>
      <c r="O9" s="59">
        <v>5400</v>
      </c>
      <c r="P9" s="59"/>
      <c r="Q9" s="60"/>
      <c r="R9" s="61">
        <v>0.68</v>
      </c>
      <c r="S9" s="61">
        <v>0.69</v>
      </c>
      <c r="T9" s="62"/>
      <c r="U9" s="61"/>
      <c r="V9" s="60"/>
      <c r="W9" s="59">
        <f>Tabelle589711142925[[#This Row],[Potenzial pos. max MW Referenz]]/Tabelle589711142925[[#This Row],[flexibilisierbarer Anteil Referenz]]</f>
        <v>4852.9411764705883</v>
      </c>
      <c r="X9" s="59">
        <f>Tabelle589711142925[[#This Row],[Potenzial pos. max MW optimistisch (Szenario 2)]]/Tabelle589711142925[[#This Row],[flexibilisierbarer Anteil optimistisch (Szenario 2)]]</f>
        <v>7826.0869565217399</v>
      </c>
      <c r="Y9" s="62"/>
      <c r="Z9" s="59"/>
      <c r="AA9" s="63"/>
      <c r="AB9" s="63"/>
      <c r="AC9" s="63"/>
      <c r="AD9" s="58"/>
      <c r="AE9" s="58"/>
      <c r="AF9" s="58"/>
      <c r="AG9" s="58"/>
      <c r="AH9" s="58"/>
      <c r="AI9" s="58"/>
      <c r="AJ9" s="58">
        <v>1</v>
      </c>
      <c r="AK9" s="58">
        <v>3</v>
      </c>
      <c r="AL9" s="58"/>
      <c r="AM9" s="63"/>
      <c r="AN9" s="58"/>
      <c r="AO9" s="59"/>
      <c r="AP9" s="59"/>
      <c r="AQ9" s="59"/>
      <c r="AR9" s="64"/>
      <c r="AS9" s="64"/>
      <c r="AT9" s="64"/>
      <c r="AU9" s="64"/>
      <c r="AV9" s="64"/>
      <c r="AW9" s="58"/>
      <c r="AX9" s="58"/>
      <c r="AY9" s="1" t="s">
        <v>1003</v>
      </c>
      <c r="AZ9" s="1" t="s">
        <v>1003</v>
      </c>
      <c r="BA9" s="13" t="s">
        <v>1031</v>
      </c>
      <c r="BB9" s="13" t="s">
        <v>1031</v>
      </c>
      <c r="BC9" s="65"/>
      <c r="BD9" s="65">
        <v>89</v>
      </c>
      <c r="BE9" s="65"/>
      <c r="BF9" s="65"/>
      <c r="BG9" s="1" t="s">
        <v>1031</v>
      </c>
      <c r="BH9" s="65"/>
      <c r="BI9" s="65"/>
      <c r="BJ9" s="58"/>
      <c r="BK9" s="1" t="s">
        <v>1031</v>
      </c>
      <c r="BL9" s="58"/>
      <c r="BM9" s="58"/>
      <c r="BN9" s="58"/>
      <c r="BO9" s="58"/>
      <c r="BP9" s="58"/>
      <c r="BQ9" s="58"/>
      <c r="BR9" s="58"/>
      <c r="BS9" s="58"/>
      <c r="BT9" s="58"/>
    </row>
    <row r="10" spans="1:72" x14ac:dyDescent="0.2">
      <c r="A10" s="58" t="s">
        <v>288</v>
      </c>
      <c r="B10" s="1" t="s">
        <v>142</v>
      </c>
      <c r="C10" s="58">
        <v>2020</v>
      </c>
      <c r="D10" s="58">
        <v>1</v>
      </c>
      <c r="E10" s="58">
        <v>0</v>
      </c>
      <c r="F10" s="58">
        <v>0</v>
      </c>
      <c r="G10" s="59"/>
      <c r="H10" s="59"/>
      <c r="I10" s="59">
        <v>2000</v>
      </c>
      <c r="J10" s="59">
        <v>3500</v>
      </c>
      <c r="K10" s="59"/>
      <c r="L10" s="59"/>
      <c r="M10" s="59"/>
      <c r="N10" s="59">
        <v>2000</v>
      </c>
      <c r="O10" s="59">
        <v>3500</v>
      </c>
      <c r="P10" s="59"/>
      <c r="Q10" s="60"/>
      <c r="R10" s="61">
        <v>0.08</v>
      </c>
      <c r="S10" s="61">
        <v>0.2</v>
      </c>
      <c r="T10" s="62"/>
      <c r="U10" s="61"/>
      <c r="V10" s="60"/>
      <c r="W10" s="59">
        <f>Tabelle589711142925[[#This Row],[Potenzial pos. max MW Referenz]]/Tabelle589711142925[[#This Row],[flexibilisierbarer Anteil Referenz]]</f>
        <v>25000</v>
      </c>
      <c r="X10" s="59">
        <f>Tabelle589711142925[[#This Row],[Potenzial pos. max MW optimistisch (Szenario 2)]]/Tabelle589711142925[[#This Row],[flexibilisierbarer Anteil optimistisch (Szenario 2)]]</f>
        <v>17500</v>
      </c>
      <c r="Y10" s="62"/>
      <c r="Z10" s="59"/>
      <c r="AA10" s="63"/>
      <c r="AB10" s="63"/>
      <c r="AC10" s="63"/>
      <c r="AD10" s="58"/>
      <c r="AE10" s="58"/>
      <c r="AF10" s="58"/>
      <c r="AG10" s="58"/>
      <c r="AH10" s="58"/>
      <c r="AI10" s="58"/>
      <c r="AJ10" s="58">
        <v>6</v>
      </c>
      <c r="AK10" s="58">
        <v>12</v>
      </c>
      <c r="AL10" s="58"/>
      <c r="AM10" s="63"/>
      <c r="AN10" s="58"/>
      <c r="AO10" s="59"/>
      <c r="AP10" s="59"/>
      <c r="AQ10" s="59"/>
      <c r="AR10" s="64"/>
      <c r="AS10" s="64"/>
      <c r="AT10" s="64"/>
      <c r="AU10" s="64"/>
      <c r="AV10" s="64"/>
      <c r="AW10" s="58"/>
      <c r="AX10" s="58"/>
      <c r="AY10" s="1" t="s">
        <v>1003</v>
      </c>
      <c r="AZ10" s="1" t="s">
        <v>1003</v>
      </c>
      <c r="BA10" s="13" t="s">
        <v>1031</v>
      </c>
      <c r="BB10" s="13" t="s">
        <v>1031</v>
      </c>
      <c r="BC10" s="65"/>
      <c r="BD10" s="65">
        <v>89</v>
      </c>
      <c r="BE10" s="65"/>
      <c r="BF10" s="65"/>
      <c r="BG10" s="1" t="s">
        <v>1031</v>
      </c>
      <c r="BH10" s="65"/>
      <c r="BI10" s="65"/>
      <c r="BJ10" s="58"/>
      <c r="BK10" s="1" t="s">
        <v>1031</v>
      </c>
      <c r="BL10" s="58"/>
      <c r="BM10" s="58"/>
      <c r="BN10" s="58"/>
      <c r="BO10" s="58"/>
      <c r="BP10" s="58"/>
      <c r="BQ10" s="58"/>
      <c r="BR10" s="58"/>
      <c r="BS10" s="58"/>
      <c r="BT10" s="58"/>
    </row>
    <row r="11" spans="1:72" x14ac:dyDescent="0.2">
      <c r="A11" s="58" t="s">
        <v>288</v>
      </c>
      <c r="B11" s="1" t="s">
        <v>142</v>
      </c>
      <c r="C11" s="58">
        <v>2030</v>
      </c>
      <c r="D11" s="58">
        <v>1</v>
      </c>
      <c r="E11" s="58">
        <v>0</v>
      </c>
      <c r="F11" s="58">
        <v>0</v>
      </c>
      <c r="G11" s="59"/>
      <c r="H11" s="59"/>
      <c r="I11" s="59">
        <v>5900</v>
      </c>
      <c r="J11" s="59">
        <v>9600</v>
      </c>
      <c r="K11" s="59"/>
      <c r="L11" s="59"/>
      <c r="M11" s="59"/>
      <c r="N11" s="59">
        <v>5900</v>
      </c>
      <c r="O11" s="59">
        <v>9600</v>
      </c>
      <c r="P11" s="59"/>
      <c r="Q11" s="60"/>
      <c r="R11" s="61">
        <v>0.68</v>
      </c>
      <c r="S11" s="61">
        <v>0.6</v>
      </c>
      <c r="T11" s="62"/>
      <c r="U11" s="61"/>
      <c r="V11" s="60"/>
      <c r="W11" s="59">
        <f>Tabelle589711142925[[#This Row],[Potenzial pos. max MW Referenz]]/Tabelle589711142925[[#This Row],[flexibilisierbarer Anteil Referenz]]</f>
        <v>8676.4705882352937</v>
      </c>
      <c r="X11" s="59">
        <f>Tabelle589711142925[[#This Row],[Potenzial pos. max MW optimistisch (Szenario 2)]]/Tabelle589711142925[[#This Row],[flexibilisierbarer Anteil optimistisch (Szenario 2)]]</f>
        <v>16000</v>
      </c>
      <c r="Y11" s="62"/>
      <c r="Z11" s="59"/>
      <c r="AA11" s="63"/>
      <c r="AB11" s="63"/>
      <c r="AC11" s="63"/>
      <c r="AD11" s="58"/>
      <c r="AE11" s="58"/>
      <c r="AF11" s="58"/>
      <c r="AG11" s="58"/>
      <c r="AH11" s="58"/>
      <c r="AI11" s="58"/>
      <c r="AJ11" s="58">
        <v>6</v>
      </c>
      <c r="AK11" s="58">
        <v>12</v>
      </c>
      <c r="AL11" s="58"/>
      <c r="AM11" s="63"/>
      <c r="AN11" s="58"/>
      <c r="AO11" s="59"/>
      <c r="AP11" s="59"/>
      <c r="AQ11" s="59"/>
      <c r="AR11" s="64"/>
      <c r="AS11" s="64"/>
      <c r="AT11" s="64"/>
      <c r="AU11" s="64"/>
      <c r="AV11" s="64"/>
      <c r="AW11" s="58"/>
      <c r="AX11" s="58"/>
      <c r="AY11" s="1" t="s">
        <v>1003</v>
      </c>
      <c r="AZ11" s="1" t="s">
        <v>1003</v>
      </c>
      <c r="BA11" s="13" t="s">
        <v>1031</v>
      </c>
      <c r="BB11" s="13" t="s">
        <v>1031</v>
      </c>
      <c r="BC11" s="65"/>
      <c r="BD11" s="65">
        <v>89</v>
      </c>
      <c r="BE11" s="65"/>
      <c r="BF11" s="65"/>
      <c r="BG11" s="1" t="s">
        <v>1031</v>
      </c>
      <c r="BH11" s="65"/>
      <c r="BI11" s="65"/>
      <c r="BJ11" s="58"/>
      <c r="BK11" s="1" t="s">
        <v>1031</v>
      </c>
      <c r="BL11" s="58"/>
      <c r="BM11" s="58"/>
      <c r="BN11" s="58"/>
      <c r="BO11" s="58"/>
      <c r="BP11" s="58"/>
      <c r="BQ11" s="58"/>
      <c r="BR11" s="58"/>
      <c r="BS11" s="58"/>
      <c r="BT11" s="58"/>
    </row>
    <row r="12" spans="1:72" x14ac:dyDescent="0.2">
      <c r="A12" s="58" t="s">
        <v>141</v>
      </c>
      <c r="B12" s="1" t="s">
        <v>142</v>
      </c>
      <c r="C12" s="58">
        <v>2020</v>
      </c>
      <c r="D12" s="58">
        <v>1</v>
      </c>
      <c r="E12" s="58">
        <v>0</v>
      </c>
      <c r="F12" s="58">
        <v>0</v>
      </c>
      <c r="G12" s="59"/>
      <c r="H12" s="59"/>
      <c r="I12" s="59">
        <v>14600</v>
      </c>
      <c r="J12" s="59">
        <v>9700</v>
      </c>
      <c r="K12" s="59"/>
      <c r="L12" s="59"/>
      <c r="M12" s="59"/>
      <c r="N12" s="59">
        <v>14600</v>
      </c>
      <c r="O12" s="59">
        <v>9700</v>
      </c>
      <c r="P12" s="59"/>
      <c r="Q12" s="60"/>
      <c r="R12" s="61">
        <v>1</v>
      </c>
      <c r="S12" s="61">
        <v>1</v>
      </c>
      <c r="T12" s="62"/>
      <c r="U12" s="61"/>
      <c r="V12" s="60"/>
      <c r="W12" s="59">
        <f>Tabelle589711142925[[#This Row],[Potenzial pos. max MW Referenz]]/Tabelle589711142925[[#This Row],[flexibilisierbarer Anteil Referenz]]</f>
        <v>14600</v>
      </c>
      <c r="X12" s="59">
        <f>Tabelle589711142925[[#This Row],[Potenzial pos. max MW optimistisch (Szenario 2)]]/Tabelle589711142925[[#This Row],[flexibilisierbarer Anteil optimistisch (Szenario 2)]]</f>
        <v>9700</v>
      </c>
      <c r="Y12" s="62"/>
      <c r="Z12" s="59"/>
      <c r="AA12" s="63"/>
      <c r="AB12" s="63"/>
      <c r="AC12" s="63"/>
      <c r="AD12" s="58"/>
      <c r="AE12" s="58"/>
      <c r="AF12" s="58"/>
      <c r="AG12" s="58"/>
      <c r="AH12" s="58"/>
      <c r="AI12" s="58"/>
      <c r="AJ12" s="58">
        <v>18</v>
      </c>
      <c r="AK12" s="58">
        <v>18</v>
      </c>
      <c r="AL12" s="58"/>
      <c r="AM12" s="63"/>
      <c r="AN12" s="58"/>
      <c r="AO12" s="59"/>
      <c r="AP12" s="59"/>
      <c r="AQ12" s="59"/>
      <c r="AR12" s="64"/>
      <c r="AS12" s="64"/>
      <c r="AT12" s="64"/>
      <c r="AU12" s="64"/>
      <c r="AV12" s="64"/>
      <c r="AW12" s="58"/>
      <c r="AX12" s="58"/>
      <c r="AY12" s="1" t="s">
        <v>1003</v>
      </c>
      <c r="AZ12" s="1" t="s">
        <v>1003</v>
      </c>
      <c r="BA12" s="13" t="s">
        <v>1031</v>
      </c>
      <c r="BB12" s="13" t="s">
        <v>1031</v>
      </c>
      <c r="BC12" s="65"/>
      <c r="BD12" s="65">
        <v>89</v>
      </c>
      <c r="BE12" s="65"/>
      <c r="BF12" s="65"/>
      <c r="BG12" s="1" t="s">
        <v>1031</v>
      </c>
      <c r="BH12" s="65"/>
      <c r="BI12" s="65"/>
      <c r="BJ12" s="58"/>
      <c r="BK12" s="1" t="s">
        <v>1031</v>
      </c>
      <c r="BL12" s="58"/>
      <c r="BM12" s="58"/>
      <c r="BN12" s="58"/>
      <c r="BO12" s="58"/>
      <c r="BP12" s="58"/>
      <c r="BQ12" s="58"/>
      <c r="BR12" s="58"/>
      <c r="BS12" s="58"/>
      <c r="BT12" s="58"/>
    </row>
    <row r="13" spans="1:72" x14ac:dyDescent="0.2">
      <c r="A13" s="58" t="s">
        <v>141</v>
      </c>
      <c r="B13" s="1" t="s">
        <v>142</v>
      </c>
      <c r="C13" s="58">
        <v>2030</v>
      </c>
      <c r="D13" s="58">
        <v>1</v>
      </c>
      <c r="E13" s="58">
        <v>0</v>
      </c>
      <c r="F13" s="58">
        <v>0</v>
      </c>
      <c r="G13" s="59"/>
      <c r="H13" s="59"/>
      <c r="I13" s="59">
        <v>9200</v>
      </c>
      <c r="J13" s="59">
        <v>6000</v>
      </c>
      <c r="K13" s="59"/>
      <c r="L13" s="59"/>
      <c r="M13" s="59"/>
      <c r="N13" s="59">
        <v>9200</v>
      </c>
      <c r="O13" s="59">
        <v>6000</v>
      </c>
      <c r="P13" s="59"/>
      <c r="Q13" s="60"/>
      <c r="R13" s="61">
        <v>1</v>
      </c>
      <c r="S13" s="61">
        <v>1</v>
      </c>
      <c r="T13" s="62"/>
      <c r="U13" s="61"/>
      <c r="V13" s="60"/>
      <c r="W13" s="59">
        <f>Tabelle589711142925[[#This Row],[Potenzial pos. max MW Referenz]]/Tabelle589711142925[[#This Row],[flexibilisierbarer Anteil Referenz]]</f>
        <v>9200</v>
      </c>
      <c r="X13" s="59">
        <f>Tabelle589711142925[[#This Row],[Potenzial pos. max MW optimistisch (Szenario 2)]]/Tabelle589711142925[[#This Row],[flexibilisierbarer Anteil optimistisch (Szenario 2)]]</f>
        <v>6000</v>
      </c>
      <c r="Y13" s="62"/>
      <c r="Z13" s="59"/>
      <c r="AA13" s="63"/>
      <c r="AB13" s="63"/>
      <c r="AC13" s="63"/>
      <c r="AD13" s="58"/>
      <c r="AE13" s="58"/>
      <c r="AF13" s="58"/>
      <c r="AG13" s="58"/>
      <c r="AH13" s="58"/>
      <c r="AI13" s="58"/>
      <c r="AJ13" s="58">
        <v>18</v>
      </c>
      <c r="AK13" s="58">
        <v>18</v>
      </c>
      <c r="AL13" s="58"/>
      <c r="AM13" s="63"/>
      <c r="AN13" s="58"/>
      <c r="AO13" s="59"/>
      <c r="AP13" s="59"/>
      <c r="AQ13" s="59"/>
      <c r="AR13" s="64"/>
      <c r="AS13" s="64"/>
      <c r="AT13" s="64"/>
      <c r="AU13" s="64"/>
      <c r="AV13" s="64"/>
      <c r="AW13" s="58"/>
      <c r="AX13" s="58"/>
      <c r="AY13" s="1" t="s">
        <v>1003</v>
      </c>
      <c r="AZ13" s="1" t="s">
        <v>1003</v>
      </c>
      <c r="BA13" s="13" t="s">
        <v>1031</v>
      </c>
      <c r="BB13" s="13" t="s">
        <v>1031</v>
      </c>
      <c r="BC13" s="65"/>
      <c r="BD13" s="65">
        <v>89</v>
      </c>
      <c r="BE13" s="65"/>
      <c r="BF13" s="65"/>
      <c r="BG13" s="1" t="s">
        <v>1031</v>
      </c>
      <c r="BH13" s="65"/>
      <c r="BI13" s="65"/>
      <c r="BJ13" s="58"/>
      <c r="BK13" s="1" t="s">
        <v>1031</v>
      </c>
      <c r="BL13" s="58"/>
      <c r="BM13" s="58"/>
      <c r="BN13" s="58"/>
      <c r="BO13" s="58"/>
      <c r="BP13" s="58"/>
      <c r="BQ13" s="58"/>
      <c r="BR13" s="58"/>
      <c r="BS13" s="58"/>
      <c r="BT13" s="58"/>
    </row>
    <row r="14" spans="1:72" x14ac:dyDescent="0.2">
      <c r="A14" s="58" t="s">
        <v>137</v>
      </c>
      <c r="B14" s="1" t="s">
        <v>142</v>
      </c>
      <c r="C14" s="58">
        <v>2020</v>
      </c>
      <c r="D14" s="58">
        <v>1</v>
      </c>
      <c r="E14" s="58">
        <v>0</v>
      </c>
      <c r="F14" s="58">
        <v>0</v>
      </c>
      <c r="G14" s="59"/>
      <c r="H14" s="59"/>
      <c r="I14" s="59">
        <v>5700</v>
      </c>
      <c r="J14" s="59">
        <v>4300</v>
      </c>
      <c r="K14" s="59"/>
      <c r="L14" s="59"/>
      <c r="M14" s="59"/>
      <c r="N14" s="59">
        <v>5700</v>
      </c>
      <c r="O14" s="59">
        <v>4300</v>
      </c>
      <c r="P14" s="59"/>
      <c r="Q14" s="60"/>
      <c r="R14" s="61">
        <v>1</v>
      </c>
      <c r="S14" s="61">
        <v>1</v>
      </c>
      <c r="T14" s="62"/>
      <c r="U14" s="61"/>
      <c r="V14" s="60"/>
      <c r="W14" s="59">
        <f>Tabelle589711142925[[#This Row],[Potenzial pos. max MW Referenz]]/Tabelle589711142925[[#This Row],[flexibilisierbarer Anteil Referenz]]</f>
        <v>5700</v>
      </c>
      <c r="X14" s="59">
        <f>Tabelle589711142925[[#This Row],[Potenzial pos. max MW optimistisch (Szenario 2)]]/Tabelle589711142925[[#This Row],[flexibilisierbarer Anteil optimistisch (Szenario 2)]]</f>
        <v>4300</v>
      </c>
      <c r="Y14" s="62"/>
      <c r="Z14" s="59"/>
      <c r="AA14" s="63"/>
      <c r="AB14" s="63"/>
      <c r="AC14" s="63"/>
      <c r="AD14" s="58"/>
      <c r="AE14" s="58"/>
      <c r="AF14" s="58"/>
      <c r="AG14" s="58"/>
      <c r="AH14" s="58"/>
      <c r="AI14" s="58"/>
      <c r="AJ14" s="58">
        <v>1</v>
      </c>
      <c r="AK14" s="58">
        <v>4</v>
      </c>
      <c r="AL14" s="58"/>
      <c r="AM14" s="63"/>
      <c r="AN14" s="58"/>
      <c r="AO14" s="59"/>
      <c r="AP14" s="59"/>
      <c r="AQ14" s="59"/>
      <c r="AR14" s="64"/>
      <c r="AS14" s="64"/>
      <c r="AT14" s="64"/>
      <c r="AU14" s="64"/>
      <c r="AV14" s="64"/>
      <c r="AW14" s="58"/>
      <c r="AX14" s="58"/>
      <c r="AY14" s="1" t="s">
        <v>1003</v>
      </c>
      <c r="AZ14" s="1" t="s">
        <v>1003</v>
      </c>
      <c r="BA14" s="13" t="s">
        <v>1031</v>
      </c>
      <c r="BB14" s="13" t="s">
        <v>1031</v>
      </c>
      <c r="BC14" s="65"/>
      <c r="BD14" s="65">
        <v>89</v>
      </c>
      <c r="BE14" s="65"/>
      <c r="BF14" s="65"/>
      <c r="BG14" s="1" t="s">
        <v>1031</v>
      </c>
      <c r="BH14" s="65"/>
      <c r="BI14" s="65"/>
      <c r="BJ14" s="58"/>
      <c r="BK14" s="1" t="s">
        <v>1031</v>
      </c>
      <c r="BL14" s="58"/>
      <c r="BM14" s="58"/>
      <c r="BN14" s="58"/>
      <c r="BO14" s="58"/>
      <c r="BP14" s="58"/>
      <c r="BQ14" s="58"/>
      <c r="BR14" s="58"/>
      <c r="BS14" s="58"/>
      <c r="BT14" s="58"/>
    </row>
    <row r="15" spans="1:72" x14ac:dyDescent="0.2">
      <c r="A15" s="58" t="s">
        <v>137</v>
      </c>
      <c r="B15" s="1" t="s">
        <v>142</v>
      </c>
      <c r="C15" s="58">
        <v>2030</v>
      </c>
      <c r="D15" s="58">
        <v>1</v>
      </c>
      <c r="E15" s="58">
        <v>0</v>
      </c>
      <c r="F15" s="58">
        <v>0</v>
      </c>
      <c r="G15" s="59"/>
      <c r="H15" s="59"/>
      <c r="I15" s="59">
        <v>8000</v>
      </c>
      <c r="J15" s="59">
        <v>4600</v>
      </c>
      <c r="K15" s="59"/>
      <c r="L15" s="59"/>
      <c r="M15" s="59"/>
      <c r="N15" s="59">
        <v>8000</v>
      </c>
      <c r="O15" s="59">
        <v>4600</v>
      </c>
      <c r="P15" s="59"/>
      <c r="Q15" s="60"/>
      <c r="R15" s="61">
        <v>1</v>
      </c>
      <c r="S15" s="61">
        <v>1</v>
      </c>
      <c r="T15" s="62"/>
      <c r="U15" s="61"/>
      <c r="V15" s="60"/>
      <c r="W15" s="59">
        <f>Tabelle589711142925[[#This Row],[Potenzial pos. max MW Referenz]]/Tabelle589711142925[[#This Row],[flexibilisierbarer Anteil Referenz]]</f>
        <v>8000</v>
      </c>
      <c r="X15" s="59">
        <f>Tabelle589711142925[[#This Row],[Potenzial pos. max MW optimistisch (Szenario 2)]]/Tabelle589711142925[[#This Row],[flexibilisierbarer Anteil optimistisch (Szenario 2)]]</f>
        <v>4600</v>
      </c>
      <c r="Y15" s="62"/>
      <c r="Z15" s="59"/>
      <c r="AA15" s="63"/>
      <c r="AB15" s="63"/>
      <c r="AC15" s="63"/>
      <c r="AD15" s="58"/>
      <c r="AE15" s="58"/>
      <c r="AF15" s="58"/>
      <c r="AG15" s="58"/>
      <c r="AH15" s="58"/>
      <c r="AI15" s="58"/>
      <c r="AJ15" s="58">
        <v>1</v>
      </c>
      <c r="AK15" s="58">
        <v>4</v>
      </c>
      <c r="AL15" s="58"/>
      <c r="AM15" s="63"/>
      <c r="AN15" s="58"/>
      <c r="AO15" s="59"/>
      <c r="AP15" s="59"/>
      <c r="AQ15" s="59"/>
      <c r="AR15" s="64"/>
      <c r="AS15" s="64"/>
      <c r="AT15" s="64"/>
      <c r="AU15" s="64"/>
      <c r="AV15" s="64"/>
      <c r="AW15" s="58"/>
      <c r="AX15" s="58"/>
      <c r="AY15" s="1" t="s">
        <v>1003</v>
      </c>
      <c r="AZ15" s="1" t="s">
        <v>1003</v>
      </c>
      <c r="BA15" s="13" t="s">
        <v>1031</v>
      </c>
      <c r="BB15" s="13" t="s">
        <v>1031</v>
      </c>
      <c r="BC15" s="65"/>
      <c r="BD15" s="65">
        <v>89</v>
      </c>
      <c r="BE15" s="65"/>
      <c r="BF15" s="65"/>
      <c r="BG15" s="1" t="s">
        <v>1031</v>
      </c>
      <c r="BH15" s="65"/>
      <c r="BI15" s="65"/>
      <c r="BJ15" s="58"/>
      <c r="BK15" s="1" t="s">
        <v>1031</v>
      </c>
      <c r="BL15" s="58"/>
      <c r="BM15" s="58"/>
      <c r="BN15" s="58"/>
      <c r="BO15" s="58"/>
      <c r="BP15" s="58"/>
      <c r="BQ15" s="58"/>
      <c r="BR15" s="58"/>
      <c r="BS15" s="58"/>
      <c r="BT15" s="58"/>
    </row>
    <row r="16" spans="1:72" x14ac:dyDescent="0.2">
      <c r="A16" s="58" t="s">
        <v>138</v>
      </c>
      <c r="B16" s="1" t="s">
        <v>142</v>
      </c>
      <c r="C16" s="58">
        <v>2020</v>
      </c>
      <c r="D16" s="58">
        <v>1</v>
      </c>
      <c r="E16" s="58">
        <v>0</v>
      </c>
      <c r="F16" s="58">
        <v>0</v>
      </c>
      <c r="G16" s="59"/>
      <c r="H16" s="59"/>
      <c r="I16" s="59">
        <v>8800</v>
      </c>
      <c r="J16" s="59">
        <v>5400</v>
      </c>
      <c r="K16" s="59"/>
      <c r="L16" s="59"/>
      <c r="M16" s="59"/>
      <c r="N16" s="59">
        <v>8800</v>
      </c>
      <c r="O16" s="59">
        <v>5400</v>
      </c>
      <c r="P16" s="59"/>
      <c r="Q16" s="60"/>
      <c r="R16" s="61">
        <v>1</v>
      </c>
      <c r="S16" s="61">
        <v>1</v>
      </c>
      <c r="T16" s="62"/>
      <c r="U16" s="61"/>
      <c r="V16" s="60"/>
      <c r="W16" s="59">
        <f>Tabelle589711142925[[#This Row],[Potenzial pos. max MW Referenz]]/Tabelle589711142925[[#This Row],[flexibilisierbarer Anteil Referenz]]</f>
        <v>8800</v>
      </c>
      <c r="X16" s="59">
        <f>Tabelle589711142925[[#This Row],[Potenzial pos. max MW optimistisch (Szenario 2)]]/Tabelle589711142925[[#This Row],[flexibilisierbarer Anteil optimistisch (Szenario 2)]]</f>
        <v>5400</v>
      </c>
      <c r="Y16" s="62"/>
      <c r="Z16" s="59"/>
      <c r="AA16" s="63"/>
      <c r="AB16" s="63"/>
      <c r="AC16" s="63"/>
      <c r="AD16" s="58"/>
      <c r="AE16" s="58"/>
      <c r="AF16" s="58"/>
      <c r="AG16" s="58"/>
      <c r="AH16" s="58"/>
      <c r="AI16" s="58"/>
      <c r="AJ16" s="58">
        <v>18</v>
      </c>
      <c r="AK16" s="58">
        <v>18</v>
      </c>
      <c r="AL16" s="58"/>
      <c r="AM16" s="63"/>
      <c r="AN16" s="58"/>
      <c r="AO16" s="59"/>
      <c r="AP16" s="59"/>
      <c r="AQ16" s="59"/>
      <c r="AR16" s="64"/>
      <c r="AS16" s="64"/>
      <c r="AT16" s="64"/>
      <c r="AU16" s="64"/>
      <c r="AV16" s="64"/>
      <c r="AW16" s="58"/>
      <c r="AX16" s="58"/>
      <c r="AY16" s="1" t="s">
        <v>1003</v>
      </c>
      <c r="AZ16" s="1" t="s">
        <v>1003</v>
      </c>
      <c r="BA16" s="13" t="s">
        <v>1031</v>
      </c>
      <c r="BB16" s="13" t="s">
        <v>1031</v>
      </c>
      <c r="BC16" s="65"/>
      <c r="BD16" s="65">
        <v>89</v>
      </c>
      <c r="BE16" s="65"/>
      <c r="BF16" s="65"/>
      <c r="BG16" s="1" t="s">
        <v>1031</v>
      </c>
      <c r="BH16" s="65"/>
      <c r="BI16" s="65"/>
      <c r="BJ16" s="58"/>
      <c r="BK16" s="1" t="s">
        <v>1031</v>
      </c>
      <c r="BL16" s="58"/>
      <c r="BM16" s="58"/>
      <c r="BN16" s="58"/>
      <c r="BO16" s="58"/>
      <c r="BP16" s="58"/>
      <c r="BQ16" s="58"/>
      <c r="BR16" s="58"/>
      <c r="BS16" s="58"/>
      <c r="BT16" s="58"/>
    </row>
    <row r="17" spans="1:72" x14ac:dyDescent="0.2">
      <c r="A17" s="58" t="s">
        <v>138</v>
      </c>
      <c r="B17" s="1" t="s">
        <v>142</v>
      </c>
      <c r="C17" s="58">
        <v>2030</v>
      </c>
      <c r="D17" s="58">
        <v>1</v>
      </c>
      <c r="E17" s="58">
        <v>0</v>
      </c>
      <c r="F17" s="58">
        <v>0</v>
      </c>
      <c r="G17" s="59"/>
      <c r="H17" s="59"/>
      <c r="I17" s="59">
        <v>6300</v>
      </c>
      <c r="J17" s="59">
        <v>3200</v>
      </c>
      <c r="K17" s="59"/>
      <c r="L17" s="59"/>
      <c r="M17" s="59"/>
      <c r="N17" s="59">
        <v>6300</v>
      </c>
      <c r="O17" s="59">
        <v>3200</v>
      </c>
      <c r="P17" s="59"/>
      <c r="Q17" s="60"/>
      <c r="R17" s="61">
        <v>1</v>
      </c>
      <c r="S17" s="61">
        <v>1</v>
      </c>
      <c r="T17" s="62"/>
      <c r="U17" s="61"/>
      <c r="V17" s="60"/>
      <c r="W17" s="59">
        <f>Tabelle589711142925[[#This Row],[Potenzial pos. max MW Referenz]]/Tabelle589711142925[[#This Row],[flexibilisierbarer Anteil Referenz]]</f>
        <v>6300</v>
      </c>
      <c r="X17" s="59">
        <f>Tabelle589711142925[[#This Row],[Potenzial pos. max MW optimistisch (Szenario 2)]]/Tabelle589711142925[[#This Row],[flexibilisierbarer Anteil optimistisch (Szenario 2)]]</f>
        <v>3200</v>
      </c>
      <c r="Y17" s="62"/>
      <c r="Z17" s="59"/>
      <c r="AA17" s="63"/>
      <c r="AB17" s="63"/>
      <c r="AC17" s="63"/>
      <c r="AD17" s="58"/>
      <c r="AE17" s="58"/>
      <c r="AF17" s="58"/>
      <c r="AG17" s="58"/>
      <c r="AH17" s="58"/>
      <c r="AI17" s="58"/>
      <c r="AJ17" s="58">
        <v>18</v>
      </c>
      <c r="AK17" s="58">
        <v>18</v>
      </c>
      <c r="AL17" s="58"/>
      <c r="AM17" s="63"/>
      <c r="AN17" s="58"/>
      <c r="AO17" s="59"/>
      <c r="AP17" s="59"/>
      <c r="AQ17" s="59"/>
      <c r="AR17" s="64"/>
      <c r="AS17" s="64"/>
      <c r="AT17" s="64"/>
      <c r="AU17" s="64"/>
      <c r="AV17" s="64"/>
      <c r="AW17" s="58"/>
      <c r="AX17" s="58"/>
      <c r="AY17" s="1" t="s">
        <v>1003</v>
      </c>
      <c r="AZ17" s="1" t="s">
        <v>1003</v>
      </c>
      <c r="BA17" s="13" t="s">
        <v>1031</v>
      </c>
      <c r="BB17" s="13" t="s">
        <v>1031</v>
      </c>
      <c r="BC17" s="65"/>
      <c r="BD17" s="65">
        <v>89</v>
      </c>
      <c r="BE17" s="65"/>
      <c r="BF17" s="65"/>
      <c r="BG17" s="1" t="s">
        <v>1031</v>
      </c>
      <c r="BH17" s="65"/>
      <c r="BI17" s="65"/>
      <c r="BJ17" s="58"/>
      <c r="BK17" s="1" t="s">
        <v>1031</v>
      </c>
      <c r="BL17" s="58"/>
      <c r="BM17" s="58"/>
      <c r="BN17" s="58"/>
      <c r="BO17" s="58"/>
      <c r="BP17" s="58"/>
      <c r="BQ17" s="58"/>
      <c r="BR17" s="58"/>
      <c r="BS17" s="58"/>
      <c r="BT17" s="58"/>
    </row>
    <row r="18" spans="1:72" x14ac:dyDescent="0.2">
      <c r="A18" s="58" t="s">
        <v>840</v>
      </c>
      <c r="B18" s="1" t="s">
        <v>142</v>
      </c>
      <c r="C18" s="58">
        <v>2020</v>
      </c>
      <c r="D18" s="58">
        <v>1</v>
      </c>
      <c r="E18" s="58">
        <v>0</v>
      </c>
      <c r="F18" s="58">
        <v>0</v>
      </c>
      <c r="G18" s="59"/>
      <c r="H18" s="59"/>
      <c r="I18" s="59">
        <v>1900</v>
      </c>
      <c r="J18" s="59">
        <v>4800</v>
      </c>
      <c r="K18" s="59"/>
      <c r="L18" s="59"/>
      <c r="M18" s="59"/>
      <c r="N18" s="59">
        <v>1900</v>
      </c>
      <c r="O18" s="59">
        <v>4800</v>
      </c>
      <c r="P18" s="59"/>
      <c r="Q18" s="60"/>
      <c r="R18" s="61">
        <v>0.4</v>
      </c>
      <c r="S18" s="61">
        <v>1</v>
      </c>
      <c r="T18" s="62"/>
      <c r="U18" s="61"/>
      <c r="V18" s="60"/>
      <c r="W18" s="59">
        <f>Tabelle589711142925[[#This Row],[Potenzial pos. max MW Referenz]]/Tabelle589711142925[[#This Row],[flexibilisierbarer Anteil Referenz]]</f>
        <v>4750</v>
      </c>
      <c r="X18" s="59">
        <f>Tabelle589711142925[[#This Row],[Potenzial pos. max MW optimistisch (Szenario 2)]]/Tabelle589711142925[[#This Row],[flexibilisierbarer Anteil optimistisch (Szenario 2)]]</f>
        <v>4800</v>
      </c>
      <c r="Y18" s="62"/>
      <c r="Z18" s="59"/>
      <c r="AA18" s="63"/>
      <c r="AB18" s="63"/>
      <c r="AC18" s="63"/>
      <c r="AD18" s="58"/>
      <c r="AE18" s="58"/>
      <c r="AF18" s="58"/>
      <c r="AG18" s="58"/>
      <c r="AH18" s="58">
        <v>5</v>
      </c>
      <c r="AI18" s="58">
        <v>12</v>
      </c>
      <c r="AJ18" s="58"/>
      <c r="AK18" s="58">
        <v>8.5</v>
      </c>
      <c r="AL18" s="58"/>
      <c r="AM18" s="63"/>
      <c r="AN18" s="58"/>
      <c r="AO18" s="59"/>
      <c r="AP18" s="59"/>
      <c r="AQ18" s="59"/>
      <c r="AR18" s="64"/>
      <c r="AS18" s="64"/>
      <c r="AT18" s="64"/>
      <c r="AU18" s="64"/>
      <c r="AV18" s="64"/>
      <c r="AW18" s="58"/>
      <c r="AX18" s="58"/>
      <c r="AY18" s="1" t="s">
        <v>1003</v>
      </c>
      <c r="AZ18" s="1" t="s">
        <v>1003</v>
      </c>
      <c r="BA18" s="13" t="s">
        <v>1031</v>
      </c>
      <c r="BB18" s="13" t="s">
        <v>1031</v>
      </c>
      <c r="BC18" s="65"/>
      <c r="BD18" s="65">
        <v>89</v>
      </c>
      <c r="BE18" s="65"/>
      <c r="BF18" s="65"/>
      <c r="BG18" s="1" t="s">
        <v>1031</v>
      </c>
      <c r="BH18" s="65"/>
      <c r="BI18" s="65"/>
      <c r="BJ18" s="58"/>
      <c r="BK18" s="1" t="s">
        <v>1031</v>
      </c>
      <c r="BL18" s="58"/>
      <c r="BM18" s="58"/>
      <c r="BN18" s="58"/>
      <c r="BO18" s="58"/>
      <c r="BP18" s="58"/>
      <c r="BQ18" s="58"/>
      <c r="BR18" s="58"/>
      <c r="BS18" s="58"/>
      <c r="BT18" s="58"/>
    </row>
    <row r="19" spans="1:72" x14ac:dyDescent="0.2">
      <c r="A19" s="58" t="s">
        <v>840</v>
      </c>
      <c r="B19" s="1" t="s">
        <v>142</v>
      </c>
      <c r="C19" s="58">
        <v>2030</v>
      </c>
      <c r="D19" s="58">
        <v>1</v>
      </c>
      <c r="E19" s="58">
        <v>0</v>
      </c>
      <c r="F19" s="58">
        <v>0</v>
      </c>
      <c r="G19" s="59"/>
      <c r="H19" s="59"/>
      <c r="I19" s="59">
        <v>14900</v>
      </c>
      <c r="J19" s="59">
        <v>26100</v>
      </c>
      <c r="K19" s="59"/>
      <c r="L19" s="59"/>
      <c r="M19" s="59"/>
      <c r="N19" s="59">
        <v>14900</v>
      </c>
      <c r="O19" s="59">
        <v>26100</v>
      </c>
      <c r="P19" s="59"/>
      <c r="Q19" s="60"/>
      <c r="R19" s="61">
        <v>0.6</v>
      </c>
      <c r="S19" s="61">
        <v>1</v>
      </c>
      <c r="T19" s="62"/>
      <c r="U19" s="61"/>
      <c r="V19" s="60"/>
      <c r="W19" s="59">
        <f>Tabelle589711142925[[#This Row],[Potenzial pos. max MW Referenz]]/Tabelle589711142925[[#This Row],[flexibilisierbarer Anteil Referenz]]</f>
        <v>24833.333333333336</v>
      </c>
      <c r="X19" s="59">
        <f>Tabelle589711142925[[#This Row],[Potenzial pos. max MW optimistisch (Szenario 2)]]/Tabelle589711142925[[#This Row],[flexibilisierbarer Anteil optimistisch (Szenario 2)]]</f>
        <v>26100</v>
      </c>
      <c r="Y19" s="62"/>
      <c r="Z19" s="59"/>
      <c r="AA19" s="63"/>
      <c r="AB19" s="63"/>
      <c r="AC19" s="63"/>
      <c r="AD19" s="58"/>
      <c r="AE19" s="58"/>
      <c r="AF19" s="58"/>
      <c r="AG19" s="58"/>
      <c r="AH19" s="58">
        <v>5</v>
      </c>
      <c r="AI19" s="58">
        <v>12</v>
      </c>
      <c r="AJ19" s="58"/>
      <c r="AK19" s="58">
        <v>8.5</v>
      </c>
      <c r="AL19" s="58"/>
      <c r="AM19" s="63"/>
      <c r="AN19" s="58"/>
      <c r="AO19" s="59"/>
      <c r="AP19" s="59"/>
      <c r="AQ19" s="59"/>
      <c r="AR19" s="64"/>
      <c r="AS19" s="64"/>
      <c r="AT19" s="64"/>
      <c r="AU19" s="64"/>
      <c r="AV19" s="64"/>
      <c r="AW19" s="58"/>
      <c r="AX19" s="58"/>
      <c r="AY19" s="1" t="s">
        <v>1003</v>
      </c>
      <c r="AZ19" s="1" t="s">
        <v>1003</v>
      </c>
      <c r="BA19" s="13" t="s">
        <v>1031</v>
      </c>
      <c r="BB19" s="13" t="s">
        <v>1031</v>
      </c>
      <c r="BC19" s="65"/>
      <c r="BD19" s="65">
        <v>89</v>
      </c>
      <c r="BE19" s="65"/>
      <c r="BF19" s="65"/>
      <c r="BG19" s="1" t="s">
        <v>1031</v>
      </c>
      <c r="BH19" s="65"/>
      <c r="BI19" s="65"/>
      <c r="BJ19" s="58"/>
      <c r="BK19" s="1" t="s">
        <v>1031</v>
      </c>
      <c r="BL19" s="58"/>
      <c r="BM19" s="58"/>
      <c r="BN19" s="58"/>
      <c r="BO19" s="58"/>
      <c r="BP19" s="58"/>
      <c r="BQ19" s="58"/>
      <c r="BR19" s="58"/>
      <c r="BS19" s="58"/>
      <c r="BT19" s="58"/>
    </row>
    <row r="20" spans="1:72" x14ac:dyDescent="0.2">
      <c r="A20" s="58" t="s">
        <v>367</v>
      </c>
      <c r="B20" s="1" t="s">
        <v>130</v>
      </c>
      <c r="C20" s="58">
        <v>2020</v>
      </c>
      <c r="D20" s="58">
        <v>1</v>
      </c>
      <c r="E20" s="58">
        <v>0</v>
      </c>
      <c r="F20" s="58">
        <v>0</v>
      </c>
      <c r="G20" s="59"/>
      <c r="H20" s="59"/>
      <c r="I20" s="59">
        <v>900</v>
      </c>
      <c r="J20" s="59">
        <v>3500</v>
      </c>
      <c r="K20" s="59"/>
      <c r="L20" s="59"/>
      <c r="M20" s="59"/>
      <c r="N20" s="59">
        <v>900</v>
      </c>
      <c r="O20" s="59">
        <v>3500</v>
      </c>
      <c r="P20" s="59"/>
      <c r="Q20" s="60"/>
      <c r="R20" s="61">
        <v>7.0000000000000007E-2</v>
      </c>
      <c r="S20" s="61">
        <v>0.3</v>
      </c>
      <c r="T20" s="62"/>
      <c r="U20" s="61"/>
      <c r="V20" s="60"/>
      <c r="W20" s="59">
        <f>Tabelle589711142925[[#This Row],[Potenzial pos. max MW Referenz]]/Tabelle589711142925[[#This Row],[flexibilisierbarer Anteil Referenz]]</f>
        <v>12857.142857142855</v>
      </c>
      <c r="X20" s="59">
        <f>Tabelle589711142925[[#This Row],[Potenzial pos. max MW optimistisch (Szenario 2)]]/Tabelle589711142925[[#This Row],[flexibilisierbarer Anteil optimistisch (Szenario 2)]]</f>
        <v>11666.666666666668</v>
      </c>
      <c r="Y20" s="62"/>
      <c r="Z20" s="59"/>
      <c r="AA20" s="63"/>
      <c r="AB20" s="63"/>
      <c r="AC20" s="63"/>
      <c r="AD20" s="58"/>
      <c r="AE20" s="58"/>
      <c r="AF20" s="58"/>
      <c r="AG20" s="58"/>
      <c r="AH20" s="58"/>
      <c r="AI20" s="58"/>
      <c r="AJ20" s="58">
        <v>1</v>
      </c>
      <c r="AK20" s="58">
        <v>2</v>
      </c>
      <c r="AL20" s="58"/>
      <c r="AM20" s="63"/>
      <c r="AN20" s="58"/>
      <c r="AO20" s="59"/>
      <c r="AP20" s="59"/>
      <c r="AQ20" s="59"/>
      <c r="AR20" s="64"/>
      <c r="AS20" s="64"/>
      <c r="AT20" s="64"/>
      <c r="AU20" s="64"/>
      <c r="AV20" s="64"/>
      <c r="AW20" s="58"/>
      <c r="AX20" s="58"/>
      <c r="AY20" s="1" t="s">
        <v>1003</v>
      </c>
      <c r="AZ20" s="1" t="s">
        <v>1003</v>
      </c>
      <c r="BA20" s="13" t="s">
        <v>1031</v>
      </c>
      <c r="BB20" s="13" t="s">
        <v>1031</v>
      </c>
      <c r="BC20" s="65"/>
      <c r="BD20" s="65">
        <v>89</v>
      </c>
      <c r="BE20" s="65"/>
      <c r="BF20" s="65"/>
      <c r="BG20" s="1" t="s">
        <v>1031</v>
      </c>
      <c r="BH20" s="65"/>
      <c r="BI20" s="65"/>
      <c r="BJ20" s="58"/>
      <c r="BK20" s="1" t="s">
        <v>1031</v>
      </c>
      <c r="BL20" s="58"/>
      <c r="BM20" s="58"/>
      <c r="BN20" s="58"/>
      <c r="BO20" s="58"/>
      <c r="BP20" s="58"/>
      <c r="BQ20" s="58"/>
      <c r="BR20" s="58"/>
      <c r="BS20" s="58"/>
      <c r="BT20" s="58"/>
    </row>
    <row r="21" spans="1:72" x14ac:dyDescent="0.2">
      <c r="A21" s="58" t="s">
        <v>367</v>
      </c>
      <c r="B21" s="1" t="s">
        <v>130</v>
      </c>
      <c r="C21" s="58">
        <v>2030</v>
      </c>
      <c r="D21" s="58">
        <v>1</v>
      </c>
      <c r="E21" s="58">
        <v>0</v>
      </c>
      <c r="F21" s="58">
        <v>0</v>
      </c>
      <c r="G21" s="59"/>
      <c r="H21" s="59"/>
      <c r="I21" s="59">
        <v>2700</v>
      </c>
      <c r="J21" s="59">
        <v>9800</v>
      </c>
      <c r="K21" s="59"/>
      <c r="L21" s="59"/>
      <c r="M21" s="59"/>
      <c r="N21" s="59">
        <v>2700</v>
      </c>
      <c r="O21" s="59">
        <v>9800</v>
      </c>
      <c r="P21" s="59"/>
      <c r="Q21" s="60"/>
      <c r="R21" s="61">
        <v>0.2</v>
      </c>
      <c r="S21" s="61">
        <v>0.8</v>
      </c>
      <c r="T21" s="62"/>
      <c r="U21" s="61"/>
      <c r="V21" s="60"/>
      <c r="W21" s="59">
        <f>Tabelle589711142925[[#This Row],[Potenzial pos. max MW Referenz]]/Tabelle589711142925[[#This Row],[flexibilisierbarer Anteil Referenz]]</f>
        <v>13500</v>
      </c>
      <c r="X21" s="59">
        <f>Tabelle589711142925[[#This Row],[Potenzial pos. max MW optimistisch (Szenario 2)]]/Tabelle589711142925[[#This Row],[flexibilisierbarer Anteil optimistisch (Szenario 2)]]</f>
        <v>12250</v>
      </c>
      <c r="Y21" s="62"/>
      <c r="Z21" s="59"/>
      <c r="AA21" s="63"/>
      <c r="AB21" s="63"/>
      <c r="AC21" s="63"/>
      <c r="AD21" s="58"/>
      <c r="AE21" s="58"/>
      <c r="AF21" s="58"/>
      <c r="AG21" s="58"/>
      <c r="AH21" s="58"/>
      <c r="AI21" s="58"/>
      <c r="AJ21" s="58">
        <v>2</v>
      </c>
      <c r="AK21" s="58">
        <v>4</v>
      </c>
      <c r="AL21" s="58"/>
      <c r="AM21" s="63"/>
      <c r="AN21" s="58"/>
      <c r="AO21" s="59"/>
      <c r="AP21" s="59"/>
      <c r="AQ21" s="59"/>
      <c r="AR21" s="64"/>
      <c r="AS21" s="64"/>
      <c r="AT21" s="64"/>
      <c r="AU21" s="64"/>
      <c r="AV21" s="64"/>
      <c r="AW21" s="58"/>
      <c r="AX21" s="58"/>
      <c r="AY21" s="1" t="s">
        <v>1003</v>
      </c>
      <c r="AZ21" s="1" t="s">
        <v>1003</v>
      </c>
      <c r="BA21" s="13" t="s">
        <v>1031</v>
      </c>
      <c r="BB21" s="13" t="s">
        <v>1031</v>
      </c>
      <c r="BC21" s="65"/>
      <c r="BD21" s="65">
        <v>89</v>
      </c>
      <c r="BE21" s="65"/>
      <c r="BF21" s="65"/>
      <c r="BG21" s="1" t="s">
        <v>1031</v>
      </c>
      <c r="BH21" s="65"/>
      <c r="BI21" s="65"/>
      <c r="BJ21" s="58"/>
      <c r="BK21" s="1" t="s">
        <v>1031</v>
      </c>
      <c r="BL21" s="58"/>
      <c r="BM21" s="58"/>
      <c r="BN21" s="58"/>
      <c r="BO21" s="58"/>
      <c r="BP21" s="58"/>
      <c r="BQ21" s="58"/>
      <c r="BR21" s="58"/>
      <c r="BS21" s="58"/>
      <c r="BT21" s="58"/>
    </row>
    <row r="22" spans="1:72" x14ac:dyDescent="0.2">
      <c r="A22" s="58" t="s">
        <v>831</v>
      </c>
      <c r="B22" s="1" t="s">
        <v>129</v>
      </c>
      <c r="C22" s="58">
        <v>2020</v>
      </c>
      <c r="D22" s="58">
        <v>1</v>
      </c>
      <c r="E22" s="58">
        <v>1</v>
      </c>
      <c r="F22" s="58">
        <v>0</v>
      </c>
      <c r="G22" s="59"/>
      <c r="H22" s="59"/>
      <c r="I22" s="59">
        <v>100</v>
      </c>
      <c r="J22" s="59">
        <v>1300</v>
      </c>
      <c r="K22" s="59"/>
      <c r="L22" s="59"/>
      <c r="M22" s="59"/>
      <c r="N22" s="59">
        <v>100</v>
      </c>
      <c r="O22" s="59">
        <v>1300</v>
      </c>
      <c r="P22" s="59"/>
      <c r="Q22" s="60"/>
      <c r="R22" s="61">
        <v>0.03</v>
      </c>
      <c r="S22" s="61">
        <v>0.25</v>
      </c>
      <c r="T22" s="62"/>
      <c r="U22" s="61"/>
      <c r="V22" s="60"/>
      <c r="W22" s="59">
        <f>Tabelle589711142925[[#This Row],[Potenzial pos. max MW Referenz]]/Tabelle589711142925[[#This Row],[flexibilisierbarer Anteil Referenz]]</f>
        <v>3333.3333333333335</v>
      </c>
      <c r="X22" s="59">
        <f>Tabelle589711142925[[#This Row],[Potenzial pos. max MW optimistisch (Szenario 2)]]/Tabelle589711142925[[#This Row],[flexibilisierbarer Anteil optimistisch (Szenario 2)]]</f>
        <v>5200</v>
      </c>
      <c r="Y22" s="62"/>
      <c r="Z22" s="59"/>
      <c r="AA22" s="63"/>
      <c r="AB22" s="63"/>
      <c r="AC22" s="63"/>
      <c r="AD22" s="58"/>
      <c r="AE22" s="58"/>
      <c r="AF22" s="58"/>
      <c r="AG22" s="58"/>
      <c r="AH22" s="58">
        <v>1</v>
      </c>
      <c r="AI22" s="58">
        <v>4</v>
      </c>
      <c r="AJ22" s="58"/>
      <c r="AK22" s="58">
        <v>2.5</v>
      </c>
      <c r="AL22" s="58"/>
      <c r="AM22" s="63"/>
      <c r="AN22" s="58"/>
      <c r="AO22" s="59"/>
      <c r="AP22" s="59"/>
      <c r="AQ22" s="59"/>
      <c r="AR22" s="64"/>
      <c r="AS22" s="64"/>
      <c r="AT22" s="64"/>
      <c r="AU22" s="64"/>
      <c r="AV22" s="64"/>
      <c r="AW22" s="58"/>
      <c r="AX22" s="58"/>
      <c r="AY22" s="1" t="s">
        <v>1003</v>
      </c>
      <c r="AZ22" s="1" t="s">
        <v>1003</v>
      </c>
      <c r="BA22" s="13" t="s">
        <v>1031</v>
      </c>
      <c r="BB22" s="13" t="s">
        <v>1031</v>
      </c>
      <c r="BC22" s="65"/>
      <c r="BD22" s="65">
        <v>89</v>
      </c>
      <c r="BE22" s="65"/>
      <c r="BF22" s="65"/>
      <c r="BG22" s="1" t="s">
        <v>1031</v>
      </c>
      <c r="BH22" s="65"/>
      <c r="BI22" s="65"/>
      <c r="BJ22" s="58"/>
      <c r="BK22" s="1" t="s">
        <v>1031</v>
      </c>
      <c r="BL22" s="58"/>
      <c r="BM22" s="58"/>
      <c r="BN22" s="58"/>
      <c r="BO22" s="58"/>
      <c r="BP22" s="58"/>
      <c r="BQ22" s="58"/>
      <c r="BR22" s="58"/>
      <c r="BS22" s="58"/>
      <c r="BT22" s="58"/>
    </row>
    <row r="23" spans="1:72" x14ac:dyDescent="0.2">
      <c r="A23" s="58" t="s">
        <v>831</v>
      </c>
      <c r="B23" s="1" t="s">
        <v>129</v>
      </c>
      <c r="C23" s="58">
        <v>2030</v>
      </c>
      <c r="D23" s="58">
        <v>1</v>
      </c>
      <c r="E23" s="58">
        <v>1</v>
      </c>
      <c r="F23" s="58">
        <v>0</v>
      </c>
      <c r="G23" s="59"/>
      <c r="H23" s="59"/>
      <c r="I23" s="59">
        <v>500</v>
      </c>
      <c r="J23" s="59">
        <v>4500</v>
      </c>
      <c r="K23" s="59"/>
      <c r="L23" s="59"/>
      <c r="M23" s="59"/>
      <c r="N23" s="59">
        <v>500</v>
      </c>
      <c r="O23" s="59">
        <v>4500</v>
      </c>
      <c r="P23" s="59"/>
      <c r="Q23" s="60"/>
      <c r="R23" s="61">
        <v>0.1</v>
      </c>
      <c r="S23" s="61">
        <v>0.85</v>
      </c>
      <c r="T23" s="62"/>
      <c r="U23" s="61"/>
      <c r="V23" s="60"/>
      <c r="W23" s="59">
        <f>Tabelle589711142925[[#This Row],[Potenzial pos. max MW Referenz]]/Tabelle589711142925[[#This Row],[flexibilisierbarer Anteil Referenz]]</f>
        <v>5000</v>
      </c>
      <c r="X23" s="59">
        <f>Tabelle589711142925[[#This Row],[Potenzial pos. max MW optimistisch (Szenario 2)]]/Tabelle589711142925[[#This Row],[flexibilisierbarer Anteil optimistisch (Szenario 2)]]</f>
        <v>5294.1176470588234</v>
      </c>
      <c r="Y23" s="62"/>
      <c r="Z23" s="59"/>
      <c r="AA23" s="63"/>
      <c r="AB23" s="63"/>
      <c r="AC23" s="63"/>
      <c r="AD23" s="58"/>
      <c r="AE23" s="58"/>
      <c r="AF23" s="58"/>
      <c r="AG23" s="58"/>
      <c r="AH23" s="58">
        <v>1</v>
      </c>
      <c r="AI23" s="58">
        <v>4</v>
      </c>
      <c r="AJ23" s="58"/>
      <c r="AK23" s="58">
        <v>2.5</v>
      </c>
      <c r="AL23" s="58"/>
      <c r="AM23" s="63"/>
      <c r="AN23" s="58"/>
      <c r="AO23" s="59"/>
      <c r="AP23" s="59"/>
      <c r="AQ23" s="59"/>
      <c r="AR23" s="64"/>
      <c r="AS23" s="64"/>
      <c r="AT23" s="64"/>
      <c r="AU23" s="64"/>
      <c r="AV23" s="64"/>
      <c r="AW23" s="58"/>
      <c r="AX23" s="58"/>
      <c r="AY23" s="1" t="s">
        <v>1003</v>
      </c>
      <c r="AZ23" s="1" t="s">
        <v>1003</v>
      </c>
      <c r="BA23" s="13" t="s">
        <v>1031</v>
      </c>
      <c r="BB23" s="13" t="s">
        <v>1031</v>
      </c>
      <c r="BC23" s="65"/>
      <c r="BD23" s="65">
        <v>89</v>
      </c>
      <c r="BE23" s="65"/>
      <c r="BF23" s="65"/>
      <c r="BG23" s="1" t="s">
        <v>1031</v>
      </c>
      <c r="BH23" s="65"/>
      <c r="BI23" s="65"/>
      <c r="BJ23" s="58"/>
      <c r="BK23" s="1" t="s">
        <v>1031</v>
      </c>
      <c r="BL23" s="58"/>
      <c r="BM23" s="58"/>
      <c r="BN23" s="58"/>
      <c r="BO23" s="58"/>
      <c r="BP23" s="58"/>
      <c r="BQ23" s="58"/>
      <c r="BR23" s="58"/>
      <c r="BS23" s="58"/>
      <c r="BT23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BW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2" sqref="J2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</cols>
  <sheetData>
    <row r="1" spans="1:75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878</v>
      </c>
      <c r="H1" s="2" t="s">
        <v>879</v>
      </c>
      <c r="I1" s="2" t="s">
        <v>49</v>
      </c>
      <c r="J1" s="2" t="s">
        <v>149</v>
      </c>
      <c r="K1" s="2" t="s">
        <v>50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870</v>
      </c>
      <c r="S1" s="2" t="s">
        <v>871</v>
      </c>
      <c r="T1" s="2" t="s">
        <v>237</v>
      </c>
      <c r="U1" s="2" t="s">
        <v>865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159</v>
      </c>
      <c r="AD1" s="2" t="s">
        <v>229</v>
      </c>
      <c r="AE1" s="2" t="s">
        <v>230</v>
      </c>
      <c r="AF1" s="2" t="s">
        <v>160</v>
      </c>
      <c r="AG1" s="2" t="s">
        <v>216</v>
      </c>
      <c r="AH1" s="2" t="s">
        <v>217</v>
      </c>
      <c r="AI1" s="2" t="s">
        <v>3</v>
      </c>
      <c r="AJ1" s="2" t="s">
        <v>10</v>
      </c>
      <c r="AK1" s="2" t="s">
        <v>16</v>
      </c>
      <c r="AL1" s="2" t="s">
        <v>4</v>
      </c>
      <c r="AM1" s="2" t="s">
        <v>99</v>
      </c>
      <c r="AN1" s="2" t="s">
        <v>185</v>
      </c>
      <c r="AO1" s="2" t="s">
        <v>184</v>
      </c>
      <c r="AP1" s="2" t="s">
        <v>12</v>
      </c>
      <c r="AQ1" s="2" t="s">
        <v>872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459</v>
      </c>
      <c r="AW1" s="2" t="s">
        <v>335</v>
      </c>
      <c r="AX1" s="2" t="s">
        <v>147</v>
      </c>
      <c r="AY1" s="2" t="s">
        <v>22</v>
      </c>
      <c r="AZ1" s="2" t="s">
        <v>164</v>
      </c>
      <c r="BA1" s="2" t="s">
        <v>165</v>
      </c>
      <c r="BB1" s="2" t="s">
        <v>880</v>
      </c>
      <c r="BC1" s="2" t="s">
        <v>1</v>
      </c>
      <c r="BD1" s="2" t="s">
        <v>2</v>
      </c>
      <c r="BE1" s="2" t="s">
        <v>59</v>
      </c>
      <c r="BF1" s="2" t="s">
        <v>1161</v>
      </c>
      <c r="BG1" s="2" t="s">
        <v>238</v>
      </c>
      <c r="BH1" s="2" t="s">
        <v>117</v>
      </c>
      <c r="BI1" s="2" t="s">
        <v>60</v>
      </c>
      <c r="BJ1" s="2" t="s">
        <v>61</v>
      </c>
      <c r="BK1" s="2" t="s">
        <v>98</v>
      </c>
      <c r="BL1" s="2" t="s">
        <v>5</v>
      </c>
      <c r="BM1" s="2" t="s">
        <v>6</v>
      </c>
      <c r="BN1" s="2" t="s">
        <v>17</v>
      </c>
      <c r="BO1" s="2" t="s">
        <v>18</v>
      </c>
      <c r="BP1" s="2" t="s">
        <v>7</v>
      </c>
      <c r="BQ1" s="2" t="s">
        <v>19</v>
      </c>
      <c r="BR1" s="2" t="s">
        <v>866</v>
      </c>
      <c r="BS1" s="2" t="s">
        <v>20</v>
      </c>
      <c r="BT1" s="2" t="s">
        <v>21</v>
      </c>
      <c r="BU1" s="2" t="s">
        <v>148</v>
      </c>
      <c r="BV1" s="2" t="s">
        <v>23</v>
      </c>
      <c r="BW1" s="2" t="s">
        <v>51</v>
      </c>
    </row>
    <row r="2" spans="1:75" s="1" customFormat="1" ht="12.75" x14ac:dyDescent="0.2">
      <c r="A2" s="1" t="s">
        <v>29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I2" s="19"/>
      <c r="J2" s="19">
        <v>64</v>
      </c>
      <c r="K2" s="19"/>
      <c r="L2" s="19"/>
      <c r="M2" s="19"/>
      <c r="N2" s="19">
        <v>14</v>
      </c>
      <c r="O2" s="19"/>
      <c r="P2" s="19"/>
      <c r="Q2" s="20"/>
      <c r="R2" s="9"/>
      <c r="S2" s="9"/>
      <c r="T2" s="9"/>
      <c r="U2" s="20"/>
      <c r="V2" s="20"/>
      <c r="W2" s="19"/>
      <c r="X2" s="9"/>
      <c r="Y2" s="19"/>
      <c r="AI2" s="1">
        <v>2</v>
      </c>
      <c r="AN2" s="19"/>
      <c r="AO2" s="19"/>
      <c r="AP2" s="19"/>
      <c r="AQ2" s="19"/>
      <c r="AR2" s="8"/>
      <c r="AS2" s="8"/>
      <c r="AT2" s="8"/>
      <c r="AU2" s="8"/>
      <c r="AV2" s="8"/>
      <c r="AW2" s="8"/>
      <c r="AZ2" s="1">
        <v>32</v>
      </c>
      <c r="BA2" s="1">
        <v>32</v>
      </c>
      <c r="BC2" s="13">
        <v>33</v>
      </c>
      <c r="BD2" s="1">
        <v>33</v>
      </c>
      <c r="BE2" s="13"/>
      <c r="BF2" s="13"/>
      <c r="BG2" s="13"/>
      <c r="BH2" s="13"/>
      <c r="BJ2" s="13"/>
      <c r="BK2" s="13"/>
      <c r="BM2" s="1">
        <v>33</v>
      </c>
    </row>
    <row r="3" spans="1:75" x14ac:dyDescent="0.25">
      <c r="A3" s="58" t="s">
        <v>190</v>
      </c>
      <c r="B3" s="58" t="s">
        <v>129</v>
      </c>
      <c r="C3" s="1">
        <v>2013</v>
      </c>
      <c r="D3" s="1">
        <v>1</v>
      </c>
      <c r="E3" s="1">
        <v>0</v>
      </c>
      <c r="F3" s="1">
        <v>0</v>
      </c>
      <c r="G3" s="58"/>
      <c r="H3" s="58"/>
      <c r="I3" s="59"/>
      <c r="J3" s="59">
        <v>730</v>
      </c>
      <c r="K3" s="59"/>
      <c r="L3" s="59"/>
      <c r="M3" s="59"/>
      <c r="N3" s="59">
        <v>283</v>
      </c>
      <c r="O3" s="59"/>
      <c r="P3" s="59"/>
      <c r="Q3" s="60"/>
      <c r="R3" s="61"/>
      <c r="S3" s="61"/>
      <c r="T3" s="61"/>
      <c r="U3" s="60"/>
      <c r="V3" s="60"/>
      <c r="W3" s="59"/>
      <c r="X3" s="62"/>
      <c r="Y3" s="59"/>
      <c r="Z3" s="63"/>
      <c r="AA3" s="63"/>
      <c r="AB3" s="63"/>
      <c r="AC3" s="58"/>
      <c r="AD3" s="58"/>
      <c r="AE3" s="58"/>
      <c r="AF3" s="58"/>
      <c r="AG3" s="58"/>
      <c r="AH3" s="58"/>
      <c r="AI3" s="58">
        <v>2</v>
      </c>
      <c r="AJ3" s="58"/>
      <c r="AK3" s="58"/>
      <c r="AL3" s="63"/>
      <c r="AM3" s="58"/>
      <c r="AN3" s="59"/>
      <c r="AO3" s="59"/>
      <c r="AP3" s="63"/>
      <c r="AQ3" s="59"/>
      <c r="AR3" s="64"/>
      <c r="AS3" s="64"/>
      <c r="AT3" s="64"/>
      <c r="AU3" s="64"/>
      <c r="AV3" s="64"/>
      <c r="AW3" s="63"/>
      <c r="AX3" s="63"/>
      <c r="AY3" s="58"/>
      <c r="AZ3" s="58">
        <v>32</v>
      </c>
      <c r="BA3" s="58">
        <v>32</v>
      </c>
      <c r="BB3" s="58"/>
      <c r="BC3" s="13">
        <v>33</v>
      </c>
      <c r="BD3" s="1">
        <v>33</v>
      </c>
      <c r="BE3" s="65"/>
      <c r="BF3" s="65"/>
      <c r="BG3" s="65"/>
      <c r="BH3" s="65"/>
      <c r="BI3" s="58"/>
      <c r="BJ3" s="65"/>
      <c r="BK3" s="65"/>
      <c r="BL3" s="58"/>
      <c r="BM3" s="1">
        <v>33</v>
      </c>
      <c r="BN3" s="58"/>
      <c r="BO3" s="58"/>
      <c r="BP3" s="58"/>
      <c r="BQ3" s="58"/>
      <c r="BR3" s="58"/>
      <c r="BS3" s="58"/>
      <c r="BT3" s="58"/>
      <c r="BU3" s="58"/>
      <c r="BV3" s="58"/>
      <c r="BW3" s="58"/>
    </row>
    <row r="4" spans="1:75" x14ac:dyDescent="0.25">
      <c r="A4" s="1" t="s">
        <v>953</v>
      </c>
      <c r="B4" s="1" t="s">
        <v>129</v>
      </c>
      <c r="C4" s="1">
        <v>2013</v>
      </c>
      <c r="D4" s="1">
        <v>1</v>
      </c>
      <c r="E4" s="1">
        <v>0</v>
      </c>
      <c r="F4" s="1">
        <v>0</v>
      </c>
      <c r="G4" s="1"/>
      <c r="H4" s="1"/>
      <c r="I4" s="19"/>
      <c r="J4" s="19">
        <v>313</v>
      </c>
      <c r="K4" s="19"/>
      <c r="L4" s="19"/>
      <c r="M4" s="19"/>
      <c r="N4" s="19">
        <v>313</v>
      </c>
      <c r="O4" s="19"/>
      <c r="P4" s="19"/>
      <c r="Q4" s="20"/>
      <c r="R4" s="67"/>
      <c r="S4" s="67"/>
      <c r="T4" s="67"/>
      <c r="U4" s="20"/>
      <c r="V4" s="20"/>
      <c r="W4" s="19"/>
      <c r="X4" s="9"/>
      <c r="Y4" s="19"/>
      <c r="Z4" s="68"/>
      <c r="AA4" s="68"/>
      <c r="AB4" s="68"/>
      <c r="AC4" s="1"/>
      <c r="AD4" s="1"/>
      <c r="AE4" s="1"/>
      <c r="AF4" s="1"/>
      <c r="AG4" s="1"/>
      <c r="AH4" s="1"/>
      <c r="AI4" s="1">
        <v>72</v>
      </c>
      <c r="AJ4" s="1"/>
      <c r="AK4" s="1"/>
      <c r="AL4" s="68"/>
      <c r="AM4" s="1"/>
      <c r="AN4" s="19"/>
      <c r="AO4" s="19"/>
      <c r="AP4" s="68"/>
      <c r="AQ4" s="19"/>
      <c r="AR4" s="8"/>
      <c r="AS4" s="8"/>
      <c r="AT4" s="8"/>
      <c r="AU4" s="8"/>
      <c r="AV4" s="8"/>
      <c r="AW4" s="68"/>
      <c r="AX4" s="68"/>
      <c r="AY4" s="1"/>
      <c r="AZ4" s="1">
        <v>32</v>
      </c>
      <c r="BA4" s="1">
        <v>32</v>
      </c>
      <c r="BB4" s="1"/>
      <c r="BC4" s="13">
        <v>33</v>
      </c>
      <c r="BD4" s="1">
        <v>33</v>
      </c>
      <c r="BE4" s="13"/>
      <c r="BF4" s="13"/>
      <c r="BG4" s="13"/>
      <c r="BH4" s="13"/>
      <c r="BI4" s="1"/>
      <c r="BJ4" s="13"/>
      <c r="BK4" s="13"/>
      <c r="BL4" s="1"/>
      <c r="BM4" s="1">
        <v>33</v>
      </c>
      <c r="BN4" s="1"/>
      <c r="BO4" s="1"/>
      <c r="BP4" s="1"/>
      <c r="BQ4" s="1"/>
      <c r="BR4" s="1"/>
      <c r="BS4" s="1"/>
      <c r="BT4" s="1"/>
      <c r="BU4" s="1"/>
      <c r="BV4" s="1"/>
      <c r="BW4" s="1"/>
    </row>
    <row r="5" spans="1:75" x14ac:dyDescent="0.25">
      <c r="A5" s="1" t="s">
        <v>211</v>
      </c>
      <c r="B5" s="1" t="s">
        <v>129</v>
      </c>
      <c r="C5" s="1">
        <v>2013</v>
      </c>
      <c r="D5" s="1">
        <v>1</v>
      </c>
      <c r="E5" s="1">
        <v>0</v>
      </c>
      <c r="F5" s="1">
        <v>0</v>
      </c>
      <c r="G5" s="1"/>
      <c r="H5" s="1"/>
      <c r="I5" s="19"/>
      <c r="J5" s="19">
        <v>500</v>
      </c>
      <c r="K5" s="19"/>
      <c r="L5" s="19"/>
      <c r="M5" s="19"/>
      <c r="N5" s="19">
        <v>235</v>
      </c>
      <c r="O5" s="19"/>
      <c r="P5" s="19"/>
      <c r="Q5" s="20"/>
      <c r="R5" s="67"/>
      <c r="S5" s="67"/>
      <c r="T5" s="67"/>
      <c r="U5" s="20"/>
      <c r="V5" s="20"/>
      <c r="W5" s="19"/>
      <c r="X5" s="9"/>
      <c r="Y5" s="19"/>
      <c r="Z5" s="68"/>
      <c r="AA5" s="68"/>
      <c r="AB5" s="68"/>
      <c r="AC5" s="1"/>
      <c r="AD5" s="1"/>
      <c r="AE5" s="1"/>
      <c r="AF5" s="1"/>
      <c r="AG5" s="1"/>
      <c r="AH5" s="1"/>
      <c r="AI5" s="1">
        <v>2</v>
      </c>
      <c r="AJ5" s="1"/>
      <c r="AK5" s="1"/>
      <c r="AL5" s="68"/>
      <c r="AM5" s="1"/>
      <c r="AN5" s="19"/>
      <c r="AO5" s="19"/>
      <c r="AP5" s="68"/>
      <c r="AQ5" s="19"/>
      <c r="AR5" s="8"/>
      <c r="AS5" s="8"/>
      <c r="AT5" s="8"/>
      <c r="AU5" s="8"/>
      <c r="AV5" s="8"/>
      <c r="AW5" s="68"/>
      <c r="AX5" s="68"/>
      <c r="AY5" s="1"/>
      <c r="AZ5" s="1">
        <v>32</v>
      </c>
      <c r="BA5" s="1">
        <v>32</v>
      </c>
      <c r="BB5" s="1"/>
      <c r="BC5" s="13">
        <v>33</v>
      </c>
      <c r="BD5" s="1">
        <v>33</v>
      </c>
      <c r="BE5" s="13"/>
      <c r="BF5" s="13"/>
      <c r="BG5" s="13"/>
      <c r="BH5" s="13"/>
      <c r="BI5" s="1"/>
      <c r="BJ5" s="13"/>
      <c r="BK5" s="13"/>
      <c r="BL5" s="1"/>
      <c r="BM5" s="1">
        <v>33</v>
      </c>
      <c r="BN5" s="1"/>
      <c r="BO5" s="1"/>
      <c r="BP5" s="1"/>
      <c r="BQ5" s="1"/>
      <c r="BR5" s="1"/>
      <c r="BS5" s="1"/>
      <c r="BT5" s="1"/>
      <c r="BU5" s="1"/>
      <c r="BV5" s="1"/>
      <c r="BW5" s="1"/>
    </row>
    <row r="6" spans="1:75" x14ac:dyDescent="0.25">
      <c r="A6" s="1" t="s">
        <v>884</v>
      </c>
      <c r="B6" s="1" t="s">
        <v>130</v>
      </c>
      <c r="C6" s="1">
        <v>2013</v>
      </c>
      <c r="D6" s="1">
        <v>1</v>
      </c>
      <c r="E6" s="1">
        <v>0</v>
      </c>
      <c r="F6" s="1">
        <v>0</v>
      </c>
      <c r="G6" s="1"/>
      <c r="H6" s="1"/>
      <c r="I6" s="19"/>
      <c r="J6" s="19">
        <v>415</v>
      </c>
      <c r="K6" s="19"/>
      <c r="L6" s="19"/>
      <c r="M6" s="19"/>
      <c r="N6" s="19">
        <v>230</v>
      </c>
      <c r="O6" s="19"/>
      <c r="P6" s="19"/>
      <c r="Q6" s="20"/>
      <c r="R6" s="67"/>
      <c r="S6" s="67"/>
      <c r="T6" s="67"/>
      <c r="U6" s="20"/>
      <c r="V6" s="20"/>
      <c r="W6" s="19"/>
      <c r="X6" s="9"/>
      <c r="Y6" s="19"/>
      <c r="Z6" s="68"/>
      <c r="AA6" s="68"/>
      <c r="AB6" s="68"/>
      <c r="AC6" s="1"/>
      <c r="AD6" s="1"/>
      <c r="AE6" s="1"/>
      <c r="AF6" s="1"/>
      <c r="AG6" s="1"/>
      <c r="AH6" s="1"/>
      <c r="AI6" s="1">
        <v>2</v>
      </c>
      <c r="AJ6" s="1"/>
      <c r="AK6" s="1"/>
      <c r="AL6" s="68"/>
      <c r="AM6" s="1"/>
      <c r="AN6" s="19"/>
      <c r="AO6" s="19"/>
      <c r="AP6" s="68"/>
      <c r="AQ6" s="19"/>
      <c r="AR6" s="8"/>
      <c r="AS6" s="8"/>
      <c r="AT6" s="8"/>
      <c r="AU6" s="8"/>
      <c r="AV6" s="8"/>
      <c r="AW6" s="68"/>
      <c r="AX6" s="68"/>
      <c r="AY6" s="1"/>
      <c r="AZ6" s="1">
        <v>32</v>
      </c>
      <c r="BA6" s="1">
        <v>32</v>
      </c>
      <c r="BB6" s="1"/>
      <c r="BC6" s="13">
        <v>33</v>
      </c>
      <c r="BD6" s="1">
        <v>33</v>
      </c>
      <c r="BE6" s="13"/>
      <c r="BF6" s="13"/>
      <c r="BG6" s="13"/>
      <c r="BH6" s="13"/>
      <c r="BI6" s="1"/>
      <c r="BJ6" s="13"/>
      <c r="BK6" s="13"/>
      <c r="BL6" s="1"/>
      <c r="BM6" s="1">
        <v>33</v>
      </c>
      <c r="BN6" s="1"/>
      <c r="BO6" s="1"/>
      <c r="BP6" s="1"/>
      <c r="BQ6" s="1"/>
      <c r="BR6" s="1"/>
      <c r="BS6" s="1"/>
      <c r="BT6" s="1"/>
      <c r="BU6" s="1"/>
      <c r="BV6" s="1"/>
      <c r="BW6" s="1"/>
    </row>
    <row r="7" spans="1:75" x14ac:dyDescent="0.25">
      <c r="A7" s="1" t="s">
        <v>102</v>
      </c>
      <c r="B7" s="1" t="s">
        <v>130</v>
      </c>
      <c r="C7" s="1">
        <v>2013</v>
      </c>
      <c r="D7" s="1">
        <v>1</v>
      </c>
      <c r="E7" s="1">
        <v>0</v>
      </c>
      <c r="F7" s="1">
        <v>0</v>
      </c>
      <c r="G7" s="1"/>
      <c r="H7" s="1"/>
      <c r="I7" s="19"/>
      <c r="J7" s="19">
        <v>160</v>
      </c>
      <c r="K7" s="19"/>
      <c r="L7" s="19"/>
      <c r="M7" s="19"/>
      <c r="N7" s="19">
        <v>120</v>
      </c>
      <c r="O7" s="19"/>
      <c r="P7" s="19"/>
      <c r="Q7" s="20"/>
      <c r="R7" s="67"/>
      <c r="S7" s="67"/>
      <c r="T7" s="67"/>
      <c r="U7" s="20"/>
      <c r="V7" s="20"/>
      <c r="W7" s="19"/>
      <c r="X7" s="9"/>
      <c r="Y7" s="19"/>
      <c r="Z7" s="68"/>
      <c r="AA7" s="68"/>
      <c r="AB7" s="68"/>
      <c r="AC7" s="1"/>
      <c r="AD7" s="1"/>
      <c r="AE7" s="1"/>
      <c r="AF7" s="1"/>
      <c r="AG7" s="1"/>
      <c r="AH7" s="1"/>
      <c r="AI7" s="1">
        <v>1</v>
      </c>
      <c r="AJ7" s="1"/>
      <c r="AK7" s="1"/>
      <c r="AL7" s="68"/>
      <c r="AM7" s="1"/>
      <c r="AN7" s="19"/>
      <c r="AO7" s="19"/>
      <c r="AP7" s="68"/>
      <c r="AQ7" s="19"/>
      <c r="AR7" s="8"/>
      <c r="AS7" s="8"/>
      <c r="AT7" s="8"/>
      <c r="AU7" s="8"/>
      <c r="AV7" s="8"/>
      <c r="AW7" s="68"/>
      <c r="AX7" s="68"/>
      <c r="AY7" s="1"/>
      <c r="AZ7" s="1">
        <v>32</v>
      </c>
      <c r="BA7" s="1">
        <v>32</v>
      </c>
      <c r="BB7" s="1"/>
      <c r="BC7" s="13">
        <v>33</v>
      </c>
      <c r="BD7" s="1">
        <v>33</v>
      </c>
      <c r="BE7" s="13"/>
      <c r="BF7" s="13"/>
      <c r="BG7" s="13"/>
      <c r="BH7" s="13"/>
      <c r="BI7" s="1"/>
      <c r="BJ7" s="13"/>
      <c r="BK7" s="13"/>
      <c r="BL7" s="1"/>
      <c r="BM7" s="1">
        <v>33</v>
      </c>
      <c r="BN7" s="1"/>
      <c r="BO7" s="1"/>
      <c r="BP7" s="1"/>
      <c r="BQ7" s="1"/>
      <c r="BR7" s="1"/>
      <c r="BS7" s="1"/>
      <c r="BT7" s="1"/>
      <c r="BU7" s="1"/>
      <c r="BV7" s="1"/>
      <c r="BW7" s="1"/>
    </row>
    <row r="8" spans="1:75" x14ac:dyDescent="0.25">
      <c r="A8" s="1" t="s">
        <v>139</v>
      </c>
      <c r="B8" s="1" t="s">
        <v>130</v>
      </c>
      <c r="C8" s="1">
        <v>2013</v>
      </c>
      <c r="D8" s="1">
        <v>1</v>
      </c>
      <c r="E8" s="1">
        <v>0</v>
      </c>
      <c r="F8" s="1">
        <v>0</v>
      </c>
      <c r="G8" s="1"/>
      <c r="H8" s="1"/>
      <c r="I8" s="19"/>
      <c r="J8" s="19">
        <v>370</v>
      </c>
      <c r="K8" s="19"/>
      <c r="L8" s="19"/>
      <c r="M8" s="19"/>
      <c r="N8" s="19">
        <v>740</v>
      </c>
      <c r="O8" s="19"/>
      <c r="P8" s="19"/>
      <c r="Q8" s="20"/>
      <c r="R8" s="67"/>
      <c r="S8" s="67"/>
      <c r="T8" s="67"/>
      <c r="U8" s="20"/>
      <c r="V8" s="20"/>
      <c r="W8" s="19"/>
      <c r="X8" s="9"/>
      <c r="Y8" s="19"/>
      <c r="Z8" s="68"/>
      <c r="AA8" s="68"/>
      <c r="AB8" s="68"/>
      <c r="AC8" s="1"/>
      <c r="AD8" s="1"/>
      <c r="AE8" s="1"/>
      <c r="AF8" s="1"/>
      <c r="AG8" s="1"/>
      <c r="AH8" s="1"/>
      <c r="AI8" s="1">
        <v>16</v>
      </c>
      <c r="AJ8" s="1"/>
      <c r="AK8" s="1"/>
      <c r="AL8" s="68"/>
      <c r="AM8" s="1"/>
      <c r="AN8" s="19"/>
      <c r="AO8" s="19"/>
      <c r="AP8" s="68"/>
      <c r="AQ8" s="19"/>
      <c r="AR8" s="8"/>
      <c r="AS8" s="8"/>
      <c r="AT8" s="8"/>
      <c r="AU8" s="8"/>
      <c r="AV8" s="8"/>
      <c r="AW8" s="68"/>
      <c r="AX8" s="68"/>
      <c r="AY8" s="1"/>
      <c r="AZ8" s="1">
        <v>32</v>
      </c>
      <c r="BA8" s="1">
        <v>32</v>
      </c>
      <c r="BB8" s="1"/>
      <c r="BC8" s="13">
        <v>33</v>
      </c>
      <c r="BD8" s="1">
        <v>33</v>
      </c>
      <c r="BE8" s="13"/>
      <c r="BF8" s="13"/>
      <c r="BG8" s="13"/>
      <c r="BH8" s="13"/>
      <c r="BI8" s="1"/>
      <c r="BJ8" s="13"/>
      <c r="BK8" s="13"/>
      <c r="BL8" s="1"/>
      <c r="BM8" s="1">
        <v>33</v>
      </c>
      <c r="BN8" s="1"/>
      <c r="BO8" s="1"/>
      <c r="BP8" s="1"/>
      <c r="BQ8" s="1"/>
      <c r="BR8" s="1"/>
      <c r="BS8" s="1"/>
      <c r="BT8" s="1"/>
      <c r="BU8" s="1"/>
      <c r="BV8" s="1"/>
      <c r="BW8" s="1"/>
    </row>
    <row r="9" spans="1:75" x14ac:dyDescent="0.25">
      <c r="A9" s="1" t="s">
        <v>140</v>
      </c>
      <c r="B9" s="1" t="s">
        <v>130</v>
      </c>
      <c r="C9" s="1">
        <v>2013</v>
      </c>
      <c r="D9" s="1">
        <v>1</v>
      </c>
      <c r="E9" s="1">
        <v>0</v>
      </c>
      <c r="F9" s="1">
        <v>0</v>
      </c>
      <c r="G9" s="1"/>
      <c r="H9" s="1"/>
      <c r="I9" s="19"/>
      <c r="J9" s="19">
        <v>740</v>
      </c>
      <c r="K9" s="19"/>
      <c r="L9" s="19"/>
      <c r="M9" s="19"/>
      <c r="N9" s="19">
        <v>2950</v>
      </c>
      <c r="O9" s="19"/>
      <c r="P9" s="19"/>
      <c r="Q9" s="20"/>
      <c r="R9" s="67"/>
      <c r="S9" s="67"/>
      <c r="T9" s="67"/>
      <c r="U9" s="20"/>
      <c r="V9" s="20"/>
      <c r="W9" s="19"/>
      <c r="X9" s="9"/>
      <c r="Y9" s="19"/>
      <c r="Z9" s="68"/>
      <c r="AA9" s="68"/>
      <c r="AB9" s="68"/>
      <c r="AC9" s="1"/>
      <c r="AD9" s="1"/>
      <c r="AE9" s="1"/>
      <c r="AF9" s="1"/>
      <c r="AG9" s="1"/>
      <c r="AH9" s="1"/>
      <c r="AI9" s="1">
        <v>16</v>
      </c>
      <c r="AJ9" s="1"/>
      <c r="AK9" s="1"/>
      <c r="AL9" s="68"/>
      <c r="AM9" s="1"/>
      <c r="AN9" s="19"/>
      <c r="AO9" s="19"/>
      <c r="AP9" s="68"/>
      <c r="AQ9" s="19"/>
      <c r="AR9" s="8"/>
      <c r="AS9" s="8"/>
      <c r="AT9" s="8"/>
      <c r="AU9" s="8"/>
      <c r="AV9" s="8"/>
      <c r="AW9" s="68"/>
      <c r="AX9" s="68"/>
      <c r="AY9" s="1"/>
      <c r="AZ9" s="1">
        <v>32</v>
      </c>
      <c r="BA9" s="1">
        <v>32</v>
      </c>
      <c r="BB9" s="1"/>
      <c r="BC9" s="13">
        <v>33</v>
      </c>
      <c r="BD9" s="1">
        <v>33</v>
      </c>
      <c r="BE9" s="13"/>
      <c r="BF9" s="13"/>
      <c r="BG9" s="13"/>
      <c r="BH9" s="13"/>
      <c r="BI9" s="1"/>
      <c r="BJ9" s="13"/>
      <c r="BK9" s="13"/>
      <c r="BL9" s="1"/>
      <c r="BM9" s="1">
        <v>33</v>
      </c>
      <c r="BN9" s="1"/>
      <c r="BO9" s="1"/>
      <c r="BP9" s="1"/>
      <c r="BQ9" s="1"/>
      <c r="BR9" s="1"/>
      <c r="BS9" s="1"/>
      <c r="BT9" s="1"/>
      <c r="BU9" s="1"/>
      <c r="BV9" s="1"/>
      <c r="BW9" s="1"/>
    </row>
    <row r="10" spans="1:75" x14ac:dyDescent="0.25">
      <c r="A10" s="1" t="s">
        <v>167</v>
      </c>
      <c r="B10" s="1" t="s">
        <v>142</v>
      </c>
      <c r="C10" s="1">
        <v>2013</v>
      </c>
      <c r="D10" s="1">
        <v>1</v>
      </c>
      <c r="E10" s="1">
        <v>0</v>
      </c>
      <c r="F10" s="1">
        <v>0</v>
      </c>
      <c r="G10" s="1"/>
      <c r="H10" s="1"/>
      <c r="I10" s="19"/>
      <c r="J10" s="19">
        <v>415</v>
      </c>
      <c r="K10" s="19"/>
      <c r="L10" s="19"/>
      <c r="M10" s="19"/>
      <c r="N10" s="19">
        <v>3300</v>
      </c>
      <c r="O10" s="19"/>
      <c r="P10" s="19"/>
      <c r="Q10" s="20"/>
      <c r="R10" s="67"/>
      <c r="S10" s="67"/>
      <c r="T10" s="67"/>
      <c r="U10" s="20"/>
      <c r="V10" s="20"/>
      <c r="W10" s="19"/>
      <c r="X10" s="9"/>
      <c r="Y10" s="19"/>
      <c r="Z10" s="68"/>
      <c r="AA10" s="68"/>
      <c r="AB10" s="68"/>
      <c r="AC10" s="1"/>
      <c r="AD10" s="1"/>
      <c r="AE10" s="1"/>
      <c r="AF10" s="1"/>
      <c r="AG10" s="1"/>
      <c r="AH10" s="1"/>
      <c r="AI10" s="1">
        <v>4</v>
      </c>
      <c r="AJ10" s="1"/>
      <c r="AK10" s="1"/>
      <c r="AL10" s="68"/>
      <c r="AM10" s="1"/>
      <c r="AN10" s="19"/>
      <c r="AO10" s="19"/>
      <c r="AP10" s="68"/>
      <c r="AQ10" s="19"/>
      <c r="AR10" s="8"/>
      <c r="AS10" s="8"/>
      <c r="AT10" s="8"/>
      <c r="AU10" s="8"/>
      <c r="AV10" s="8"/>
      <c r="AW10" s="68"/>
      <c r="AX10" s="68"/>
      <c r="AY10" s="1"/>
      <c r="AZ10" s="1">
        <v>32</v>
      </c>
      <c r="BA10" s="1">
        <v>32</v>
      </c>
      <c r="BB10" s="1"/>
      <c r="BC10" s="13">
        <v>33</v>
      </c>
      <c r="BD10" s="1">
        <v>33</v>
      </c>
      <c r="BE10" s="13"/>
      <c r="BF10" s="13"/>
      <c r="BG10" s="13"/>
      <c r="BH10" s="13"/>
      <c r="BI10" s="1"/>
      <c r="BJ10" s="13"/>
      <c r="BK10" s="13"/>
      <c r="BL10" s="1"/>
      <c r="BM10" s="1">
        <v>33</v>
      </c>
      <c r="BN10" s="1"/>
      <c r="BO10" s="1"/>
      <c r="BP10" s="1"/>
      <c r="BQ10" s="1"/>
      <c r="BR10" s="1"/>
      <c r="BS10" s="1"/>
      <c r="BT10" s="1"/>
      <c r="BU10" s="1"/>
      <c r="BV10" s="1"/>
      <c r="BW10" s="1"/>
    </row>
    <row r="11" spans="1:75" x14ac:dyDescent="0.25">
      <c r="A11" s="1" t="s">
        <v>394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"/>
      <c r="H11" s="1"/>
      <c r="I11" s="19"/>
      <c r="J11" s="19">
        <v>830</v>
      </c>
      <c r="K11" s="19"/>
      <c r="L11" s="19"/>
      <c r="M11" s="19"/>
      <c r="N11" s="19">
        <v>1660</v>
      </c>
      <c r="O11" s="19"/>
      <c r="P11" s="19"/>
      <c r="Q11" s="20"/>
      <c r="R11" s="67"/>
      <c r="S11" s="67"/>
      <c r="T11" s="67"/>
      <c r="U11" s="20"/>
      <c r="V11" s="20"/>
      <c r="W11" s="19"/>
      <c r="X11" s="9"/>
      <c r="Y11" s="19"/>
      <c r="Z11" s="68"/>
      <c r="AA11" s="68"/>
      <c r="AB11" s="68"/>
      <c r="AC11" s="1"/>
      <c r="AD11" s="1"/>
      <c r="AE11" s="1"/>
      <c r="AF11" s="1"/>
      <c r="AG11" s="1"/>
      <c r="AH11" s="1"/>
      <c r="AI11" s="1">
        <v>1</v>
      </c>
      <c r="AJ11" s="1"/>
      <c r="AK11" s="1"/>
      <c r="AL11" s="68"/>
      <c r="AM11" s="1"/>
      <c r="AN11" s="19"/>
      <c r="AO11" s="19"/>
      <c r="AP11" s="68"/>
      <c r="AQ11" s="19"/>
      <c r="AR11" s="8"/>
      <c r="AS11" s="8"/>
      <c r="AT11" s="8"/>
      <c r="AU11" s="8"/>
      <c r="AV11" s="8"/>
      <c r="AW11" s="68"/>
      <c r="AX11" s="68"/>
      <c r="AY11" s="1"/>
      <c r="AZ11" s="1">
        <v>32</v>
      </c>
      <c r="BA11" s="1">
        <v>32</v>
      </c>
      <c r="BB11" s="1"/>
      <c r="BC11" s="13">
        <v>33</v>
      </c>
      <c r="BD11" s="1">
        <v>33</v>
      </c>
      <c r="BE11" s="13"/>
      <c r="BF11" s="13"/>
      <c r="BG11" s="13"/>
      <c r="BH11" s="13"/>
      <c r="BI11" s="1"/>
      <c r="BJ11" s="13"/>
      <c r="BK11" s="13"/>
      <c r="BL11" s="1"/>
      <c r="BM11" s="1">
        <v>33</v>
      </c>
      <c r="BN11" s="1"/>
      <c r="BO11" s="1"/>
      <c r="BP11" s="1"/>
      <c r="BQ11" s="1"/>
      <c r="BR11" s="1"/>
      <c r="BS11" s="1"/>
      <c r="BT11" s="1"/>
      <c r="BU11" s="1"/>
      <c r="BV11" s="1"/>
      <c r="BW11" s="1"/>
    </row>
    <row r="12" spans="1:75" x14ac:dyDescent="0.25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"/>
      <c r="H12" s="1"/>
      <c r="I12" s="19"/>
      <c r="J12" s="19">
        <v>170</v>
      </c>
      <c r="K12" s="19"/>
      <c r="L12" s="19"/>
      <c r="M12" s="19"/>
      <c r="N12" s="19">
        <v>300</v>
      </c>
      <c r="O12" s="19"/>
      <c r="P12" s="19"/>
      <c r="Q12" s="20"/>
      <c r="R12" s="67"/>
      <c r="S12" s="67"/>
      <c r="T12" s="67"/>
      <c r="U12" s="20"/>
      <c r="V12" s="20"/>
      <c r="W12" s="19"/>
      <c r="X12" s="9"/>
      <c r="Y12" s="19"/>
      <c r="Z12" s="68"/>
      <c r="AA12" s="68"/>
      <c r="AB12" s="68"/>
      <c r="AC12" s="1"/>
      <c r="AD12" s="1"/>
      <c r="AE12" s="1"/>
      <c r="AF12" s="1"/>
      <c r="AG12" s="1"/>
      <c r="AH12" s="1"/>
      <c r="AI12" s="1">
        <v>1</v>
      </c>
      <c r="AJ12" s="1"/>
      <c r="AK12" s="1"/>
      <c r="AL12" s="68"/>
      <c r="AM12" s="1"/>
      <c r="AN12" s="19"/>
      <c r="AO12" s="19"/>
      <c r="AP12" s="68"/>
      <c r="AQ12" s="19"/>
      <c r="AR12" s="8"/>
      <c r="AS12" s="8"/>
      <c r="AT12" s="8"/>
      <c r="AU12" s="8"/>
      <c r="AV12" s="8"/>
      <c r="AW12" s="68"/>
      <c r="AX12" s="68"/>
      <c r="AY12" s="1"/>
      <c r="AZ12" s="1">
        <v>32</v>
      </c>
      <c r="BA12" s="1">
        <v>32</v>
      </c>
      <c r="BB12" s="1"/>
      <c r="BC12" s="13">
        <v>33</v>
      </c>
      <c r="BD12" s="1">
        <v>33</v>
      </c>
      <c r="BE12" s="13"/>
      <c r="BF12" s="13"/>
      <c r="BG12" s="13"/>
      <c r="BH12" s="13"/>
      <c r="BI12" s="1"/>
      <c r="BJ12" s="13"/>
      <c r="BK12" s="13"/>
      <c r="BL12" s="1"/>
      <c r="BM12" s="1">
        <v>33</v>
      </c>
      <c r="BN12" s="1"/>
      <c r="BO12" s="1"/>
      <c r="BP12" s="1"/>
      <c r="BQ12" s="1"/>
      <c r="BR12" s="1"/>
      <c r="BS12" s="1"/>
      <c r="BT12" s="1"/>
      <c r="BU12" s="1"/>
      <c r="BV12" s="1"/>
      <c r="BW12" s="1"/>
    </row>
    <row r="13" spans="1:75" x14ac:dyDescent="0.25">
      <c r="A13" s="1" t="s">
        <v>138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"/>
      <c r="H13" s="1"/>
      <c r="I13" s="19"/>
      <c r="J13" s="19">
        <v>440</v>
      </c>
      <c r="K13" s="19"/>
      <c r="L13" s="19"/>
      <c r="M13" s="19"/>
      <c r="N13" s="19">
        <v>1380</v>
      </c>
      <c r="O13" s="19"/>
      <c r="P13" s="19"/>
      <c r="Q13" s="20"/>
      <c r="R13" s="67"/>
      <c r="S13" s="67"/>
      <c r="T13" s="67"/>
      <c r="U13" s="20"/>
      <c r="V13" s="20"/>
      <c r="W13" s="19"/>
      <c r="X13" s="9"/>
      <c r="Y13" s="19"/>
      <c r="Z13" s="68"/>
      <c r="AA13" s="68"/>
      <c r="AB13" s="68"/>
      <c r="AC13" s="1"/>
      <c r="AD13" s="1"/>
      <c r="AE13" s="1"/>
      <c r="AF13" s="1"/>
      <c r="AG13" s="1"/>
      <c r="AH13" s="1"/>
      <c r="AI13" s="1">
        <v>16</v>
      </c>
      <c r="AJ13" s="1"/>
      <c r="AK13" s="1"/>
      <c r="AL13" s="68"/>
      <c r="AM13" s="1"/>
      <c r="AN13" s="19"/>
      <c r="AO13" s="19"/>
      <c r="AP13" s="68"/>
      <c r="AQ13" s="19"/>
      <c r="AR13" s="8"/>
      <c r="AS13" s="8"/>
      <c r="AT13" s="8"/>
      <c r="AU13" s="8"/>
      <c r="AV13" s="8"/>
      <c r="AW13" s="68"/>
      <c r="AX13" s="68"/>
      <c r="AY13" s="1"/>
      <c r="AZ13" s="1">
        <v>32</v>
      </c>
      <c r="BA13" s="1">
        <v>32</v>
      </c>
      <c r="BB13" s="1"/>
      <c r="BC13" s="13">
        <v>33</v>
      </c>
      <c r="BD13" s="1">
        <v>33</v>
      </c>
      <c r="BE13" s="13"/>
      <c r="BF13" s="13"/>
      <c r="BG13" s="13"/>
      <c r="BH13" s="13"/>
      <c r="BI13" s="1"/>
      <c r="BJ13" s="13"/>
      <c r="BK13" s="13"/>
      <c r="BL13" s="1"/>
      <c r="BM13" s="1">
        <v>33</v>
      </c>
      <c r="BN13" s="1"/>
      <c r="BO13" s="1"/>
      <c r="BP13" s="1"/>
      <c r="BQ13" s="1"/>
      <c r="BR13" s="1"/>
      <c r="BS13" s="1"/>
      <c r="BT13" s="1"/>
      <c r="BU13" s="1"/>
      <c r="BV13" s="1"/>
      <c r="BW13" s="1"/>
    </row>
    <row r="14" spans="1:75" x14ac:dyDescent="0.25">
      <c r="A14" s="1" t="s">
        <v>141</v>
      </c>
      <c r="B14" s="1" t="s">
        <v>142</v>
      </c>
      <c r="C14" s="1">
        <v>2013</v>
      </c>
      <c r="D14" s="1">
        <v>1</v>
      </c>
      <c r="E14" s="1">
        <v>0</v>
      </c>
      <c r="F14" s="1">
        <v>0</v>
      </c>
      <c r="G14" s="1"/>
      <c r="H14" s="1"/>
      <c r="I14" s="19"/>
      <c r="J14" s="19">
        <v>1290</v>
      </c>
      <c r="K14" s="19"/>
      <c r="L14" s="19"/>
      <c r="M14" s="19"/>
      <c r="N14" s="19">
        <v>5100</v>
      </c>
      <c r="O14" s="19"/>
      <c r="P14" s="19"/>
      <c r="Q14" s="20"/>
      <c r="R14" s="67"/>
      <c r="S14" s="67"/>
      <c r="T14" s="67"/>
      <c r="U14" s="20"/>
      <c r="V14" s="20"/>
      <c r="W14" s="19"/>
      <c r="X14" s="9"/>
      <c r="Y14" s="19"/>
      <c r="Z14" s="68"/>
      <c r="AA14" s="68"/>
      <c r="AB14" s="68"/>
      <c r="AC14" s="1"/>
      <c r="AD14" s="1"/>
      <c r="AE14" s="1"/>
      <c r="AF14" s="1"/>
      <c r="AG14" s="1"/>
      <c r="AH14" s="1"/>
      <c r="AI14" s="1">
        <v>16</v>
      </c>
      <c r="AJ14" s="1"/>
      <c r="AK14" s="1"/>
      <c r="AL14" s="68"/>
      <c r="AM14" s="1"/>
      <c r="AN14" s="19"/>
      <c r="AO14" s="19"/>
      <c r="AP14" s="68"/>
      <c r="AQ14" s="19"/>
      <c r="AR14" s="8"/>
      <c r="AS14" s="8"/>
      <c r="AT14" s="8"/>
      <c r="AU14" s="8"/>
      <c r="AV14" s="8"/>
      <c r="AW14" s="68"/>
      <c r="AX14" s="68"/>
      <c r="AY14" s="1"/>
      <c r="AZ14" s="1">
        <v>32</v>
      </c>
      <c r="BA14" s="1">
        <v>32</v>
      </c>
      <c r="BB14" s="1"/>
      <c r="BC14" s="13">
        <v>33</v>
      </c>
      <c r="BD14" s="1">
        <v>33</v>
      </c>
      <c r="BE14" s="13"/>
      <c r="BF14" s="13"/>
      <c r="BG14" s="13"/>
      <c r="BH14" s="13"/>
      <c r="BI14" s="1"/>
      <c r="BJ14" s="13"/>
      <c r="BK14" s="13"/>
      <c r="BL14" s="1"/>
      <c r="BM14" s="1">
        <v>33</v>
      </c>
      <c r="BN14" s="1"/>
      <c r="BO14" s="1"/>
      <c r="BP14" s="1"/>
      <c r="BQ14" s="1"/>
      <c r="BR14" s="1"/>
      <c r="BS14" s="1"/>
      <c r="BT14" s="1"/>
      <c r="BU14" s="1"/>
      <c r="BV14" s="1"/>
      <c r="BW14" s="1"/>
    </row>
    <row r="15" spans="1:75" x14ac:dyDescent="0.25">
      <c r="A15" s="1" t="s">
        <v>367</v>
      </c>
      <c r="B15" s="1" t="s">
        <v>885</v>
      </c>
      <c r="C15" s="1">
        <v>2013</v>
      </c>
      <c r="D15" s="1">
        <v>1</v>
      </c>
      <c r="E15" s="1">
        <v>0</v>
      </c>
      <c r="F15" s="1">
        <v>0</v>
      </c>
      <c r="G15" s="1"/>
      <c r="H15" s="1"/>
      <c r="I15" s="19"/>
      <c r="J15" s="19">
        <v>70</v>
      </c>
      <c r="K15" s="19"/>
      <c r="L15" s="19"/>
      <c r="M15" s="19"/>
      <c r="N15" s="19">
        <v>90</v>
      </c>
      <c r="O15" s="19"/>
      <c r="P15" s="19"/>
      <c r="Q15" s="20"/>
      <c r="R15" s="67"/>
      <c r="S15" s="67"/>
      <c r="T15" s="67"/>
      <c r="U15" s="20"/>
      <c r="V15" s="20"/>
      <c r="W15" s="19"/>
      <c r="X15" s="9"/>
      <c r="Y15" s="19"/>
      <c r="Z15" s="68"/>
      <c r="AA15" s="68"/>
      <c r="AB15" s="68"/>
      <c r="AC15" s="1"/>
      <c r="AD15" s="1"/>
      <c r="AE15" s="1"/>
      <c r="AF15" s="1"/>
      <c r="AG15" s="1"/>
      <c r="AH15" s="1"/>
      <c r="AI15" s="1">
        <v>1</v>
      </c>
      <c r="AJ15" s="1"/>
      <c r="AK15" s="1"/>
      <c r="AL15" s="68"/>
      <c r="AM15" s="1"/>
      <c r="AN15" s="19"/>
      <c r="AO15" s="19"/>
      <c r="AP15" s="68"/>
      <c r="AQ15" s="19"/>
      <c r="AR15" s="8"/>
      <c r="AS15" s="8"/>
      <c r="AT15" s="8"/>
      <c r="AU15" s="8"/>
      <c r="AV15" s="8"/>
      <c r="AW15" s="68"/>
      <c r="AX15" s="68"/>
      <c r="AY15" s="1"/>
      <c r="AZ15" s="1">
        <v>32</v>
      </c>
      <c r="BA15" s="1">
        <v>32</v>
      </c>
      <c r="BB15" s="1"/>
      <c r="BC15" s="13">
        <v>33</v>
      </c>
      <c r="BD15" s="1">
        <v>33</v>
      </c>
      <c r="BE15" s="13"/>
      <c r="BF15" s="13"/>
      <c r="BG15" s="13"/>
      <c r="BH15" s="13"/>
      <c r="BI15" s="1"/>
      <c r="BJ15" s="13"/>
      <c r="BK15" s="13"/>
      <c r="BL15" s="1"/>
      <c r="BM15" s="1">
        <v>33</v>
      </c>
      <c r="BN15" s="1"/>
      <c r="BO15" s="1"/>
      <c r="BP15" s="1"/>
      <c r="BQ15" s="1"/>
      <c r="BR15" s="1"/>
      <c r="BS15" s="1"/>
      <c r="BT15" s="1"/>
      <c r="BU15" s="1"/>
      <c r="BV15" s="1"/>
      <c r="BW15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CD41"/>
  <sheetViews>
    <sheetView zoomScale="85" zoomScaleNormal="85" workbookViewId="0">
      <pane xSplit="6" ySplit="1" topLeftCell="BW2" activePane="bottomRight" state="frozen"/>
      <selection pane="topRight" activeCell="G1" sqref="G1"/>
      <selection pane="bottomLeft" activeCell="A2" sqref="A2"/>
      <selection pane="bottomRight" activeCell="BW1" sqref="BW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4" width="24.5703125" style="1" customWidth="1"/>
    <col min="15" max="15" width="24.42578125" style="1" bestFit="1" customWidth="1"/>
    <col min="16" max="21" width="24.42578125" style="1" customWidth="1"/>
    <col min="22" max="22" width="37.7109375" style="1" bestFit="1" customWidth="1"/>
    <col min="23" max="24" width="24.7109375" style="1" customWidth="1"/>
    <col min="25" max="25" width="28.42578125" style="1" customWidth="1"/>
    <col min="26" max="26" width="27.42578125" style="1" bestFit="1" customWidth="1"/>
    <col min="27" max="30" width="27.42578125" style="1" customWidth="1"/>
    <col min="31" max="31" width="20.7109375" style="1" bestFit="1" customWidth="1"/>
    <col min="32" max="37" width="20.7109375" style="1" customWidth="1"/>
    <col min="38" max="38" width="25.85546875" style="1" bestFit="1" customWidth="1"/>
    <col min="39" max="39" width="29.7109375" style="1" bestFit="1" customWidth="1"/>
    <col min="40" max="40" width="29.7109375" style="1" customWidth="1"/>
    <col min="41" max="41" width="24" style="1" bestFit="1" customWidth="1"/>
    <col min="42" max="42" width="38.28515625" style="1" bestFit="1" customWidth="1"/>
    <col min="43" max="46" width="38.28515625" style="1" customWidth="1"/>
    <col min="47" max="47" width="38.28515625" style="1" bestFit="1" customWidth="1"/>
    <col min="48" max="49" width="38.28515625" style="1" customWidth="1"/>
    <col min="50" max="50" width="33.42578125" style="1" bestFit="1" customWidth="1"/>
    <col min="51" max="53" width="33.42578125" style="1" customWidth="1"/>
    <col min="54" max="54" width="25.7109375" style="1" bestFit="1" customWidth="1"/>
    <col min="55" max="57" width="25.7109375" style="1" customWidth="1"/>
    <col min="58" max="58" width="56.7109375" style="1" bestFit="1" customWidth="1"/>
    <col min="59" max="61" width="35.5703125" style="1" customWidth="1"/>
    <col min="62" max="62" width="31.7109375" style="1" bestFit="1" customWidth="1"/>
    <col min="63" max="63" width="31.5703125" style="1" bestFit="1" customWidth="1"/>
    <col min="64" max="68" width="31.5703125" style="1" customWidth="1"/>
    <col min="69" max="69" width="37.42578125" style="1" bestFit="1" customWidth="1"/>
    <col min="70" max="70" width="35.7109375" style="1" bestFit="1" customWidth="1"/>
    <col min="71" max="71" width="28.85546875" style="1" bestFit="1" customWidth="1"/>
    <col min="72" max="72" width="34" style="1" bestFit="1" customWidth="1"/>
    <col min="73" max="73" width="37.85546875" style="1" bestFit="1" customWidth="1"/>
    <col min="74" max="74" width="34.42578125" style="1" bestFit="1" customWidth="1"/>
    <col min="75" max="75" width="38.140625" style="1" bestFit="1" customWidth="1"/>
    <col min="76" max="76" width="22.85546875" style="1" bestFit="1" customWidth="1"/>
    <col min="77" max="77" width="28.5703125" style="1" bestFit="1" customWidth="1"/>
    <col min="78" max="78" width="28.28515625" style="1" bestFit="1" customWidth="1"/>
    <col min="79" max="80" width="28.28515625" style="1" customWidth="1"/>
    <col min="81" max="81" width="31" style="1" bestFit="1" customWidth="1"/>
    <col min="82" max="82" width="28.85546875" style="1" bestFit="1" customWidth="1"/>
    <col min="83" max="16384" width="11.42578125" style="1"/>
  </cols>
  <sheetData>
    <row r="1" spans="1:8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844</v>
      </c>
      <c r="H1" s="2" t="s">
        <v>49</v>
      </c>
      <c r="I1" s="2" t="s">
        <v>149</v>
      </c>
      <c r="J1" s="2" t="s">
        <v>50</v>
      </c>
      <c r="K1" s="2" t="s">
        <v>548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563</v>
      </c>
      <c r="S1" s="2" t="s">
        <v>1154</v>
      </c>
      <c r="T1" s="2" t="s">
        <v>237</v>
      </c>
      <c r="U1" s="2" t="s">
        <v>564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1170</v>
      </c>
      <c r="AD1" s="2" t="s">
        <v>1171</v>
      </c>
      <c r="AE1" s="2" t="s">
        <v>159</v>
      </c>
      <c r="AF1" s="2" t="s">
        <v>1173</v>
      </c>
      <c r="AG1" s="2" t="s">
        <v>229</v>
      </c>
      <c r="AH1" s="2" t="s">
        <v>230</v>
      </c>
      <c r="AI1" s="2" t="s">
        <v>160</v>
      </c>
      <c r="AJ1" s="2" t="s">
        <v>216</v>
      </c>
      <c r="AK1" s="2" t="s">
        <v>217</v>
      </c>
      <c r="AL1" s="2" t="s">
        <v>3</v>
      </c>
      <c r="AM1" s="2" t="s">
        <v>572</v>
      </c>
      <c r="AN1" s="2" t="s">
        <v>573</v>
      </c>
      <c r="AO1" s="2" t="s">
        <v>16</v>
      </c>
      <c r="AP1" s="2" t="s">
        <v>4</v>
      </c>
      <c r="AQ1" s="2" t="s">
        <v>99</v>
      </c>
      <c r="AR1" s="2" t="s">
        <v>1121</v>
      </c>
      <c r="AS1" s="2" t="s">
        <v>185</v>
      </c>
      <c r="AT1" s="2" t="s">
        <v>184</v>
      </c>
      <c r="AU1" s="2" t="s">
        <v>12</v>
      </c>
      <c r="AV1" s="2" t="s">
        <v>233</v>
      </c>
      <c r="AW1" s="2" t="s">
        <v>234</v>
      </c>
      <c r="AX1" s="2" t="s">
        <v>574</v>
      </c>
      <c r="AY1" s="2" t="s">
        <v>575</v>
      </c>
      <c r="AZ1" s="2" t="s">
        <v>567</v>
      </c>
      <c r="BA1" s="2" t="s">
        <v>334</v>
      </c>
      <c r="BB1" s="2" t="s">
        <v>335</v>
      </c>
      <c r="BC1" s="2" t="s">
        <v>147</v>
      </c>
      <c r="BD1" s="2" t="s">
        <v>569</v>
      </c>
      <c r="BE1" s="2" t="s">
        <v>570</v>
      </c>
      <c r="BF1" s="2" t="s">
        <v>22</v>
      </c>
      <c r="BG1" s="2" t="s">
        <v>164</v>
      </c>
      <c r="BH1" s="2" t="s">
        <v>165</v>
      </c>
      <c r="BI1" s="2" t="s">
        <v>880</v>
      </c>
      <c r="BJ1" s="2" t="s">
        <v>1</v>
      </c>
      <c r="BK1" s="2" t="s">
        <v>2</v>
      </c>
      <c r="BL1" s="2" t="s">
        <v>59</v>
      </c>
      <c r="BM1" s="2" t="s">
        <v>1161</v>
      </c>
      <c r="BN1" s="2" t="s">
        <v>238</v>
      </c>
      <c r="BO1" s="2" t="s">
        <v>117</v>
      </c>
      <c r="BP1" s="2" t="s">
        <v>60</v>
      </c>
      <c r="BQ1" s="2" t="s">
        <v>61</v>
      </c>
      <c r="BR1" s="2" t="s">
        <v>98</v>
      </c>
      <c r="BS1" s="2" t="s">
        <v>5</v>
      </c>
      <c r="BT1" s="2" t="s">
        <v>6</v>
      </c>
      <c r="BU1" s="2" t="s">
        <v>17</v>
      </c>
      <c r="BV1" s="2" t="s">
        <v>18</v>
      </c>
      <c r="BW1" s="2" t="s">
        <v>7</v>
      </c>
      <c r="BX1" s="2" t="s">
        <v>19</v>
      </c>
      <c r="BY1" s="2" t="s">
        <v>20</v>
      </c>
      <c r="BZ1" s="2" t="s">
        <v>21</v>
      </c>
      <c r="CA1" s="2" t="s">
        <v>148</v>
      </c>
      <c r="CB1" s="2" t="s">
        <v>416</v>
      </c>
      <c r="CC1" s="2" t="s">
        <v>23</v>
      </c>
      <c r="CD1" s="2" t="s">
        <v>51</v>
      </c>
    </row>
    <row r="2" spans="1:82" x14ac:dyDescent="0.2">
      <c r="A2" s="87" t="s">
        <v>54</v>
      </c>
      <c r="B2" s="1" t="s">
        <v>129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/>
      <c r="I2" s="19">
        <v>281</v>
      </c>
      <c r="J2" s="19"/>
      <c r="K2" s="19">
        <v>1126</v>
      </c>
      <c r="L2" s="19"/>
      <c r="M2" s="19"/>
      <c r="N2" s="19"/>
      <c r="O2" s="19"/>
      <c r="P2" s="19"/>
      <c r="Q2" s="9"/>
      <c r="R2" s="9">
        <v>0.25</v>
      </c>
      <c r="S2" s="9">
        <v>0</v>
      </c>
      <c r="T2" s="9"/>
      <c r="U2" s="49">
        <v>6100</v>
      </c>
      <c r="V2" s="20">
        <v>1126</v>
      </c>
      <c r="W2" s="19"/>
      <c r="X2" s="9"/>
      <c r="Y2" s="19"/>
      <c r="Z2" s="1">
        <v>0.25</v>
      </c>
      <c r="AF2" s="1">
        <v>1</v>
      </c>
      <c r="AR2" s="1">
        <v>52</v>
      </c>
      <c r="AS2" s="19">
        <f>0.2*Umrechnungsfaktoren!$B$15/Umrechnungsfaktoren!$B$14</f>
        <v>0.20352941176470588</v>
      </c>
      <c r="AT2" s="19">
        <f>0.9*Umrechnungsfaktoren!$B$15/Umrechnungsfaktoren!$B$14</f>
        <v>0.91588235294117648</v>
      </c>
      <c r="AU2" s="19">
        <f>0.5*Umrechnungsfaktoren!$B$15/Umrechnungsfaktoren!$B$14</f>
        <v>0.50882352941176467</v>
      </c>
      <c r="AV2" s="8"/>
      <c r="AW2" s="8"/>
      <c r="AX2" s="19">
        <f>7.2*Umrechnungsfaktoren!$B$15/Umrechnungsfaktoren!$B$14</f>
        <v>7.3270588235294118</v>
      </c>
      <c r="AY2" s="19">
        <f>7.2*Umrechnungsfaktoren!$B$15/Umrechnungsfaktoren!$B$14</f>
        <v>7.3270588235294118</v>
      </c>
      <c r="AZ2" s="19">
        <f>164*Umrechnungsfaktoren!$B$15/Umrechnungsfaktoren!$B$14</f>
        <v>166.89411764705881</v>
      </c>
      <c r="BA2" s="8"/>
      <c r="BB2" s="19">
        <f>0.05*Umrechnungsfaktoren!$B$15/Umrechnungsfaktoren!$B$14</f>
        <v>5.0882352941176469E-2</v>
      </c>
      <c r="BC2" s="8"/>
      <c r="BD2" s="7">
        <v>0.96399999999999997</v>
      </c>
      <c r="BE2" s="7">
        <v>0.96399999999999997</v>
      </c>
      <c r="BI2" s="1">
        <v>56</v>
      </c>
      <c r="BJ2" s="13" t="s">
        <v>565</v>
      </c>
      <c r="BK2" s="1">
        <v>57</v>
      </c>
      <c r="BL2" s="13"/>
      <c r="BM2" s="13">
        <v>57</v>
      </c>
      <c r="BN2" s="13"/>
      <c r="BO2" s="13">
        <v>56</v>
      </c>
      <c r="BQ2" s="13"/>
      <c r="BR2" s="13">
        <v>60</v>
      </c>
      <c r="BS2" s="1" t="s">
        <v>365</v>
      </c>
      <c r="BW2" s="1" t="s">
        <v>365</v>
      </c>
      <c r="BX2" s="1">
        <v>70</v>
      </c>
      <c r="BY2" s="1">
        <v>69</v>
      </c>
      <c r="BZ2" s="1">
        <v>70</v>
      </c>
      <c r="CB2" s="1" t="s">
        <v>568</v>
      </c>
    </row>
    <row r="3" spans="1:82" x14ac:dyDescent="0.2">
      <c r="A3" s="87" t="s">
        <v>54</v>
      </c>
      <c r="B3" s="1" t="s">
        <v>129</v>
      </c>
      <c r="C3" s="1">
        <v>2020</v>
      </c>
      <c r="D3" s="1">
        <v>0</v>
      </c>
      <c r="E3" s="1">
        <v>1</v>
      </c>
      <c r="F3" s="1">
        <v>0</v>
      </c>
      <c r="H3" s="19"/>
      <c r="I3" s="19">
        <v>277</v>
      </c>
      <c r="J3" s="19"/>
      <c r="K3" s="19">
        <v>1107</v>
      </c>
      <c r="L3" s="19"/>
      <c r="M3" s="19"/>
      <c r="N3" s="19"/>
      <c r="O3" s="19"/>
      <c r="P3" s="19"/>
      <c r="Q3" s="9"/>
      <c r="R3" s="9">
        <v>0.25</v>
      </c>
      <c r="S3" s="9">
        <v>0</v>
      </c>
      <c r="T3" s="9"/>
      <c r="U3" s="49"/>
      <c r="V3" s="20"/>
      <c r="W3" s="19"/>
      <c r="X3" s="9"/>
      <c r="Y3" s="19"/>
      <c r="Z3" s="1">
        <v>0.25</v>
      </c>
      <c r="AF3" s="1">
        <v>1</v>
      </c>
      <c r="AS3" s="19">
        <f>0.2*Umrechnungsfaktoren!$B$15/Umrechnungsfaktoren!$B$14</f>
        <v>0.20352941176470588</v>
      </c>
      <c r="AT3" s="19">
        <f>0.9*Umrechnungsfaktoren!$B$15/Umrechnungsfaktoren!$B$14</f>
        <v>0.91588235294117648</v>
      </c>
      <c r="AU3" s="19">
        <f>0.5*Umrechnungsfaktoren!$B$15/Umrechnungsfaktoren!$B$14</f>
        <v>0.50882352941176467</v>
      </c>
      <c r="AV3" s="8"/>
      <c r="AW3" s="8"/>
      <c r="AX3" s="19">
        <f>7.2*Umrechnungsfaktoren!$B$15/Umrechnungsfaktoren!$B$14</f>
        <v>7.3270588235294118</v>
      </c>
      <c r="AY3" s="19">
        <f>7.2*Umrechnungsfaktoren!$B$15/Umrechnungsfaktoren!$B$14</f>
        <v>7.3270588235294118</v>
      </c>
      <c r="AZ3" s="19">
        <f>164*Umrechnungsfaktoren!$B$15/Umrechnungsfaktoren!$B$14</f>
        <v>166.89411764705881</v>
      </c>
      <c r="BA3" s="8"/>
      <c r="BB3" s="19">
        <f>0.05*Umrechnungsfaktoren!$B$15/Umrechnungsfaktoren!$B$14</f>
        <v>5.0882352941176469E-2</v>
      </c>
      <c r="BC3" s="8"/>
      <c r="BD3" s="7">
        <v>0.96399999999999997</v>
      </c>
      <c r="BE3" s="7">
        <v>0.96399999999999997</v>
      </c>
      <c r="BJ3" s="13">
        <v>80</v>
      </c>
      <c r="BK3" s="13">
        <v>80</v>
      </c>
      <c r="BL3" s="13"/>
      <c r="BM3" s="13"/>
      <c r="BN3" s="13"/>
      <c r="BO3" s="13"/>
      <c r="BQ3" s="13"/>
      <c r="BR3" s="13"/>
    </row>
    <row r="4" spans="1:82" x14ac:dyDescent="0.2">
      <c r="A4" s="87" t="s">
        <v>54</v>
      </c>
      <c r="B4" s="1" t="s">
        <v>129</v>
      </c>
      <c r="C4" s="1">
        <v>2025</v>
      </c>
      <c r="D4" s="1">
        <v>0</v>
      </c>
      <c r="E4" s="1">
        <v>1</v>
      </c>
      <c r="F4" s="1">
        <v>0</v>
      </c>
      <c r="H4" s="19"/>
      <c r="I4" s="19">
        <v>257</v>
      </c>
      <c r="J4" s="19"/>
      <c r="K4" s="19">
        <v>1029</v>
      </c>
      <c r="L4" s="19"/>
      <c r="M4" s="19"/>
      <c r="N4" s="19"/>
      <c r="O4" s="19"/>
      <c r="P4" s="19"/>
      <c r="Q4" s="9"/>
      <c r="R4" s="9">
        <v>0.25</v>
      </c>
      <c r="S4" s="9">
        <v>0</v>
      </c>
      <c r="T4" s="9"/>
      <c r="U4" s="49"/>
      <c r="V4" s="20"/>
      <c r="W4" s="19"/>
      <c r="X4" s="9"/>
      <c r="Y4" s="19"/>
      <c r="Z4" s="1">
        <v>0.25</v>
      </c>
      <c r="AF4" s="1">
        <v>1</v>
      </c>
      <c r="AS4" s="19">
        <f>0.2*Umrechnungsfaktoren!$B$15/Umrechnungsfaktoren!$B$14</f>
        <v>0.20352941176470588</v>
      </c>
      <c r="AT4" s="19">
        <f>0.9*Umrechnungsfaktoren!$B$15/Umrechnungsfaktoren!$B$14</f>
        <v>0.91588235294117648</v>
      </c>
      <c r="AU4" s="19">
        <f>0.5*Umrechnungsfaktoren!$B$15/Umrechnungsfaktoren!$B$14</f>
        <v>0.50882352941176467</v>
      </c>
      <c r="AV4" s="8"/>
      <c r="AW4" s="8"/>
      <c r="AX4" s="19">
        <f>7.2*Umrechnungsfaktoren!$B$15/Umrechnungsfaktoren!$B$14</f>
        <v>7.3270588235294118</v>
      </c>
      <c r="AY4" s="19">
        <f>7.2*Umrechnungsfaktoren!$B$15/Umrechnungsfaktoren!$B$14</f>
        <v>7.3270588235294118</v>
      </c>
      <c r="AZ4" s="19">
        <f>164*Umrechnungsfaktoren!$B$15/Umrechnungsfaktoren!$B$14</f>
        <v>166.89411764705881</v>
      </c>
      <c r="BA4" s="8"/>
      <c r="BB4" s="19">
        <f>0.05*Umrechnungsfaktoren!$B$15/Umrechnungsfaktoren!$B$14</f>
        <v>5.0882352941176469E-2</v>
      </c>
      <c r="BC4" s="8"/>
      <c r="BD4" s="7">
        <v>0.96399999999999997</v>
      </c>
      <c r="BE4" s="7">
        <v>0.96399999999999997</v>
      </c>
      <c r="BJ4" s="13">
        <v>80</v>
      </c>
      <c r="BK4" s="13">
        <v>80</v>
      </c>
      <c r="BL4" s="13"/>
      <c r="BM4" s="13"/>
      <c r="BN4" s="13"/>
      <c r="BO4" s="13"/>
      <c r="BQ4" s="13"/>
      <c r="BR4" s="13"/>
    </row>
    <row r="5" spans="1:82" x14ac:dyDescent="0.2">
      <c r="A5" s="87" t="s">
        <v>54</v>
      </c>
      <c r="B5" s="1" t="s">
        <v>129</v>
      </c>
      <c r="C5" s="1">
        <v>2030</v>
      </c>
      <c r="D5" s="1">
        <v>0</v>
      </c>
      <c r="E5" s="1">
        <v>1</v>
      </c>
      <c r="F5" s="1">
        <v>0</v>
      </c>
      <c r="H5" s="19"/>
      <c r="I5" s="19">
        <v>238</v>
      </c>
      <c r="J5" s="19"/>
      <c r="K5" s="19">
        <v>951</v>
      </c>
      <c r="L5" s="19"/>
      <c r="M5" s="19"/>
      <c r="N5" s="19"/>
      <c r="O5" s="19"/>
      <c r="P5" s="19"/>
      <c r="Q5" s="9"/>
      <c r="R5" s="9">
        <v>0.25</v>
      </c>
      <c r="S5" s="9">
        <v>0</v>
      </c>
      <c r="T5" s="9"/>
      <c r="U5" s="49"/>
      <c r="V5" s="20"/>
      <c r="W5" s="19"/>
      <c r="X5" s="9"/>
      <c r="Y5" s="19"/>
      <c r="Z5" s="1">
        <v>0.25</v>
      </c>
      <c r="AF5" s="1">
        <v>1</v>
      </c>
      <c r="AS5" s="19">
        <f>0.2*Umrechnungsfaktoren!$B$15/Umrechnungsfaktoren!$B$14</f>
        <v>0.20352941176470588</v>
      </c>
      <c r="AT5" s="19">
        <f>0.9*Umrechnungsfaktoren!$B$15/Umrechnungsfaktoren!$B$14</f>
        <v>0.91588235294117648</v>
      </c>
      <c r="AU5" s="19">
        <f>0.5*Umrechnungsfaktoren!$B$15/Umrechnungsfaktoren!$B$14</f>
        <v>0.50882352941176467</v>
      </c>
      <c r="AV5" s="8"/>
      <c r="AW5" s="8"/>
      <c r="AX5" s="19">
        <f>7.2*Umrechnungsfaktoren!$B$15/Umrechnungsfaktoren!$B$14</f>
        <v>7.3270588235294118</v>
      </c>
      <c r="AY5" s="19">
        <f>7.2*Umrechnungsfaktoren!$B$15/Umrechnungsfaktoren!$B$14</f>
        <v>7.3270588235294118</v>
      </c>
      <c r="AZ5" s="19">
        <f>164*Umrechnungsfaktoren!$B$15/Umrechnungsfaktoren!$B$14</f>
        <v>166.89411764705881</v>
      </c>
      <c r="BA5" s="8"/>
      <c r="BB5" s="19">
        <f>0.05*Umrechnungsfaktoren!$B$15/Umrechnungsfaktoren!$B$14</f>
        <v>5.0882352941176469E-2</v>
      </c>
      <c r="BC5" s="8"/>
      <c r="BD5" s="7">
        <v>0.96399999999999997</v>
      </c>
      <c r="BE5" s="7">
        <v>0.96399999999999997</v>
      </c>
      <c r="BJ5" s="13">
        <v>80</v>
      </c>
      <c r="BK5" s="13">
        <v>80</v>
      </c>
      <c r="BL5" s="13"/>
      <c r="BM5" s="13"/>
      <c r="BN5" s="13"/>
      <c r="BO5" s="13"/>
      <c r="BQ5" s="13"/>
      <c r="BR5" s="13"/>
    </row>
    <row r="6" spans="1:82" x14ac:dyDescent="0.2">
      <c r="A6" s="87" t="s">
        <v>29</v>
      </c>
      <c r="B6" s="1" t="s">
        <v>129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/>
      <c r="I6" s="19">
        <f>114+359</f>
        <v>473</v>
      </c>
      <c r="J6" s="19"/>
      <c r="K6" s="19">
        <v>988</v>
      </c>
      <c r="L6" s="19"/>
      <c r="M6" s="19"/>
      <c r="N6" s="19">
        <f>72+227</f>
        <v>299</v>
      </c>
      <c r="O6" s="19"/>
      <c r="P6" s="19"/>
      <c r="Q6" s="20"/>
      <c r="R6" s="9">
        <v>0.48</v>
      </c>
      <c r="S6" s="9">
        <v>0.3</v>
      </c>
      <c r="T6" s="9"/>
      <c r="U6" s="49">
        <v>7700</v>
      </c>
      <c r="V6" s="20">
        <f>239+750</f>
        <v>989</v>
      </c>
      <c r="W6" s="19"/>
      <c r="X6" s="9"/>
      <c r="Y6" s="19"/>
      <c r="Z6" s="1">
        <v>0.25</v>
      </c>
      <c r="AE6" s="1">
        <v>2</v>
      </c>
      <c r="AF6" s="1">
        <v>2</v>
      </c>
      <c r="AQ6" s="1">
        <v>52</v>
      </c>
      <c r="AR6" s="1">
        <v>52</v>
      </c>
      <c r="AS6" s="19">
        <f>0.2*Umrechnungsfaktoren!$B$15/Umrechnungsfaktoren!$B$14</f>
        <v>0.20352941176470588</v>
      </c>
      <c r="AT6" s="19">
        <f>0.9*Umrechnungsfaktoren!$B$15/Umrechnungsfaktoren!$B$14</f>
        <v>0.91588235294117648</v>
      </c>
      <c r="AU6" s="19">
        <f>0.5*Umrechnungsfaktoren!$B$15/Umrechnungsfaktoren!$B$14</f>
        <v>0.50882352941176467</v>
      </c>
      <c r="AV6" s="8"/>
      <c r="AW6" s="8"/>
      <c r="AX6" s="19"/>
      <c r="AY6" s="19">
        <f>27.7*Umrechnungsfaktoren!$B$15/Umrechnungsfaktoren!$B$14</f>
        <v>28.188823529411764</v>
      </c>
      <c r="AZ6" s="8">
        <f>96*Umrechnungsfaktoren!$B$15/Umrechnungsfaktoren!$B$14</f>
        <v>97.694117647058818</v>
      </c>
      <c r="BA6" s="8"/>
      <c r="BB6" s="8">
        <f>0.05*Umrechnungsfaktoren!$B$15/Umrechnungsfaktoren!$B$14</f>
        <v>5.0882352941176469E-2</v>
      </c>
      <c r="BC6" s="8"/>
      <c r="BD6" s="7">
        <v>1.036</v>
      </c>
      <c r="BE6" s="7">
        <v>0.95499999999999996</v>
      </c>
      <c r="BI6" s="1">
        <v>56</v>
      </c>
      <c r="BJ6" s="13" t="s">
        <v>565</v>
      </c>
      <c r="BK6" s="1">
        <v>57</v>
      </c>
      <c r="BL6" s="13"/>
      <c r="BM6" s="13">
        <v>57</v>
      </c>
      <c r="BN6" s="13"/>
      <c r="BO6" s="13">
        <v>56</v>
      </c>
      <c r="BQ6" s="13"/>
      <c r="BR6" s="13">
        <v>60</v>
      </c>
      <c r="BS6" s="1" t="s">
        <v>365</v>
      </c>
      <c r="BW6" s="1" t="s">
        <v>365</v>
      </c>
      <c r="BX6" s="1">
        <v>70</v>
      </c>
      <c r="BY6" s="1">
        <v>69</v>
      </c>
      <c r="BZ6" s="1">
        <v>70</v>
      </c>
      <c r="CB6" s="1" t="s">
        <v>568</v>
      </c>
    </row>
    <row r="7" spans="1:82" x14ac:dyDescent="0.2">
      <c r="A7" s="87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H7" s="19"/>
      <c r="I7" s="19">
        <v>430</v>
      </c>
      <c r="J7" s="19"/>
      <c r="K7" s="19">
        <v>1248</v>
      </c>
      <c r="L7" s="19"/>
      <c r="M7" s="19"/>
      <c r="N7" s="19">
        <v>272</v>
      </c>
      <c r="O7" s="19"/>
      <c r="P7" s="19"/>
      <c r="Q7" s="20"/>
      <c r="R7" s="9">
        <v>0.48</v>
      </c>
      <c r="S7" s="9">
        <v>0.3</v>
      </c>
      <c r="T7" s="9"/>
      <c r="U7" s="49"/>
      <c r="V7" s="20"/>
      <c r="W7" s="19"/>
      <c r="X7" s="9"/>
      <c r="Y7" s="19"/>
      <c r="Z7" s="1">
        <v>0.25</v>
      </c>
      <c r="AE7" s="1">
        <v>2</v>
      </c>
      <c r="AF7" s="1">
        <v>2</v>
      </c>
      <c r="AS7" s="19">
        <f>0.2*Umrechnungsfaktoren!$B$15/Umrechnungsfaktoren!$B$14</f>
        <v>0.20352941176470588</v>
      </c>
      <c r="AT7" s="19">
        <f>0.9*Umrechnungsfaktoren!$B$15/Umrechnungsfaktoren!$B$14</f>
        <v>0.91588235294117648</v>
      </c>
      <c r="AU7" s="19">
        <f>0.5*Umrechnungsfaktoren!$B$15/Umrechnungsfaktoren!$B$14</f>
        <v>0.50882352941176467</v>
      </c>
      <c r="AV7" s="8"/>
      <c r="AW7" s="8"/>
      <c r="AX7" s="19"/>
      <c r="AY7" s="19">
        <f>27.7*Umrechnungsfaktoren!$B$15/Umrechnungsfaktoren!$B$14</f>
        <v>28.188823529411764</v>
      </c>
      <c r="AZ7" s="8">
        <f>96*Umrechnungsfaktoren!$B$15/Umrechnungsfaktoren!$B$14</f>
        <v>97.694117647058818</v>
      </c>
      <c r="BA7" s="8"/>
      <c r="BB7" s="8">
        <f>0.05*Umrechnungsfaktoren!$B$15/Umrechnungsfaktoren!$B$14</f>
        <v>5.0882352941176469E-2</v>
      </c>
      <c r="BC7" s="8"/>
      <c r="BD7" s="7">
        <v>1.036</v>
      </c>
      <c r="BE7" s="7">
        <v>0.95499999999999996</v>
      </c>
      <c r="BJ7" s="13">
        <v>80</v>
      </c>
      <c r="BK7" s="13">
        <v>80</v>
      </c>
      <c r="BL7" s="13"/>
      <c r="BM7" s="13"/>
      <c r="BN7" s="13"/>
      <c r="BO7" s="13"/>
      <c r="BQ7" s="13"/>
      <c r="BR7" s="13"/>
    </row>
    <row r="8" spans="1:82" x14ac:dyDescent="0.2">
      <c r="A8" s="87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H8" s="19"/>
      <c r="I8" s="19">
        <v>563</v>
      </c>
      <c r="J8" s="19"/>
      <c r="K8" s="19">
        <v>1632</v>
      </c>
      <c r="L8" s="19"/>
      <c r="M8" s="19"/>
      <c r="N8" s="19">
        <v>356</v>
      </c>
      <c r="O8" s="19"/>
      <c r="P8" s="19"/>
      <c r="Q8" s="20"/>
      <c r="R8" s="9">
        <v>0.48</v>
      </c>
      <c r="S8" s="9">
        <v>0.3</v>
      </c>
      <c r="T8" s="9"/>
      <c r="U8" s="49"/>
      <c r="V8" s="20"/>
      <c r="W8" s="19"/>
      <c r="X8" s="9"/>
      <c r="Y8" s="19"/>
      <c r="Z8" s="1">
        <v>0.25</v>
      </c>
      <c r="AE8" s="1">
        <v>2</v>
      </c>
      <c r="AF8" s="1">
        <v>2</v>
      </c>
      <c r="AS8" s="19">
        <f>0.2*Umrechnungsfaktoren!$B$15/Umrechnungsfaktoren!$B$14</f>
        <v>0.20352941176470588</v>
      </c>
      <c r="AT8" s="19">
        <f>0.9*Umrechnungsfaktoren!$B$15/Umrechnungsfaktoren!$B$14</f>
        <v>0.91588235294117648</v>
      </c>
      <c r="AU8" s="19">
        <f>0.5*Umrechnungsfaktoren!$B$15/Umrechnungsfaktoren!$B$14</f>
        <v>0.50882352941176467</v>
      </c>
      <c r="AV8" s="8"/>
      <c r="AW8" s="8"/>
      <c r="AX8" s="19"/>
      <c r="AY8" s="19">
        <f>27.7*Umrechnungsfaktoren!$B$15/Umrechnungsfaktoren!$B$14</f>
        <v>28.188823529411764</v>
      </c>
      <c r="AZ8" s="8">
        <f>96*Umrechnungsfaktoren!$B$15/Umrechnungsfaktoren!$B$14</f>
        <v>97.694117647058818</v>
      </c>
      <c r="BA8" s="8"/>
      <c r="BB8" s="8">
        <f>0.05*Umrechnungsfaktoren!$B$15/Umrechnungsfaktoren!$B$14</f>
        <v>5.0882352941176469E-2</v>
      </c>
      <c r="BC8" s="8"/>
      <c r="BD8" s="7">
        <v>1.036</v>
      </c>
      <c r="BE8" s="7">
        <v>0.95499999999999996</v>
      </c>
      <c r="BJ8" s="13">
        <v>80</v>
      </c>
      <c r="BK8" s="13">
        <v>80</v>
      </c>
      <c r="BL8" s="13"/>
      <c r="BM8" s="13"/>
      <c r="BN8" s="13"/>
      <c r="BO8" s="13"/>
      <c r="BQ8" s="13"/>
      <c r="BR8" s="13"/>
    </row>
    <row r="9" spans="1:82" x14ac:dyDescent="0.2">
      <c r="A9" s="87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H9" s="19"/>
      <c r="I9" s="19">
        <v>557</v>
      </c>
      <c r="J9" s="19"/>
      <c r="K9" s="19">
        <v>1615</v>
      </c>
      <c r="L9" s="19"/>
      <c r="M9" s="19"/>
      <c r="N9" s="19">
        <v>352</v>
      </c>
      <c r="O9" s="19"/>
      <c r="P9" s="19"/>
      <c r="Q9" s="20"/>
      <c r="R9" s="9">
        <v>0.48</v>
      </c>
      <c r="S9" s="9">
        <v>0.3</v>
      </c>
      <c r="T9" s="9"/>
      <c r="U9" s="49"/>
      <c r="V9" s="20"/>
      <c r="W9" s="19"/>
      <c r="X9" s="9"/>
      <c r="Y9" s="19"/>
      <c r="Z9" s="1">
        <v>0.25</v>
      </c>
      <c r="AE9" s="1">
        <v>2</v>
      </c>
      <c r="AF9" s="1">
        <v>2</v>
      </c>
      <c r="AS9" s="19">
        <f>0.2*Umrechnungsfaktoren!$B$15/Umrechnungsfaktoren!$B$14</f>
        <v>0.20352941176470588</v>
      </c>
      <c r="AT9" s="19">
        <f>0.9*Umrechnungsfaktoren!$B$15/Umrechnungsfaktoren!$B$14</f>
        <v>0.91588235294117648</v>
      </c>
      <c r="AU9" s="19">
        <f>0.5*Umrechnungsfaktoren!$B$15/Umrechnungsfaktoren!$B$14</f>
        <v>0.50882352941176467</v>
      </c>
      <c r="AV9" s="8"/>
      <c r="AW9" s="8"/>
      <c r="AX9" s="19"/>
      <c r="AY9" s="19">
        <f>27.7*Umrechnungsfaktoren!$B$15/Umrechnungsfaktoren!$B$14</f>
        <v>28.188823529411764</v>
      </c>
      <c r="AZ9" s="8">
        <f>96*Umrechnungsfaktoren!$B$15/Umrechnungsfaktoren!$B$14</f>
        <v>97.694117647058818</v>
      </c>
      <c r="BA9" s="8"/>
      <c r="BB9" s="8">
        <f>0.05*Umrechnungsfaktoren!$B$15/Umrechnungsfaktoren!$B$14</f>
        <v>5.0882352941176469E-2</v>
      </c>
      <c r="BC9" s="8"/>
      <c r="BD9" s="7">
        <v>1</v>
      </c>
      <c r="BE9" s="7">
        <v>1</v>
      </c>
      <c r="BJ9" s="13">
        <v>80</v>
      </c>
      <c r="BK9" s="13">
        <v>80</v>
      </c>
      <c r="BL9" s="13"/>
      <c r="BM9" s="13"/>
      <c r="BN9" s="13"/>
      <c r="BO9" s="13"/>
      <c r="BQ9" s="13"/>
      <c r="BR9" s="13"/>
    </row>
    <row r="10" spans="1:82" x14ac:dyDescent="0.2">
      <c r="A10" s="87" t="s">
        <v>77</v>
      </c>
      <c r="B10" s="1" t="s">
        <v>129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/>
      <c r="I10" s="19">
        <f>207+105</f>
        <v>312</v>
      </c>
      <c r="J10" s="19"/>
      <c r="K10" s="19"/>
      <c r="L10" s="19"/>
      <c r="M10" s="19"/>
      <c r="N10" s="19">
        <f>46+23</f>
        <v>69</v>
      </c>
      <c r="O10" s="19"/>
      <c r="P10" s="19"/>
      <c r="Q10" s="20"/>
      <c r="R10" s="9">
        <v>1</v>
      </c>
      <c r="S10" s="9">
        <v>0.22</v>
      </c>
      <c r="T10" s="9"/>
      <c r="U10" s="49">
        <v>7500</v>
      </c>
      <c r="V10" s="20">
        <f>207+105</f>
        <v>312</v>
      </c>
      <c r="W10" s="19"/>
      <c r="X10" s="9"/>
      <c r="Y10" s="19"/>
      <c r="Z10" s="1">
        <v>0.25</v>
      </c>
      <c r="AE10" s="1">
        <v>2</v>
      </c>
      <c r="AQ10" s="1">
        <v>52</v>
      </c>
      <c r="AS10" s="19">
        <f>0.2*Umrechnungsfaktoren!$B$15/Umrechnungsfaktoren!$B$14</f>
        <v>0.20352941176470588</v>
      </c>
      <c r="AT10" s="19">
        <f>0.9*Umrechnungsfaktoren!$B$15/Umrechnungsfaktoren!$B$14</f>
        <v>0.91588235294117648</v>
      </c>
      <c r="AU10" s="19">
        <f>0.5*Umrechnungsfaktoren!$B$15/Umrechnungsfaktoren!$B$14</f>
        <v>0.50882352941176467</v>
      </c>
      <c r="AV10" s="8"/>
      <c r="AW10" s="8"/>
      <c r="AX10" s="8"/>
      <c r="AY10" s="8"/>
      <c r="AZ10" s="8"/>
      <c r="BA10" s="8"/>
      <c r="BB10" s="8">
        <f>0.05*Umrechnungsfaktoren!$B$15/Umrechnungsfaktoren!$B$14</f>
        <v>5.0882352941176469E-2</v>
      </c>
      <c r="BC10" s="8"/>
      <c r="BD10" s="7">
        <v>1</v>
      </c>
      <c r="BE10" s="7">
        <v>1</v>
      </c>
      <c r="BI10" s="1">
        <v>56</v>
      </c>
      <c r="BJ10" s="13" t="s">
        <v>565</v>
      </c>
      <c r="BK10" s="1">
        <v>57</v>
      </c>
      <c r="BL10" s="13"/>
      <c r="BM10" s="13">
        <v>57</v>
      </c>
      <c r="BN10" s="13"/>
      <c r="BO10" s="13">
        <v>56</v>
      </c>
      <c r="BQ10" s="13"/>
      <c r="BR10" s="13">
        <v>60</v>
      </c>
      <c r="BS10" s="1" t="s">
        <v>365</v>
      </c>
      <c r="BW10" s="1" t="s">
        <v>365</v>
      </c>
      <c r="BX10" s="1">
        <v>70</v>
      </c>
      <c r="BY10" s="1">
        <v>69</v>
      </c>
      <c r="BZ10" s="1">
        <v>70</v>
      </c>
    </row>
    <row r="11" spans="1:82" x14ac:dyDescent="0.2">
      <c r="A11" s="87" t="s">
        <v>77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H11" s="19"/>
      <c r="I11" s="19">
        <v>290</v>
      </c>
      <c r="J11" s="19"/>
      <c r="K11" s="19"/>
      <c r="L11" s="19"/>
      <c r="M11" s="19"/>
      <c r="N11" s="19">
        <v>64</v>
      </c>
      <c r="O11" s="19"/>
      <c r="P11" s="19"/>
      <c r="Q11" s="20"/>
      <c r="R11" s="9">
        <v>1</v>
      </c>
      <c r="S11" s="9">
        <v>0.22</v>
      </c>
      <c r="T11" s="9"/>
      <c r="U11" s="49"/>
      <c r="V11" s="20"/>
      <c r="W11" s="19"/>
      <c r="X11" s="9"/>
      <c r="Y11" s="19"/>
      <c r="Z11" s="1">
        <v>0.25</v>
      </c>
      <c r="AE11" s="1">
        <v>2</v>
      </c>
      <c r="AS11" s="19">
        <f>0.2*Umrechnungsfaktoren!$B$15/Umrechnungsfaktoren!$B$14</f>
        <v>0.20352941176470588</v>
      </c>
      <c r="AT11" s="19">
        <f>0.9*Umrechnungsfaktoren!$B$15/Umrechnungsfaktoren!$B$14</f>
        <v>0.91588235294117648</v>
      </c>
      <c r="AU11" s="19">
        <f>0.5*Umrechnungsfaktoren!$B$15/Umrechnungsfaktoren!$B$14</f>
        <v>0.50882352941176467</v>
      </c>
      <c r="AV11" s="8"/>
      <c r="AW11" s="8"/>
      <c r="AX11" s="8"/>
      <c r="AY11" s="8"/>
      <c r="AZ11" s="8"/>
      <c r="BA11" s="8"/>
      <c r="BB11" s="8">
        <f>0.05*Umrechnungsfaktoren!$B$15/Umrechnungsfaktoren!$B$14</f>
        <v>5.0882352941176469E-2</v>
      </c>
      <c r="BC11" s="8"/>
      <c r="BD11" s="7">
        <v>1</v>
      </c>
      <c r="BE11" s="7">
        <v>1</v>
      </c>
      <c r="BJ11" s="13">
        <v>80</v>
      </c>
      <c r="BK11" s="13">
        <v>80</v>
      </c>
      <c r="BL11" s="13"/>
      <c r="BM11" s="13"/>
      <c r="BN11" s="13"/>
      <c r="BO11" s="13"/>
      <c r="BQ11" s="13"/>
      <c r="BR11" s="13"/>
    </row>
    <row r="12" spans="1:82" x14ac:dyDescent="0.2">
      <c r="A12" s="87" t="s">
        <v>77</v>
      </c>
      <c r="B12" s="1" t="s">
        <v>129</v>
      </c>
      <c r="C12" s="1">
        <v>2025</v>
      </c>
      <c r="D12" s="1">
        <v>1</v>
      </c>
      <c r="E12" s="1">
        <v>0</v>
      </c>
      <c r="F12" s="1">
        <v>0</v>
      </c>
      <c r="H12" s="19"/>
      <c r="I12" s="19">
        <v>257</v>
      </c>
      <c r="J12" s="19"/>
      <c r="K12" s="19"/>
      <c r="L12" s="19"/>
      <c r="M12" s="19"/>
      <c r="N12" s="19">
        <v>56</v>
      </c>
      <c r="O12" s="19"/>
      <c r="P12" s="19"/>
      <c r="Q12" s="20"/>
      <c r="R12" s="9">
        <v>1</v>
      </c>
      <c r="S12" s="9">
        <v>0.22</v>
      </c>
      <c r="T12" s="9"/>
      <c r="U12" s="49"/>
      <c r="V12" s="20"/>
      <c r="W12" s="19"/>
      <c r="X12" s="9"/>
      <c r="Y12" s="19"/>
      <c r="Z12" s="1">
        <v>0.25</v>
      </c>
      <c r="AE12" s="1">
        <v>2</v>
      </c>
      <c r="AS12" s="19">
        <f>0.2*Umrechnungsfaktoren!$B$15/Umrechnungsfaktoren!$B$14</f>
        <v>0.20352941176470588</v>
      </c>
      <c r="AT12" s="19">
        <f>0.9*Umrechnungsfaktoren!$B$15/Umrechnungsfaktoren!$B$14</f>
        <v>0.91588235294117648</v>
      </c>
      <c r="AU12" s="19">
        <f>0.5*Umrechnungsfaktoren!$B$15/Umrechnungsfaktoren!$B$14</f>
        <v>0.50882352941176467</v>
      </c>
      <c r="AV12" s="8"/>
      <c r="AW12" s="8"/>
      <c r="AX12" s="8"/>
      <c r="AY12" s="8"/>
      <c r="AZ12" s="8"/>
      <c r="BA12" s="8"/>
      <c r="BB12" s="8">
        <f>0.05*Umrechnungsfaktoren!$B$15/Umrechnungsfaktoren!$B$14</f>
        <v>5.0882352941176469E-2</v>
      </c>
      <c r="BC12" s="8"/>
      <c r="BD12" s="7">
        <v>1</v>
      </c>
      <c r="BE12" s="7">
        <v>1</v>
      </c>
      <c r="BJ12" s="13">
        <v>80</v>
      </c>
      <c r="BK12" s="13">
        <v>80</v>
      </c>
      <c r="BL12" s="13"/>
      <c r="BM12" s="13"/>
      <c r="BN12" s="13"/>
      <c r="BO12" s="13"/>
      <c r="BQ12" s="13"/>
      <c r="BR12" s="13"/>
    </row>
    <row r="13" spans="1:82" x14ac:dyDescent="0.2">
      <c r="A13" s="87" t="s">
        <v>77</v>
      </c>
      <c r="B13" s="1" t="s">
        <v>129</v>
      </c>
      <c r="C13" s="1">
        <v>2030</v>
      </c>
      <c r="D13" s="1">
        <v>1</v>
      </c>
      <c r="E13" s="1">
        <v>0</v>
      </c>
      <c r="F13" s="1">
        <v>0</v>
      </c>
      <c r="H13" s="19"/>
      <c r="I13" s="19">
        <v>228</v>
      </c>
      <c r="J13" s="19"/>
      <c r="K13" s="19"/>
      <c r="L13" s="19"/>
      <c r="M13" s="19"/>
      <c r="N13" s="19">
        <v>50</v>
      </c>
      <c r="O13" s="19"/>
      <c r="P13" s="19"/>
      <c r="Q13" s="20"/>
      <c r="R13" s="9">
        <v>1</v>
      </c>
      <c r="S13" s="9">
        <v>0.22</v>
      </c>
      <c r="T13" s="9"/>
      <c r="U13" s="49"/>
      <c r="V13" s="20"/>
      <c r="W13" s="19"/>
      <c r="X13" s="9"/>
      <c r="Y13" s="19"/>
      <c r="Z13" s="1">
        <v>0.25</v>
      </c>
      <c r="AE13" s="1">
        <v>2</v>
      </c>
      <c r="AS13" s="19">
        <f>0.2*Umrechnungsfaktoren!$B$15/Umrechnungsfaktoren!$B$14</f>
        <v>0.20352941176470588</v>
      </c>
      <c r="AT13" s="19">
        <f>0.9*Umrechnungsfaktoren!$B$15/Umrechnungsfaktoren!$B$14</f>
        <v>0.91588235294117648</v>
      </c>
      <c r="AU13" s="19">
        <f>0.5*Umrechnungsfaktoren!$B$15/Umrechnungsfaktoren!$B$14</f>
        <v>0.50882352941176467</v>
      </c>
      <c r="AV13" s="8"/>
      <c r="AW13" s="8"/>
      <c r="AX13" s="8"/>
      <c r="AY13" s="8"/>
      <c r="AZ13" s="8"/>
      <c r="BA13" s="8"/>
      <c r="BB13" s="8">
        <f>0.05*Umrechnungsfaktoren!$B$15/Umrechnungsfaktoren!$B$14</f>
        <v>5.0882352941176469E-2</v>
      </c>
      <c r="BC13" s="8"/>
      <c r="BD13" s="7">
        <v>1</v>
      </c>
      <c r="BE13" s="7">
        <v>1</v>
      </c>
      <c r="BJ13" s="13">
        <v>80</v>
      </c>
      <c r="BK13" s="13">
        <v>80</v>
      </c>
      <c r="BL13" s="13"/>
      <c r="BM13" s="13"/>
      <c r="BN13" s="13"/>
      <c r="BO13" s="13"/>
      <c r="BQ13" s="13"/>
      <c r="BR13" s="13"/>
    </row>
    <row r="14" spans="1:82" x14ac:dyDescent="0.2">
      <c r="A14" s="87" t="s">
        <v>190</v>
      </c>
      <c r="B14" s="1" t="s">
        <v>129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/>
      <c r="J14" s="19"/>
      <c r="K14" s="19">
        <v>2720</v>
      </c>
      <c r="L14" s="19"/>
      <c r="M14" s="19"/>
      <c r="N14" s="19"/>
      <c r="O14" s="19"/>
      <c r="P14" s="19"/>
      <c r="Q14" s="20"/>
      <c r="R14" s="9"/>
      <c r="S14" s="9"/>
      <c r="T14" s="9"/>
      <c r="U14" s="49"/>
      <c r="V14" s="20"/>
      <c r="W14" s="19"/>
      <c r="X14" s="9"/>
      <c r="Y14" s="19"/>
      <c r="Z14" s="1">
        <v>0.25</v>
      </c>
      <c r="AS14" s="19">
        <f>0.2*Umrechnungsfaktoren!$B$15/Umrechnungsfaktoren!$B$14</f>
        <v>0.20352941176470588</v>
      </c>
      <c r="AT14" s="19">
        <f>0.9*Umrechnungsfaktoren!$B$15/Umrechnungsfaktoren!$B$14</f>
        <v>0.91588235294117648</v>
      </c>
      <c r="AU14" s="19">
        <f>0.5*Umrechnungsfaktoren!$B$15/Umrechnungsfaktoren!$B$14</f>
        <v>0.50882352941176467</v>
      </c>
      <c r="AV14" s="8"/>
      <c r="AW14" s="8"/>
      <c r="AX14" s="8"/>
      <c r="AY14" s="8"/>
      <c r="AZ14" s="8">
        <f>433*Umrechnungsfaktoren!$B$15/Umrechnungsfaktoren!$B$14</f>
        <v>440.64117647058822</v>
      </c>
      <c r="BA14" s="8"/>
      <c r="BB14" s="8">
        <f>0.05*Umrechnungsfaktoren!$B$15/Umrechnungsfaktoren!$B$14</f>
        <v>5.0882352941176469E-2</v>
      </c>
      <c r="BC14" s="8"/>
      <c r="BD14" s="7">
        <v>1</v>
      </c>
      <c r="BE14" s="7">
        <v>1</v>
      </c>
      <c r="BJ14" s="13" t="s">
        <v>565</v>
      </c>
      <c r="BK14" s="1">
        <v>57</v>
      </c>
      <c r="BL14" s="13"/>
      <c r="BM14" s="13"/>
      <c r="BN14" s="13"/>
      <c r="BO14" s="13"/>
      <c r="BQ14" s="13"/>
      <c r="BR14" s="13">
        <v>60</v>
      </c>
      <c r="BX14" s="1">
        <v>70</v>
      </c>
      <c r="BY14" s="1">
        <v>69</v>
      </c>
      <c r="BZ14" s="1">
        <v>70</v>
      </c>
    </row>
    <row r="15" spans="1:82" x14ac:dyDescent="0.2">
      <c r="A15" s="87" t="s">
        <v>190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H15" s="19"/>
      <c r="I15" s="19"/>
      <c r="J15" s="19"/>
      <c r="K15" s="19">
        <v>2524</v>
      </c>
      <c r="L15" s="19"/>
      <c r="M15" s="19"/>
      <c r="N15" s="19"/>
      <c r="O15" s="19"/>
      <c r="P15" s="19"/>
      <c r="Q15" s="20"/>
      <c r="R15" s="9"/>
      <c r="S15" s="9"/>
      <c r="T15" s="9"/>
      <c r="U15" s="49"/>
      <c r="V15" s="20"/>
      <c r="W15" s="19"/>
      <c r="X15" s="9"/>
      <c r="Y15" s="19"/>
      <c r="Z15" s="1">
        <v>0.25</v>
      </c>
      <c r="AS15" s="19">
        <f>0.2*Umrechnungsfaktoren!$B$15/Umrechnungsfaktoren!$B$14</f>
        <v>0.20352941176470588</v>
      </c>
      <c r="AT15" s="19">
        <f>0.9*Umrechnungsfaktoren!$B$15/Umrechnungsfaktoren!$B$14</f>
        <v>0.91588235294117648</v>
      </c>
      <c r="AU15" s="19">
        <f>0.5*Umrechnungsfaktoren!$B$15/Umrechnungsfaktoren!$B$14</f>
        <v>0.50882352941176467</v>
      </c>
      <c r="AV15" s="8"/>
      <c r="AW15" s="8"/>
      <c r="AX15" s="8"/>
      <c r="AY15" s="8"/>
      <c r="AZ15" s="8">
        <f>433*Umrechnungsfaktoren!$B$15/Umrechnungsfaktoren!$B$14</f>
        <v>440.64117647058822</v>
      </c>
      <c r="BA15" s="8"/>
      <c r="BB15" s="8">
        <f>0.05*Umrechnungsfaktoren!$B$15/Umrechnungsfaktoren!$B$14</f>
        <v>5.0882352941176469E-2</v>
      </c>
      <c r="BC15" s="8"/>
      <c r="BD15" s="7">
        <v>1</v>
      </c>
      <c r="BE15" s="7">
        <v>1</v>
      </c>
      <c r="BJ15" s="13">
        <v>80</v>
      </c>
      <c r="BK15" s="13">
        <v>80</v>
      </c>
      <c r="BL15" s="13"/>
      <c r="BM15" s="13"/>
      <c r="BN15" s="13"/>
      <c r="BO15" s="13"/>
      <c r="BQ15" s="13"/>
      <c r="BR15" s="13"/>
    </row>
    <row r="16" spans="1:82" x14ac:dyDescent="0.2">
      <c r="A16" s="87" t="s">
        <v>190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H16" s="19"/>
      <c r="I16" s="19"/>
      <c r="J16" s="19"/>
      <c r="K16" s="19">
        <v>2237</v>
      </c>
      <c r="L16" s="19"/>
      <c r="M16" s="19"/>
      <c r="N16" s="19"/>
      <c r="O16" s="19"/>
      <c r="P16" s="19"/>
      <c r="Q16" s="20"/>
      <c r="R16" s="9"/>
      <c r="S16" s="9"/>
      <c r="T16" s="9"/>
      <c r="U16" s="49"/>
      <c r="V16" s="20"/>
      <c r="W16" s="19"/>
      <c r="X16" s="9"/>
      <c r="Y16" s="19"/>
      <c r="Z16" s="1">
        <v>0.25</v>
      </c>
      <c r="AS16" s="19">
        <f>0.2*Umrechnungsfaktoren!$B$15/Umrechnungsfaktoren!$B$14</f>
        <v>0.20352941176470588</v>
      </c>
      <c r="AT16" s="19">
        <f>0.9*Umrechnungsfaktoren!$B$15/Umrechnungsfaktoren!$B$14</f>
        <v>0.91588235294117648</v>
      </c>
      <c r="AU16" s="19">
        <f>0.5*Umrechnungsfaktoren!$B$15/Umrechnungsfaktoren!$B$14</f>
        <v>0.50882352941176467</v>
      </c>
      <c r="AV16" s="8"/>
      <c r="AW16" s="8"/>
      <c r="AX16" s="8"/>
      <c r="AY16" s="8"/>
      <c r="AZ16" s="8">
        <f>433*Umrechnungsfaktoren!$B$15/Umrechnungsfaktoren!$B$14</f>
        <v>440.64117647058822</v>
      </c>
      <c r="BA16" s="8"/>
      <c r="BB16" s="8">
        <f>0.05*Umrechnungsfaktoren!$B$15/Umrechnungsfaktoren!$B$14</f>
        <v>5.0882352941176469E-2</v>
      </c>
      <c r="BC16" s="8"/>
      <c r="BD16" s="7">
        <v>1</v>
      </c>
      <c r="BE16" s="7">
        <v>1</v>
      </c>
      <c r="BJ16" s="13">
        <v>80</v>
      </c>
      <c r="BK16" s="13">
        <v>80</v>
      </c>
      <c r="BL16" s="13"/>
      <c r="BM16" s="13"/>
      <c r="BN16" s="13"/>
      <c r="BO16" s="13"/>
      <c r="BQ16" s="13"/>
      <c r="BR16" s="13"/>
    </row>
    <row r="17" spans="1:82" x14ac:dyDescent="0.2">
      <c r="A17" s="87" t="s">
        <v>190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H17" s="19"/>
      <c r="I17" s="19"/>
      <c r="J17" s="19"/>
      <c r="K17" s="19">
        <v>1984</v>
      </c>
      <c r="L17" s="19"/>
      <c r="M17" s="19"/>
      <c r="N17" s="19"/>
      <c r="O17" s="19"/>
      <c r="P17" s="19"/>
      <c r="Q17" s="20"/>
      <c r="R17" s="9"/>
      <c r="S17" s="9"/>
      <c r="T17" s="9"/>
      <c r="U17" s="49"/>
      <c r="V17" s="20"/>
      <c r="W17" s="19"/>
      <c r="X17" s="9"/>
      <c r="Y17" s="19"/>
      <c r="Z17" s="1">
        <v>0.25</v>
      </c>
      <c r="AS17" s="19">
        <f>0.2*Umrechnungsfaktoren!$B$15/Umrechnungsfaktoren!$B$14</f>
        <v>0.20352941176470588</v>
      </c>
      <c r="AT17" s="19">
        <f>0.9*Umrechnungsfaktoren!$B$15/Umrechnungsfaktoren!$B$14</f>
        <v>0.91588235294117648</v>
      </c>
      <c r="AU17" s="19">
        <f>0.5*Umrechnungsfaktoren!$B$15/Umrechnungsfaktoren!$B$14</f>
        <v>0.50882352941176467</v>
      </c>
      <c r="AV17" s="8"/>
      <c r="AW17" s="8"/>
      <c r="AX17" s="8"/>
      <c r="AY17" s="8"/>
      <c r="AZ17" s="8">
        <f>433*Umrechnungsfaktoren!$B$15/Umrechnungsfaktoren!$B$14</f>
        <v>440.64117647058822</v>
      </c>
      <c r="BA17" s="8"/>
      <c r="BB17" s="8">
        <f>0.05*Umrechnungsfaktoren!$B$15/Umrechnungsfaktoren!$B$14</f>
        <v>5.0882352941176469E-2</v>
      </c>
      <c r="BC17" s="8"/>
      <c r="BD17" s="7">
        <v>1</v>
      </c>
      <c r="BE17" s="7">
        <v>1</v>
      </c>
      <c r="BJ17" s="13">
        <v>80</v>
      </c>
      <c r="BK17" s="13">
        <v>80</v>
      </c>
      <c r="BL17" s="13"/>
      <c r="BM17" s="13"/>
      <c r="BN17" s="13"/>
      <c r="BO17" s="13"/>
      <c r="BQ17" s="13"/>
      <c r="BR17" s="13"/>
    </row>
    <row r="18" spans="1:82" x14ac:dyDescent="0.2">
      <c r="A18" s="87" t="s">
        <v>84</v>
      </c>
      <c r="B18" s="1" t="s">
        <v>129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/>
      <c r="I18" s="25">
        <v>957</v>
      </c>
      <c r="J18" s="25"/>
      <c r="K18" s="25">
        <v>1114</v>
      </c>
      <c r="L18" s="25"/>
      <c r="M18" s="25"/>
      <c r="N18" s="19"/>
      <c r="O18" s="19"/>
      <c r="P18" s="25"/>
      <c r="Q18" s="26"/>
      <c r="R18" s="27">
        <v>1</v>
      </c>
      <c r="S18" s="27">
        <v>0</v>
      </c>
      <c r="T18" s="27"/>
      <c r="U18" s="49">
        <v>6100</v>
      </c>
      <c r="V18" s="26">
        <v>957</v>
      </c>
      <c r="W18" s="25"/>
      <c r="X18" s="27"/>
      <c r="Y18" s="25"/>
      <c r="Z18" s="1">
        <v>0.25</v>
      </c>
      <c r="AA18" s="24"/>
      <c r="AB18" s="24"/>
      <c r="AC18" s="24"/>
      <c r="AD18" s="24"/>
      <c r="AE18" s="24"/>
      <c r="AF18" s="24">
        <v>1.5</v>
      </c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R18" s="24">
        <v>52</v>
      </c>
      <c r="AS18" s="25">
        <f>0.2*Umrechnungsfaktoren!$B$15/Umrechnungsfaktoren!$B$14</f>
        <v>0.20352941176470588</v>
      </c>
      <c r="AT18" s="25">
        <f>0.9*Umrechnungsfaktoren!$B$15/Umrechnungsfaktoren!$B$14</f>
        <v>0.91588235294117648</v>
      </c>
      <c r="AU18" s="25">
        <f>0.5*Umrechnungsfaktoren!$B$15/Umrechnungsfaktoren!$B$14</f>
        <v>0.50882352941176467</v>
      </c>
      <c r="AV18" s="28"/>
      <c r="AW18" s="28"/>
      <c r="AX18" s="28"/>
      <c r="AY18" s="28"/>
      <c r="AZ18" s="8">
        <f>392*Umrechnungsfaktoren!$B$15/Umrechnungsfaktoren!$B$14</f>
        <v>398.91764705882349</v>
      </c>
      <c r="BA18" s="28"/>
      <c r="BB18" s="28">
        <f>0.05*Umrechnungsfaktoren!$B$15/Umrechnungsfaktoren!$B$14</f>
        <v>5.0882352941176469E-2</v>
      </c>
      <c r="BC18" s="28"/>
      <c r="BD18" s="54">
        <v>0.97499999999999998</v>
      </c>
      <c r="BE18" s="54">
        <v>1</v>
      </c>
      <c r="BF18" s="24"/>
      <c r="BG18" s="24"/>
      <c r="BH18" s="24"/>
      <c r="BI18" s="1">
        <v>56</v>
      </c>
      <c r="BJ18" s="13" t="s">
        <v>565</v>
      </c>
      <c r="BK18" s="1">
        <v>57</v>
      </c>
      <c r="BL18" s="29"/>
      <c r="BM18" s="13">
        <v>57</v>
      </c>
      <c r="BN18" s="29"/>
      <c r="BO18" s="13">
        <v>56</v>
      </c>
      <c r="BP18" s="24"/>
      <c r="BQ18" s="29"/>
      <c r="BR18" s="13">
        <v>60</v>
      </c>
      <c r="BS18" s="1" t="s">
        <v>365</v>
      </c>
      <c r="BT18" s="24"/>
      <c r="BU18" s="24"/>
      <c r="BV18" s="24"/>
      <c r="BW18" s="1" t="s">
        <v>365</v>
      </c>
      <c r="BX18" s="1">
        <v>70</v>
      </c>
      <c r="BY18" s="1">
        <v>69</v>
      </c>
      <c r="BZ18" s="1">
        <v>70</v>
      </c>
      <c r="CA18" s="24"/>
      <c r="CB18" s="1" t="s">
        <v>568</v>
      </c>
      <c r="CC18" s="24"/>
      <c r="CD18" s="24"/>
    </row>
    <row r="19" spans="1:82" x14ac:dyDescent="0.2">
      <c r="A19" s="87" t="s">
        <v>84</v>
      </c>
      <c r="B19" s="1" t="s">
        <v>129</v>
      </c>
      <c r="C19" s="1">
        <v>2020</v>
      </c>
      <c r="D19" s="24">
        <v>0</v>
      </c>
      <c r="E19" s="24">
        <v>1</v>
      </c>
      <c r="F19" s="1">
        <v>0</v>
      </c>
      <c r="G19" s="24"/>
      <c r="H19" s="25"/>
      <c r="I19" s="25">
        <v>953</v>
      </c>
      <c r="J19" s="25"/>
      <c r="K19" s="25">
        <v>1110</v>
      </c>
      <c r="L19" s="25"/>
      <c r="M19" s="25"/>
      <c r="N19" s="19"/>
      <c r="O19" s="19"/>
      <c r="P19" s="25"/>
      <c r="Q19" s="26"/>
      <c r="R19" s="27">
        <v>1</v>
      </c>
      <c r="S19" s="27">
        <v>0</v>
      </c>
      <c r="T19" s="27"/>
      <c r="U19" s="49"/>
      <c r="V19" s="26"/>
      <c r="W19" s="25"/>
      <c r="X19" s="27"/>
      <c r="Y19" s="25"/>
      <c r="Z19" s="1">
        <v>0.25</v>
      </c>
      <c r="AA19" s="24"/>
      <c r="AB19" s="24"/>
      <c r="AC19" s="24"/>
      <c r="AD19" s="24"/>
      <c r="AE19" s="24"/>
      <c r="AF19" s="24">
        <v>1.5</v>
      </c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5">
        <f>0.2*Umrechnungsfaktoren!$B$15/Umrechnungsfaktoren!$B$14</f>
        <v>0.20352941176470588</v>
      </c>
      <c r="AT19" s="25">
        <f>0.9*Umrechnungsfaktoren!$B$15/Umrechnungsfaktoren!$B$14</f>
        <v>0.91588235294117648</v>
      </c>
      <c r="AU19" s="25">
        <f>0.5*Umrechnungsfaktoren!$B$15/Umrechnungsfaktoren!$B$14</f>
        <v>0.50882352941176467</v>
      </c>
      <c r="AV19" s="28"/>
      <c r="AW19" s="28"/>
      <c r="AX19" s="28"/>
      <c r="AY19" s="28"/>
      <c r="AZ19" s="8">
        <f>392*Umrechnungsfaktoren!$B$15/Umrechnungsfaktoren!$B$14</f>
        <v>398.91764705882349</v>
      </c>
      <c r="BA19" s="28"/>
      <c r="BB19" s="28">
        <f>0.05*Umrechnungsfaktoren!$B$15/Umrechnungsfaktoren!$B$14</f>
        <v>5.0882352941176469E-2</v>
      </c>
      <c r="BC19" s="28"/>
      <c r="BD19" s="54">
        <v>0.97499999999999998</v>
      </c>
      <c r="BE19" s="54">
        <v>1</v>
      </c>
      <c r="BF19" s="24"/>
      <c r="BG19" s="24"/>
      <c r="BH19" s="24"/>
      <c r="BJ19" s="13">
        <v>80</v>
      </c>
      <c r="BK19" s="13">
        <v>80</v>
      </c>
      <c r="BL19" s="29"/>
      <c r="BM19" s="13"/>
      <c r="BN19" s="29"/>
      <c r="BO19" s="13"/>
      <c r="BP19" s="24"/>
      <c r="BQ19" s="29"/>
      <c r="BR19" s="13"/>
      <c r="BT19" s="24"/>
      <c r="BU19" s="24"/>
      <c r="BV19" s="24"/>
      <c r="CA19" s="24"/>
      <c r="CC19" s="24"/>
      <c r="CD19" s="24"/>
    </row>
    <row r="20" spans="1:82" x14ac:dyDescent="0.2">
      <c r="A20" s="87" t="s">
        <v>84</v>
      </c>
      <c r="B20" s="1" t="s">
        <v>129</v>
      </c>
      <c r="C20" s="1">
        <v>2025</v>
      </c>
      <c r="D20" s="24">
        <v>0</v>
      </c>
      <c r="E20" s="24">
        <v>1</v>
      </c>
      <c r="F20" s="1">
        <v>0</v>
      </c>
      <c r="G20" s="24"/>
      <c r="H20" s="25"/>
      <c r="I20" s="25">
        <v>983</v>
      </c>
      <c r="J20" s="25"/>
      <c r="K20" s="25">
        <v>1145</v>
      </c>
      <c r="L20" s="25"/>
      <c r="M20" s="25"/>
      <c r="N20" s="19"/>
      <c r="O20" s="19"/>
      <c r="P20" s="25"/>
      <c r="Q20" s="26"/>
      <c r="R20" s="27">
        <v>1</v>
      </c>
      <c r="S20" s="27">
        <v>0</v>
      </c>
      <c r="T20" s="27"/>
      <c r="U20" s="49"/>
      <c r="V20" s="26"/>
      <c r="W20" s="25"/>
      <c r="X20" s="27"/>
      <c r="Y20" s="25"/>
      <c r="Z20" s="1">
        <v>0.25</v>
      </c>
      <c r="AA20" s="24"/>
      <c r="AB20" s="24"/>
      <c r="AC20" s="24"/>
      <c r="AD20" s="24"/>
      <c r="AE20" s="24"/>
      <c r="AF20" s="24">
        <v>1.5</v>
      </c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5">
        <f>0.2*Umrechnungsfaktoren!$B$15/Umrechnungsfaktoren!$B$14</f>
        <v>0.20352941176470588</v>
      </c>
      <c r="AT20" s="25">
        <f>0.9*Umrechnungsfaktoren!$B$15/Umrechnungsfaktoren!$B$14</f>
        <v>0.91588235294117648</v>
      </c>
      <c r="AU20" s="25">
        <f>0.5*Umrechnungsfaktoren!$B$15/Umrechnungsfaktoren!$B$14</f>
        <v>0.50882352941176467</v>
      </c>
      <c r="AV20" s="28"/>
      <c r="AW20" s="28"/>
      <c r="AX20" s="28"/>
      <c r="AY20" s="28"/>
      <c r="AZ20" s="8">
        <f>392*Umrechnungsfaktoren!$B$15/Umrechnungsfaktoren!$B$14</f>
        <v>398.91764705882349</v>
      </c>
      <c r="BA20" s="28"/>
      <c r="BB20" s="28">
        <f>0.05*Umrechnungsfaktoren!$B$15/Umrechnungsfaktoren!$B$14</f>
        <v>5.0882352941176469E-2</v>
      </c>
      <c r="BC20" s="28"/>
      <c r="BD20" s="54">
        <v>0.97499999999999998</v>
      </c>
      <c r="BE20" s="54">
        <v>1</v>
      </c>
      <c r="BF20" s="24"/>
      <c r="BG20" s="24"/>
      <c r="BH20" s="24"/>
      <c r="BJ20" s="13">
        <v>80</v>
      </c>
      <c r="BK20" s="13">
        <v>80</v>
      </c>
      <c r="BL20" s="29"/>
      <c r="BM20" s="13"/>
      <c r="BN20" s="29"/>
      <c r="BO20" s="13"/>
      <c r="BP20" s="24"/>
      <c r="BQ20" s="29"/>
      <c r="BR20" s="13"/>
      <c r="BT20" s="24"/>
      <c r="BU20" s="24"/>
      <c r="BV20" s="24"/>
      <c r="CA20" s="24"/>
      <c r="CC20" s="24"/>
      <c r="CD20" s="24"/>
    </row>
    <row r="21" spans="1:82" x14ac:dyDescent="0.2">
      <c r="A21" s="87" t="s">
        <v>84</v>
      </c>
      <c r="B21" s="1" t="s">
        <v>129</v>
      </c>
      <c r="C21" s="1">
        <v>2030</v>
      </c>
      <c r="D21" s="24">
        <v>0</v>
      </c>
      <c r="E21" s="24">
        <v>1</v>
      </c>
      <c r="F21" s="1">
        <v>0</v>
      </c>
      <c r="G21" s="24"/>
      <c r="H21" s="25"/>
      <c r="I21" s="25">
        <v>960</v>
      </c>
      <c r="J21" s="25"/>
      <c r="K21" s="25">
        <v>1117</v>
      </c>
      <c r="L21" s="25"/>
      <c r="M21" s="25"/>
      <c r="N21" s="19"/>
      <c r="O21" s="19"/>
      <c r="P21" s="25"/>
      <c r="Q21" s="26"/>
      <c r="R21" s="27">
        <v>1</v>
      </c>
      <c r="S21" s="27">
        <v>0</v>
      </c>
      <c r="T21" s="27"/>
      <c r="U21" s="49"/>
      <c r="V21" s="26"/>
      <c r="W21" s="25"/>
      <c r="X21" s="27"/>
      <c r="Y21" s="25"/>
      <c r="Z21" s="1">
        <v>0.25</v>
      </c>
      <c r="AA21" s="24"/>
      <c r="AB21" s="24"/>
      <c r="AC21" s="24"/>
      <c r="AD21" s="24"/>
      <c r="AE21" s="24"/>
      <c r="AF21" s="24">
        <v>1.5</v>
      </c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5">
        <f>0.2*Umrechnungsfaktoren!$B$15/Umrechnungsfaktoren!$B$14</f>
        <v>0.20352941176470588</v>
      </c>
      <c r="AT21" s="25">
        <f>0.9*Umrechnungsfaktoren!$B$15/Umrechnungsfaktoren!$B$14</f>
        <v>0.91588235294117648</v>
      </c>
      <c r="AU21" s="25">
        <f>0.5*Umrechnungsfaktoren!$B$15/Umrechnungsfaktoren!$B$14</f>
        <v>0.50882352941176467</v>
      </c>
      <c r="AV21" s="28"/>
      <c r="AW21" s="28"/>
      <c r="AX21" s="28"/>
      <c r="AY21" s="28"/>
      <c r="AZ21" s="8">
        <f>392*Umrechnungsfaktoren!$B$15/Umrechnungsfaktoren!$B$14</f>
        <v>398.91764705882349</v>
      </c>
      <c r="BA21" s="28"/>
      <c r="BB21" s="28">
        <f>0.05*Umrechnungsfaktoren!$B$15/Umrechnungsfaktoren!$B$14</f>
        <v>5.0882352941176469E-2</v>
      </c>
      <c r="BC21" s="28"/>
      <c r="BD21" s="54">
        <v>0.97499999999999998</v>
      </c>
      <c r="BE21" s="54">
        <v>1</v>
      </c>
      <c r="BF21" s="24"/>
      <c r="BG21" s="24"/>
      <c r="BH21" s="24"/>
      <c r="BJ21" s="13">
        <v>80</v>
      </c>
      <c r="BK21" s="13">
        <v>80</v>
      </c>
      <c r="BL21" s="29"/>
      <c r="BM21" s="13"/>
      <c r="BN21" s="29"/>
      <c r="BO21" s="13"/>
      <c r="BP21" s="24"/>
      <c r="BQ21" s="29"/>
      <c r="BR21" s="13"/>
      <c r="BT21" s="24"/>
      <c r="BU21" s="24"/>
      <c r="BV21" s="24"/>
      <c r="CA21" s="24"/>
      <c r="CC21" s="24"/>
      <c r="CD21" s="24"/>
    </row>
    <row r="22" spans="1:82" x14ac:dyDescent="0.2">
      <c r="A22" s="87" t="s">
        <v>953</v>
      </c>
      <c r="B22" s="1" t="s">
        <v>129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/>
      <c r="I22" s="25">
        <f>116+265</f>
        <v>381</v>
      </c>
      <c r="J22" s="25"/>
      <c r="K22" s="25">
        <v>921</v>
      </c>
      <c r="L22" s="25"/>
      <c r="M22" s="25"/>
      <c r="N22" s="25">
        <v>163</v>
      </c>
      <c r="O22" s="25"/>
      <c r="P22" s="25"/>
      <c r="Q22" s="26"/>
      <c r="R22" s="27">
        <v>1</v>
      </c>
      <c r="S22" s="27">
        <v>0.43</v>
      </c>
      <c r="T22" s="27"/>
      <c r="U22" s="50">
        <v>5500</v>
      </c>
      <c r="V22" s="26">
        <f>116+265</f>
        <v>381</v>
      </c>
      <c r="W22" s="25"/>
      <c r="X22" s="27"/>
      <c r="Y22" s="25"/>
      <c r="Z22" s="1">
        <v>0.25</v>
      </c>
      <c r="AA22" s="24"/>
      <c r="AB22" s="24"/>
      <c r="AC22" s="24"/>
      <c r="AD22" s="24"/>
      <c r="AE22" s="24">
        <v>3</v>
      </c>
      <c r="AF22" s="24">
        <v>3</v>
      </c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>
        <v>52</v>
      </c>
      <c r="AR22" s="24">
        <v>52</v>
      </c>
      <c r="AS22" s="25">
        <f>0.2*Umrechnungsfaktoren!$B$15/Umrechnungsfaktoren!$B$14</f>
        <v>0.20352941176470588</v>
      </c>
      <c r="AT22" s="25">
        <f>0.9*Umrechnungsfaktoren!$B$15/Umrechnungsfaktoren!$B$14</f>
        <v>0.91588235294117648</v>
      </c>
      <c r="AU22" s="25">
        <f>0.5*Umrechnungsfaktoren!$B$15/Umrechnungsfaktoren!$B$14</f>
        <v>0.50882352941176467</v>
      </c>
      <c r="AV22" s="28"/>
      <c r="AW22" s="28"/>
      <c r="AX22" s="28"/>
      <c r="AY22" s="28"/>
      <c r="AZ22" s="8">
        <f>317*Umrechnungsfaktoren!$B$15/Umrechnungsfaktoren!$B$14</f>
        <v>322.59411764705879</v>
      </c>
      <c r="BA22" s="28"/>
      <c r="BB22" s="28">
        <f>0.05*Umrechnungsfaktoren!$B$15/Umrechnungsfaktoren!$B$14</f>
        <v>5.0882352941176469E-2</v>
      </c>
      <c r="BC22" s="28"/>
      <c r="BD22" s="7">
        <v>1</v>
      </c>
      <c r="BE22" s="7">
        <v>1</v>
      </c>
      <c r="BF22" s="1" t="s">
        <v>566</v>
      </c>
      <c r="BG22" s="24"/>
      <c r="BH22" s="24"/>
      <c r="BI22" s="1">
        <v>56</v>
      </c>
      <c r="BJ22" s="13" t="s">
        <v>565</v>
      </c>
      <c r="BK22" s="1">
        <v>57</v>
      </c>
      <c r="BL22" s="29"/>
      <c r="BM22" s="13">
        <v>57</v>
      </c>
      <c r="BN22" s="29"/>
      <c r="BO22" s="13">
        <v>56</v>
      </c>
      <c r="BP22" s="24"/>
      <c r="BQ22" s="29"/>
      <c r="BR22" s="13">
        <v>60</v>
      </c>
      <c r="BS22" s="1" t="s">
        <v>365</v>
      </c>
      <c r="BT22" s="24"/>
      <c r="BU22" s="24"/>
      <c r="BV22" s="24"/>
      <c r="BW22" s="1" t="s">
        <v>365</v>
      </c>
      <c r="BX22" s="1">
        <v>70</v>
      </c>
      <c r="BY22" s="1">
        <v>69</v>
      </c>
      <c r="BZ22" s="1">
        <v>70</v>
      </c>
      <c r="CA22" s="24"/>
      <c r="CB22" s="24"/>
      <c r="CC22" s="24"/>
      <c r="CD22" s="24"/>
    </row>
    <row r="23" spans="1:82" x14ac:dyDescent="0.2">
      <c r="A23" s="87" t="s">
        <v>953</v>
      </c>
      <c r="B23" s="1" t="s">
        <v>129</v>
      </c>
      <c r="C23" s="1">
        <v>2020</v>
      </c>
      <c r="D23" s="24">
        <v>1</v>
      </c>
      <c r="E23" s="24">
        <v>1</v>
      </c>
      <c r="F23" s="1">
        <v>0</v>
      </c>
      <c r="G23" s="24"/>
      <c r="H23" s="25"/>
      <c r="I23" s="25">
        <v>379</v>
      </c>
      <c r="J23" s="25"/>
      <c r="K23" s="25">
        <v>917</v>
      </c>
      <c r="L23" s="25"/>
      <c r="M23" s="25"/>
      <c r="N23" s="25">
        <v>162</v>
      </c>
      <c r="O23" s="25"/>
      <c r="P23" s="25"/>
      <c r="Q23" s="26"/>
      <c r="R23" s="27">
        <v>1</v>
      </c>
      <c r="S23" s="27">
        <v>0.43</v>
      </c>
      <c r="T23" s="27"/>
      <c r="U23" s="50"/>
      <c r="V23" s="26"/>
      <c r="W23" s="25"/>
      <c r="X23" s="27"/>
      <c r="Y23" s="25"/>
      <c r="Z23" s="1">
        <v>0.25</v>
      </c>
      <c r="AA23" s="24"/>
      <c r="AB23" s="24"/>
      <c r="AC23" s="24"/>
      <c r="AD23" s="24"/>
      <c r="AE23" s="24">
        <v>3</v>
      </c>
      <c r="AF23" s="24">
        <v>3</v>
      </c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5">
        <f>0.2*Umrechnungsfaktoren!$B$15/Umrechnungsfaktoren!$B$14</f>
        <v>0.20352941176470588</v>
      </c>
      <c r="AT23" s="25">
        <f>0.9*Umrechnungsfaktoren!$B$15/Umrechnungsfaktoren!$B$14</f>
        <v>0.91588235294117648</v>
      </c>
      <c r="AU23" s="25">
        <f>0.5*Umrechnungsfaktoren!$B$15/Umrechnungsfaktoren!$B$14</f>
        <v>0.50882352941176467</v>
      </c>
      <c r="AV23" s="28"/>
      <c r="AW23" s="28"/>
      <c r="AX23" s="28"/>
      <c r="AY23" s="28"/>
      <c r="AZ23" s="8">
        <f>317*Umrechnungsfaktoren!$B$15/Umrechnungsfaktoren!$B$14</f>
        <v>322.59411764705879</v>
      </c>
      <c r="BA23" s="28"/>
      <c r="BB23" s="28">
        <f>0.05*Umrechnungsfaktoren!$B$15/Umrechnungsfaktoren!$B$14</f>
        <v>5.0882352941176469E-2</v>
      </c>
      <c r="BC23" s="28"/>
      <c r="BD23" s="7">
        <v>1</v>
      </c>
      <c r="BE23" s="7">
        <v>1</v>
      </c>
      <c r="BG23" s="24"/>
      <c r="BH23" s="24"/>
      <c r="BJ23" s="13">
        <v>80</v>
      </c>
      <c r="BK23" s="13">
        <v>80</v>
      </c>
      <c r="BL23" s="29"/>
      <c r="BM23" s="13"/>
      <c r="BN23" s="29"/>
      <c r="BO23" s="13"/>
      <c r="BP23" s="24"/>
      <c r="BQ23" s="29"/>
      <c r="BR23" s="13"/>
      <c r="BT23" s="24"/>
      <c r="BU23" s="24"/>
      <c r="BV23" s="24"/>
      <c r="CA23" s="24"/>
      <c r="CB23" s="24"/>
      <c r="CC23" s="24"/>
      <c r="CD23" s="24"/>
    </row>
    <row r="24" spans="1:82" x14ac:dyDescent="0.2">
      <c r="A24" s="87" t="s">
        <v>953</v>
      </c>
      <c r="B24" s="1" t="s">
        <v>129</v>
      </c>
      <c r="C24" s="1">
        <v>2025</v>
      </c>
      <c r="D24" s="24">
        <v>1</v>
      </c>
      <c r="E24" s="24">
        <v>1</v>
      </c>
      <c r="F24" s="1">
        <v>0</v>
      </c>
      <c r="G24" s="24"/>
      <c r="H24" s="25"/>
      <c r="I24" s="25">
        <v>376</v>
      </c>
      <c r="J24" s="25"/>
      <c r="K24" s="25">
        <v>911</v>
      </c>
      <c r="L24" s="25"/>
      <c r="M24" s="25"/>
      <c r="N24" s="25">
        <v>161</v>
      </c>
      <c r="O24" s="25"/>
      <c r="P24" s="25"/>
      <c r="Q24" s="26"/>
      <c r="R24" s="27">
        <v>1</v>
      </c>
      <c r="S24" s="27">
        <v>0.43</v>
      </c>
      <c r="T24" s="27"/>
      <c r="U24" s="50"/>
      <c r="V24" s="26"/>
      <c r="W24" s="25"/>
      <c r="X24" s="27"/>
      <c r="Y24" s="25"/>
      <c r="Z24" s="1">
        <v>0.25</v>
      </c>
      <c r="AA24" s="24"/>
      <c r="AB24" s="24"/>
      <c r="AC24" s="24"/>
      <c r="AD24" s="24"/>
      <c r="AE24" s="24">
        <v>3</v>
      </c>
      <c r="AF24" s="24">
        <v>3</v>
      </c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5">
        <f>0.2*Umrechnungsfaktoren!$B$15/Umrechnungsfaktoren!$B$14</f>
        <v>0.20352941176470588</v>
      </c>
      <c r="AT24" s="25">
        <f>0.9*Umrechnungsfaktoren!$B$15/Umrechnungsfaktoren!$B$14</f>
        <v>0.91588235294117648</v>
      </c>
      <c r="AU24" s="25">
        <f>0.5*Umrechnungsfaktoren!$B$15/Umrechnungsfaktoren!$B$14</f>
        <v>0.50882352941176467</v>
      </c>
      <c r="AV24" s="28"/>
      <c r="AW24" s="28"/>
      <c r="AX24" s="28"/>
      <c r="AY24" s="28"/>
      <c r="AZ24" s="8">
        <f>317*Umrechnungsfaktoren!$B$15/Umrechnungsfaktoren!$B$14</f>
        <v>322.59411764705879</v>
      </c>
      <c r="BA24" s="28"/>
      <c r="BB24" s="28">
        <f>0.05*Umrechnungsfaktoren!$B$15/Umrechnungsfaktoren!$B$14</f>
        <v>5.0882352941176469E-2</v>
      </c>
      <c r="BC24" s="28"/>
      <c r="BD24" s="7">
        <v>1</v>
      </c>
      <c r="BE24" s="7">
        <v>1</v>
      </c>
      <c r="BG24" s="24"/>
      <c r="BH24" s="24"/>
      <c r="BJ24" s="13">
        <v>80</v>
      </c>
      <c r="BK24" s="13">
        <v>80</v>
      </c>
      <c r="BL24" s="29"/>
      <c r="BM24" s="13"/>
      <c r="BN24" s="29"/>
      <c r="BO24" s="13"/>
      <c r="BP24" s="24"/>
      <c r="BQ24" s="29"/>
      <c r="BR24" s="13"/>
      <c r="BT24" s="24"/>
      <c r="BU24" s="24"/>
      <c r="BV24" s="24"/>
      <c r="CA24" s="24"/>
      <c r="CB24" s="24"/>
      <c r="CC24" s="24"/>
      <c r="CD24" s="24"/>
    </row>
    <row r="25" spans="1:82" x14ac:dyDescent="0.2">
      <c r="A25" s="87" t="s">
        <v>953</v>
      </c>
      <c r="B25" s="1" t="s">
        <v>129</v>
      </c>
      <c r="C25" s="1">
        <v>2030</v>
      </c>
      <c r="D25" s="24">
        <v>1</v>
      </c>
      <c r="E25" s="24">
        <v>1</v>
      </c>
      <c r="F25" s="1">
        <v>0</v>
      </c>
      <c r="G25" s="24"/>
      <c r="H25" s="25"/>
      <c r="I25" s="25">
        <v>373</v>
      </c>
      <c r="J25" s="25"/>
      <c r="K25" s="25">
        <v>902</v>
      </c>
      <c r="L25" s="25"/>
      <c r="M25" s="25"/>
      <c r="N25" s="25">
        <v>160</v>
      </c>
      <c r="O25" s="25"/>
      <c r="P25" s="25"/>
      <c r="Q25" s="26"/>
      <c r="R25" s="27">
        <v>1</v>
      </c>
      <c r="S25" s="27">
        <v>0.43</v>
      </c>
      <c r="T25" s="27"/>
      <c r="U25" s="50"/>
      <c r="V25" s="26"/>
      <c r="W25" s="25"/>
      <c r="X25" s="27"/>
      <c r="Y25" s="25"/>
      <c r="Z25" s="1">
        <v>0.25</v>
      </c>
      <c r="AA25" s="24"/>
      <c r="AB25" s="24"/>
      <c r="AC25" s="24"/>
      <c r="AD25" s="24"/>
      <c r="AE25" s="24">
        <v>3</v>
      </c>
      <c r="AF25" s="24">
        <v>3</v>
      </c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5">
        <f>0.2*Umrechnungsfaktoren!$B$15/Umrechnungsfaktoren!$B$14</f>
        <v>0.20352941176470588</v>
      </c>
      <c r="AT25" s="25">
        <f>0.9*Umrechnungsfaktoren!$B$15/Umrechnungsfaktoren!$B$14</f>
        <v>0.91588235294117648</v>
      </c>
      <c r="AU25" s="25">
        <f>0.5*Umrechnungsfaktoren!$B$15/Umrechnungsfaktoren!$B$14</f>
        <v>0.50882352941176467</v>
      </c>
      <c r="AV25" s="28"/>
      <c r="AW25" s="28"/>
      <c r="AX25" s="28"/>
      <c r="AY25" s="28"/>
      <c r="AZ25" s="8">
        <f>317*Umrechnungsfaktoren!$B$15/Umrechnungsfaktoren!$B$14</f>
        <v>322.59411764705879</v>
      </c>
      <c r="BA25" s="28"/>
      <c r="BB25" s="28">
        <f>0.05*Umrechnungsfaktoren!$B$15/Umrechnungsfaktoren!$B$14</f>
        <v>5.0882352941176469E-2</v>
      </c>
      <c r="BC25" s="28"/>
      <c r="BD25" s="7">
        <v>1</v>
      </c>
      <c r="BE25" s="7">
        <v>1</v>
      </c>
      <c r="BG25" s="24"/>
      <c r="BH25" s="24"/>
      <c r="BJ25" s="13">
        <v>80</v>
      </c>
      <c r="BK25" s="13">
        <v>80</v>
      </c>
      <c r="BL25" s="29"/>
      <c r="BM25" s="13"/>
      <c r="BN25" s="29"/>
      <c r="BO25" s="13"/>
      <c r="BP25" s="24"/>
      <c r="BQ25" s="29"/>
      <c r="BR25" s="13"/>
      <c r="BT25" s="24"/>
      <c r="BU25" s="24"/>
      <c r="BV25" s="24"/>
      <c r="CA25" s="24"/>
      <c r="CB25" s="24"/>
      <c r="CC25" s="24"/>
      <c r="CD25" s="24"/>
    </row>
    <row r="26" spans="1:82" x14ac:dyDescent="0.2">
      <c r="A26" s="87" t="s">
        <v>211</v>
      </c>
      <c r="B26" s="1" t="s">
        <v>129</v>
      </c>
      <c r="C26" s="1">
        <v>2012</v>
      </c>
      <c r="D26" s="1">
        <v>1</v>
      </c>
      <c r="E26" s="1">
        <v>0</v>
      </c>
      <c r="F26" s="1">
        <v>0</v>
      </c>
      <c r="H26" s="19"/>
      <c r="I26" s="19">
        <v>200</v>
      </c>
      <c r="J26" s="19"/>
      <c r="K26" s="19"/>
      <c r="L26" s="19"/>
      <c r="M26" s="19"/>
      <c r="N26" s="19">
        <v>1000</v>
      </c>
      <c r="O26" s="19"/>
      <c r="P26" s="19"/>
      <c r="Q26" s="20"/>
      <c r="R26" s="9"/>
      <c r="S26" s="9"/>
      <c r="T26" s="9"/>
      <c r="U26" s="49"/>
      <c r="V26" s="20"/>
      <c r="W26" s="19"/>
      <c r="X26" s="9"/>
      <c r="Y26" s="19"/>
      <c r="AA26" s="1">
        <f>15/60</f>
        <v>0.25</v>
      </c>
      <c r="AB26" s="1">
        <v>2</v>
      </c>
      <c r="AE26" s="1">
        <v>0.3</v>
      </c>
      <c r="AG26" s="1">
        <v>0.25</v>
      </c>
      <c r="AH26" s="1">
        <v>8</v>
      </c>
      <c r="AI26" s="1">
        <v>0.5</v>
      </c>
      <c r="AM26" s="1">
        <v>4</v>
      </c>
      <c r="AN26" s="1">
        <v>4</v>
      </c>
      <c r="AS26" s="19"/>
      <c r="AT26" s="19"/>
      <c r="AU26" s="19"/>
      <c r="AV26" s="8"/>
      <c r="AW26" s="8"/>
      <c r="AX26" s="8"/>
      <c r="AY26" s="8"/>
      <c r="AZ26" s="8"/>
      <c r="BA26" s="8"/>
      <c r="BB26" s="8"/>
      <c r="BC26" s="8"/>
      <c r="BD26" s="7">
        <v>1</v>
      </c>
      <c r="BE26" s="7">
        <v>1</v>
      </c>
      <c r="BJ26" s="13">
        <v>94</v>
      </c>
      <c r="BK26" s="1">
        <v>94</v>
      </c>
      <c r="BL26" s="13"/>
      <c r="BM26" s="13"/>
      <c r="BN26" s="13"/>
      <c r="BO26" s="13"/>
      <c r="BQ26" s="13"/>
      <c r="BR26" s="13"/>
      <c r="BS26" s="1" t="s">
        <v>571</v>
      </c>
      <c r="BU26" s="1">
        <v>100</v>
      </c>
    </row>
    <row r="27" spans="1:82" x14ac:dyDescent="0.2">
      <c r="A27" s="87" t="s">
        <v>213</v>
      </c>
      <c r="B27" s="1" t="s">
        <v>129</v>
      </c>
      <c r="C27" s="1">
        <v>2012</v>
      </c>
      <c r="D27" s="1">
        <v>0</v>
      </c>
      <c r="E27" s="1">
        <v>1</v>
      </c>
      <c r="F27" s="1">
        <v>0</v>
      </c>
      <c r="H27" s="19"/>
      <c r="I27" s="19">
        <v>400</v>
      </c>
      <c r="J27" s="19"/>
      <c r="K27" s="19"/>
      <c r="L27" s="19"/>
      <c r="M27" s="19"/>
      <c r="N27" s="19">
        <v>0</v>
      </c>
      <c r="O27" s="19"/>
      <c r="P27" s="19"/>
      <c r="Q27" s="20"/>
      <c r="R27" s="9"/>
      <c r="S27" s="9"/>
      <c r="T27" s="9"/>
      <c r="U27" s="49"/>
      <c r="V27" s="20"/>
      <c r="W27" s="19"/>
      <c r="X27" s="9"/>
      <c r="Y27" s="19"/>
      <c r="AA27" s="109"/>
      <c r="AB27" s="109"/>
      <c r="AC27" s="1">
        <f>2/60</f>
        <v>3.3333333333333333E-2</v>
      </c>
      <c r="AD27" s="1">
        <v>2</v>
      </c>
      <c r="AE27" s="108"/>
      <c r="AF27" s="1">
        <v>0.5</v>
      </c>
      <c r="AG27" s="1">
        <v>0.5</v>
      </c>
      <c r="AI27" s="1">
        <v>0</v>
      </c>
      <c r="AM27" s="1">
        <v>2</v>
      </c>
      <c r="AN27" s="1">
        <v>0</v>
      </c>
      <c r="AS27" s="19"/>
      <c r="AT27" s="19"/>
      <c r="AU27" s="19"/>
      <c r="AV27" s="8"/>
      <c r="AW27" s="8"/>
      <c r="AX27" s="8"/>
      <c r="AY27" s="8"/>
      <c r="AZ27" s="8"/>
      <c r="BA27" s="8"/>
      <c r="BB27" s="8"/>
      <c r="BC27" s="8"/>
      <c r="BD27" s="7">
        <v>1.83</v>
      </c>
      <c r="BE27" s="7">
        <v>1</v>
      </c>
      <c r="BJ27" s="13">
        <v>94</v>
      </c>
      <c r="BK27" s="1">
        <v>94</v>
      </c>
      <c r="BL27" s="13"/>
      <c r="BM27" s="13"/>
      <c r="BN27" s="13"/>
      <c r="BO27" s="13"/>
      <c r="BQ27" s="13"/>
      <c r="BR27" s="13"/>
      <c r="BS27" s="1" t="s">
        <v>571</v>
      </c>
      <c r="BU27" s="1">
        <v>100</v>
      </c>
    </row>
    <row r="28" spans="1:82" x14ac:dyDescent="0.2">
      <c r="A28" s="87" t="s">
        <v>542</v>
      </c>
      <c r="B28" s="1" t="s">
        <v>129</v>
      </c>
      <c r="C28" s="1">
        <v>2012</v>
      </c>
      <c r="D28" s="1">
        <v>0</v>
      </c>
      <c r="E28" s="1">
        <v>1</v>
      </c>
      <c r="F28" s="1">
        <v>0</v>
      </c>
      <c r="H28" s="19"/>
      <c r="I28" s="19">
        <v>400</v>
      </c>
      <c r="J28" s="19"/>
      <c r="K28" s="19"/>
      <c r="L28" s="19"/>
      <c r="M28" s="19"/>
      <c r="N28" s="19">
        <v>0</v>
      </c>
      <c r="O28" s="19"/>
      <c r="P28" s="19"/>
      <c r="Q28" s="20"/>
      <c r="R28" s="9"/>
      <c r="S28" s="9"/>
      <c r="T28" s="9"/>
      <c r="U28" s="49"/>
      <c r="V28" s="20"/>
      <c r="W28" s="19"/>
      <c r="X28" s="9"/>
      <c r="Y28" s="19"/>
      <c r="AA28" s="109"/>
      <c r="AB28" s="109"/>
      <c r="AC28" s="1">
        <v>1</v>
      </c>
      <c r="AD28" s="1">
        <v>8</v>
      </c>
      <c r="AF28" s="1">
        <v>4</v>
      </c>
      <c r="AI28" s="1">
        <v>0</v>
      </c>
      <c r="AM28" s="1">
        <v>4</v>
      </c>
      <c r="AN28" s="1">
        <v>0</v>
      </c>
      <c r="AS28" s="19"/>
      <c r="AT28" s="19"/>
      <c r="AU28" s="19"/>
      <c r="AV28" s="8"/>
      <c r="AW28" s="8"/>
      <c r="AX28" s="8">
        <f>18.8*Umrechnungsfaktoren!$B$15/Umrechnungsfaktoren!$B$14</f>
        <v>19.131764705882354</v>
      </c>
      <c r="AY28" s="8">
        <f>32.8*Umrechnungsfaktoren!$B$15/Umrechnungsfaktoren!$B$14</f>
        <v>33.378823529411761</v>
      </c>
      <c r="AZ28" s="8"/>
      <c r="BA28" s="8"/>
      <c r="BB28" s="8"/>
      <c r="BC28" s="8"/>
      <c r="BD28" s="7">
        <v>1</v>
      </c>
      <c r="BE28" s="7">
        <v>1</v>
      </c>
      <c r="BJ28" s="13"/>
      <c r="BL28" s="13"/>
      <c r="BM28" s="13"/>
      <c r="BN28" s="13"/>
      <c r="BO28" s="13"/>
      <c r="BQ28" s="13"/>
      <c r="BR28" s="13"/>
      <c r="BS28" s="1" t="s">
        <v>571</v>
      </c>
      <c r="BU28" s="1">
        <v>100</v>
      </c>
    </row>
    <row r="29" spans="1:82" x14ac:dyDescent="0.2">
      <c r="A29" s="87" t="s">
        <v>224</v>
      </c>
      <c r="B29" s="1" t="s">
        <v>129</v>
      </c>
      <c r="C29" s="1">
        <v>2012</v>
      </c>
      <c r="D29" s="1">
        <v>1</v>
      </c>
      <c r="E29" s="1">
        <v>0</v>
      </c>
      <c r="F29" s="1">
        <v>0</v>
      </c>
      <c r="H29" s="19"/>
      <c r="I29" s="19">
        <v>0</v>
      </c>
      <c r="J29" s="19"/>
      <c r="K29" s="19"/>
      <c r="L29" s="19"/>
      <c r="M29" s="19"/>
      <c r="N29" s="19">
        <v>50</v>
      </c>
      <c r="O29" s="19"/>
      <c r="P29" s="19"/>
      <c r="Q29" s="20"/>
      <c r="R29" s="9"/>
      <c r="S29" s="9"/>
      <c r="T29" s="9"/>
      <c r="U29" s="49"/>
      <c r="V29" s="20"/>
      <c r="W29" s="19"/>
      <c r="X29" s="9"/>
      <c r="Y29" s="19"/>
      <c r="AA29" s="1">
        <v>0</v>
      </c>
      <c r="AB29" s="1">
        <v>2</v>
      </c>
      <c r="AE29" s="1">
        <f>1/60</f>
        <v>1.6666666666666666E-2</v>
      </c>
      <c r="AI29" s="1">
        <f>1/60</f>
        <v>1.6666666666666666E-2</v>
      </c>
      <c r="AM29" s="1">
        <v>0.1</v>
      </c>
      <c r="AN29" s="1">
        <v>0.1</v>
      </c>
      <c r="AS29" s="19"/>
      <c r="AT29" s="19"/>
      <c r="AU29" s="19"/>
      <c r="AV29" s="8"/>
      <c r="AW29" s="8"/>
      <c r="AX29" s="8"/>
      <c r="AY29" s="8"/>
      <c r="AZ29" s="8"/>
      <c r="BA29" s="8"/>
      <c r="BB29" s="8"/>
      <c r="BC29" s="8"/>
      <c r="BD29" s="40">
        <v>0.96299999999999997</v>
      </c>
      <c r="BE29" s="7">
        <v>0.94</v>
      </c>
      <c r="BJ29" s="13">
        <v>94</v>
      </c>
      <c r="BK29" s="1">
        <v>94</v>
      </c>
      <c r="BL29" s="13"/>
      <c r="BM29" s="13"/>
      <c r="BN29" s="13"/>
      <c r="BO29" s="13"/>
      <c r="BQ29" s="13"/>
      <c r="BR29" s="13"/>
      <c r="BS29" s="1" t="s">
        <v>571</v>
      </c>
      <c r="BU29" s="1">
        <v>100</v>
      </c>
    </row>
    <row r="30" spans="1:82" x14ac:dyDescent="0.2">
      <c r="A30" s="87" t="s">
        <v>544</v>
      </c>
      <c r="B30" s="1" t="s">
        <v>129</v>
      </c>
      <c r="C30" s="1">
        <v>2012</v>
      </c>
      <c r="D30" s="1">
        <v>1</v>
      </c>
      <c r="E30" s="1">
        <v>0</v>
      </c>
      <c r="F30" s="1">
        <v>0</v>
      </c>
      <c r="H30" s="19"/>
      <c r="I30" s="19">
        <v>50</v>
      </c>
      <c r="J30" s="19"/>
      <c r="K30" s="19"/>
      <c r="L30" s="19"/>
      <c r="M30" s="19"/>
      <c r="N30" s="19">
        <v>50</v>
      </c>
      <c r="O30" s="19"/>
      <c r="P30" s="19"/>
      <c r="Q30" s="20"/>
      <c r="R30" s="9"/>
      <c r="S30" s="9"/>
      <c r="T30" s="9"/>
      <c r="U30" s="49"/>
      <c r="V30" s="20"/>
      <c r="W30" s="19"/>
      <c r="X30" s="9"/>
      <c r="Y30" s="19"/>
      <c r="AE30" s="1">
        <v>0.5</v>
      </c>
      <c r="AH30" s="1">
        <v>1</v>
      </c>
      <c r="AI30" s="1">
        <v>0.8</v>
      </c>
      <c r="AM30" s="1">
        <v>2</v>
      </c>
      <c r="AN30" s="1">
        <v>2</v>
      </c>
      <c r="AS30" s="19"/>
      <c r="AT30" s="19"/>
      <c r="AU30" s="19"/>
      <c r="AV30" s="8"/>
      <c r="AW30" s="8"/>
      <c r="AX30" s="19"/>
      <c r="AY30" s="19"/>
      <c r="AZ30" s="8"/>
      <c r="BA30" s="8"/>
      <c r="BB30" s="19"/>
      <c r="BC30" s="8"/>
      <c r="BD30" s="7">
        <v>1.37</v>
      </c>
      <c r="BE30" s="7">
        <v>1.37</v>
      </c>
      <c r="BJ30" s="13"/>
      <c r="BL30" s="13"/>
      <c r="BM30" s="13"/>
      <c r="BN30" s="13"/>
      <c r="BO30" s="13"/>
      <c r="BQ30" s="13"/>
      <c r="BR30" s="13"/>
      <c r="BS30" s="1" t="s">
        <v>571</v>
      </c>
      <c r="BU30" s="1">
        <v>100</v>
      </c>
    </row>
    <row r="31" spans="1:82" x14ac:dyDescent="0.2">
      <c r="A31" s="87" t="s">
        <v>549</v>
      </c>
      <c r="B31" s="1" t="s">
        <v>129</v>
      </c>
      <c r="C31" s="1">
        <v>2012</v>
      </c>
      <c r="D31" s="24">
        <v>1</v>
      </c>
      <c r="E31" s="24">
        <v>1</v>
      </c>
      <c r="F31" s="1">
        <v>0</v>
      </c>
      <c r="H31" s="19"/>
      <c r="I31" s="19">
        <v>1183</v>
      </c>
      <c r="J31" s="19"/>
      <c r="K31" s="19">
        <v>629</v>
      </c>
      <c r="L31" s="19"/>
      <c r="M31" s="19"/>
      <c r="N31" s="19"/>
      <c r="O31" s="19"/>
      <c r="P31" s="19"/>
      <c r="Q31" s="20"/>
      <c r="R31" s="9"/>
      <c r="S31" s="9"/>
      <c r="T31" s="9"/>
      <c r="U31" s="49"/>
      <c r="V31" s="20"/>
      <c r="W31" s="19"/>
      <c r="X31" s="9"/>
      <c r="Y31" s="19"/>
      <c r="AS31" s="19"/>
      <c r="AT31" s="19"/>
      <c r="AU31" s="25">
        <f>6.2*Umrechnungsfaktoren!$B$15/Umrechnungsfaktoren!$B$14</f>
        <v>6.3094117647058825</v>
      </c>
      <c r="AV31" s="8"/>
      <c r="AW31" s="8"/>
      <c r="AX31" s="19"/>
      <c r="AY31" s="19"/>
      <c r="AZ31" s="8"/>
      <c r="BA31" s="8"/>
      <c r="BB31" s="19"/>
      <c r="BC31" s="8">
        <f>3000*Umrechnungsfaktoren!$B$15/Umrechnungsfaktoren!$B$14</f>
        <v>3052.9411764705878</v>
      </c>
      <c r="BJ31" s="13">
        <v>117</v>
      </c>
      <c r="BK31" s="13">
        <v>117</v>
      </c>
      <c r="BL31" s="13"/>
      <c r="BM31" s="13"/>
      <c r="BN31" s="13"/>
      <c r="BO31" s="13"/>
      <c r="BQ31" s="13"/>
      <c r="BR31" s="13"/>
    </row>
    <row r="32" spans="1:82" x14ac:dyDescent="0.2">
      <c r="A32" s="87" t="s">
        <v>549</v>
      </c>
      <c r="B32" s="1" t="s">
        <v>129</v>
      </c>
      <c r="C32" s="1">
        <v>2020</v>
      </c>
      <c r="D32" s="24">
        <v>1</v>
      </c>
      <c r="E32" s="24">
        <v>1</v>
      </c>
      <c r="F32" s="1">
        <v>0</v>
      </c>
      <c r="H32" s="19"/>
      <c r="I32" s="19">
        <v>1106</v>
      </c>
      <c r="J32" s="19"/>
      <c r="K32" s="19">
        <v>634</v>
      </c>
      <c r="L32" s="19"/>
      <c r="M32" s="19"/>
      <c r="N32" s="19"/>
      <c r="O32" s="19"/>
      <c r="P32" s="19"/>
      <c r="Q32" s="20"/>
      <c r="R32" s="9"/>
      <c r="S32" s="9"/>
      <c r="T32" s="9"/>
      <c r="U32" s="49"/>
      <c r="V32" s="20"/>
      <c r="W32" s="19"/>
      <c r="X32" s="9"/>
      <c r="Y32" s="19"/>
      <c r="AS32" s="19"/>
      <c r="AT32" s="19"/>
      <c r="AU32" s="25">
        <f>5.6*Umrechnungsfaktoren!$B$15/Umrechnungsfaktoren!$B$14</f>
        <v>5.6988235294117642</v>
      </c>
      <c r="AV32" s="8"/>
      <c r="AW32" s="8"/>
      <c r="AX32" s="19"/>
      <c r="AY32" s="19"/>
      <c r="AZ32" s="8"/>
      <c r="BA32" s="8"/>
      <c r="BB32" s="19"/>
      <c r="BC32" s="8">
        <f>2550*Umrechnungsfaktoren!$B$15/Umrechnungsfaktoren!$B$14</f>
        <v>2595</v>
      </c>
      <c r="BJ32" s="13">
        <v>117</v>
      </c>
      <c r="BK32" s="13">
        <v>117</v>
      </c>
      <c r="BL32" s="13"/>
      <c r="BM32" s="13"/>
      <c r="BN32" s="13"/>
      <c r="BO32" s="13"/>
      <c r="BQ32" s="13"/>
      <c r="BR32" s="13"/>
    </row>
    <row r="33" spans="1:70" x14ac:dyDescent="0.2">
      <c r="A33" s="87" t="s">
        <v>549</v>
      </c>
      <c r="B33" s="1" t="s">
        <v>129</v>
      </c>
      <c r="C33" s="1">
        <v>2025</v>
      </c>
      <c r="D33" s="24">
        <v>1</v>
      </c>
      <c r="E33" s="24">
        <v>1</v>
      </c>
      <c r="F33" s="1">
        <v>0</v>
      </c>
      <c r="H33" s="19"/>
      <c r="I33" s="19">
        <v>1148</v>
      </c>
      <c r="J33" s="19"/>
      <c r="K33" s="19">
        <v>660</v>
      </c>
      <c r="L33" s="19"/>
      <c r="M33" s="19"/>
      <c r="N33" s="19"/>
      <c r="O33" s="19"/>
      <c r="P33" s="19"/>
      <c r="Q33" s="20"/>
      <c r="R33" s="9"/>
      <c r="S33" s="9"/>
      <c r="T33" s="9"/>
      <c r="U33" s="49"/>
      <c r="V33" s="20"/>
      <c r="W33" s="19"/>
      <c r="X33" s="9"/>
      <c r="Y33" s="19"/>
      <c r="AS33" s="19"/>
      <c r="AT33" s="19"/>
      <c r="AU33" s="25">
        <f>5.3*Umrechnungsfaktoren!$B$15/Umrechnungsfaktoren!$B$14</f>
        <v>5.393529411764705</v>
      </c>
      <c r="AV33" s="8"/>
      <c r="AW33" s="8"/>
      <c r="AX33" s="19"/>
      <c r="AY33" s="19"/>
      <c r="AZ33" s="8"/>
      <c r="BA33" s="8"/>
      <c r="BB33" s="19"/>
      <c r="BC33" s="8">
        <f>2100*Umrechnungsfaktoren!$B$15/Umrechnungsfaktoren!$B$14</f>
        <v>2137.0588235294117</v>
      </c>
      <c r="BJ33" s="13">
        <v>117</v>
      </c>
      <c r="BK33" s="13">
        <v>117</v>
      </c>
      <c r="BL33" s="13"/>
      <c r="BM33" s="13"/>
      <c r="BN33" s="13"/>
      <c r="BO33" s="13"/>
      <c r="BQ33" s="13"/>
      <c r="BR33" s="13"/>
    </row>
    <row r="34" spans="1:70" x14ac:dyDescent="0.2">
      <c r="A34" s="87" t="s">
        <v>549</v>
      </c>
      <c r="B34" s="1" t="s">
        <v>129</v>
      </c>
      <c r="C34" s="1">
        <v>2030</v>
      </c>
      <c r="D34" s="24">
        <v>1</v>
      </c>
      <c r="E34" s="24">
        <v>1</v>
      </c>
      <c r="F34" s="1">
        <v>0</v>
      </c>
      <c r="H34" s="19"/>
      <c r="I34" s="19">
        <v>1185</v>
      </c>
      <c r="J34" s="19"/>
      <c r="K34" s="19">
        <v>686</v>
      </c>
      <c r="L34" s="19"/>
      <c r="M34" s="19"/>
      <c r="N34" s="19"/>
      <c r="O34" s="19"/>
      <c r="P34" s="19"/>
      <c r="Q34" s="20"/>
      <c r="R34" s="9"/>
      <c r="S34" s="9"/>
      <c r="T34" s="9"/>
      <c r="U34" s="49"/>
      <c r="V34" s="20"/>
      <c r="W34" s="19"/>
      <c r="X34" s="9"/>
      <c r="Y34" s="19"/>
      <c r="AS34" s="19"/>
      <c r="AT34" s="19"/>
      <c r="AU34" s="25">
        <f>4.9*Umrechnungsfaktoren!$B$15/Umrechnungsfaktoren!$B$14</f>
        <v>4.986470588235294</v>
      </c>
      <c r="AV34" s="8"/>
      <c r="AW34" s="8"/>
      <c r="AX34" s="19"/>
      <c r="AY34" s="19"/>
      <c r="AZ34" s="8"/>
      <c r="BA34" s="8"/>
      <c r="BB34" s="19"/>
      <c r="BC34" s="8">
        <f>1650*Umrechnungsfaktoren!$B$15/Umrechnungsfaktoren!$B$14</f>
        <v>1679.1176470588234</v>
      </c>
      <c r="BJ34" s="13">
        <v>117</v>
      </c>
      <c r="BK34" s="13">
        <v>117</v>
      </c>
      <c r="BL34" s="13"/>
      <c r="BM34" s="13"/>
      <c r="BN34" s="13"/>
      <c r="BO34" s="13"/>
      <c r="BQ34" s="13"/>
      <c r="BR34" s="13"/>
    </row>
    <row r="41" spans="1:70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B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1" sqref="K1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</cols>
  <sheetData>
    <row r="1" spans="1:77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878</v>
      </c>
      <c r="H1" s="2" t="s">
        <v>879</v>
      </c>
      <c r="I1" s="2" t="s">
        <v>49</v>
      </c>
      <c r="J1" s="2" t="s">
        <v>876</v>
      </c>
      <c r="K1" s="2" t="s">
        <v>877</v>
      </c>
      <c r="L1" s="2" t="s">
        <v>50</v>
      </c>
      <c r="M1" s="2" t="s">
        <v>97</v>
      </c>
      <c r="N1" s="2" t="s">
        <v>156</v>
      </c>
      <c r="O1" s="2" t="s">
        <v>873</v>
      </c>
      <c r="P1" s="2" t="s">
        <v>874</v>
      </c>
      <c r="Q1" s="2" t="s">
        <v>157</v>
      </c>
      <c r="R1" s="2" t="s">
        <v>56</v>
      </c>
      <c r="S1" s="2" t="s">
        <v>55</v>
      </c>
      <c r="T1" s="2" t="s">
        <v>870</v>
      </c>
      <c r="U1" s="2" t="s">
        <v>871</v>
      </c>
      <c r="V1" s="2" t="s">
        <v>237</v>
      </c>
      <c r="W1" s="2" t="s">
        <v>865</v>
      </c>
      <c r="X1" s="2" t="s">
        <v>116</v>
      </c>
      <c r="Y1" s="2" t="s">
        <v>57</v>
      </c>
      <c r="Z1" s="2" t="s">
        <v>123</v>
      </c>
      <c r="AA1" s="2" t="s">
        <v>58</v>
      </c>
      <c r="AB1" s="2" t="s">
        <v>9</v>
      </c>
      <c r="AC1" s="2" t="s">
        <v>431</v>
      </c>
      <c r="AD1" s="2" t="s">
        <v>227</v>
      </c>
      <c r="AE1" s="2" t="s">
        <v>159</v>
      </c>
      <c r="AF1" s="2" t="s">
        <v>229</v>
      </c>
      <c r="AG1" s="2" t="s">
        <v>230</v>
      </c>
      <c r="AH1" s="2" t="s">
        <v>160</v>
      </c>
      <c r="AI1" s="2" t="s">
        <v>216</v>
      </c>
      <c r="AJ1" s="2" t="s">
        <v>217</v>
      </c>
      <c r="AK1" s="2" t="s">
        <v>3</v>
      </c>
      <c r="AL1" s="2" t="s">
        <v>10</v>
      </c>
      <c r="AM1" s="2" t="s">
        <v>16</v>
      </c>
      <c r="AN1" s="2" t="s">
        <v>4</v>
      </c>
      <c r="AO1" s="2" t="s">
        <v>99</v>
      </c>
      <c r="AP1" s="2" t="s">
        <v>185</v>
      </c>
      <c r="AQ1" s="2" t="s">
        <v>184</v>
      </c>
      <c r="AR1" s="2" t="s">
        <v>12</v>
      </c>
      <c r="AS1" s="2" t="s">
        <v>872</v>
      </c>
      <c r="AT1" s="2" t="s">
        <v>233</v>
      </c>
      <c r="AU1" s="2" t="s">
        <v>234</v>
      </c>
      <c r="AV1" s="2" t="s">
        <v>232</v>
      </c>
      <c r="AW1" s="2" t="s">
        <v>334</v>
      </c>
      <c r="AX1" s="2" t="s">
        <v>459</v>
      </c>
      <c r="AY1" s="2" t="s">
        <v>335</v>
      </c>
      <c r="AZ1" s="2" t="s">
        <v>147</v>
      </c>
      <c r="BA1" s="2" t="s">
        <v>22</v>
      </c>
      <c r="BB1" s="2" t="s">
        <v>164</v>
      </c>
      <c r="BC1" s="2" t="s">
        <v>165</v>
      </c>
      <c r="BD1" s="2" t="s">
        <v>880</v>
      </c>
      <c r="BE1" s="2" t="s">
        <v>1</v>
      </c>
      <c r="BF1" s="2" t="s">
        <v>2</v>
      </c>
      <c r="BG1" s="2" t="s">
        <v>59</v>
      </c>
      <c r="BH1" s="2" t="s">
        <v>1161</v>
      </c>
      <c r="BI1" s="2" t="s">
        <v>238</v>
      </c>
      <c r="BJ1" s="2" t="s">
        <v>117</v>
      </c>
      <c r="BK1" s="2" t="s">
        <v>60</v>
      </c>
      <c r="BL1" s="2" t="s">
        <v>61</v>
      </c>
      <c r="BM1" s="2" t="s">
        <v>98</v>
      </c>
      <c r="BN1" s="2" t="s">
        <v>5</v>
      </c>
      <c r="BO1" s="2" t="s">
        <v>6</v>
      </c>
      <c r="BP1" s="2" t="s">
        <v>17</v>
      </c>
      <c r="BQ1" s="2" t="s">
        <v>18</v>
      </c>
      <c r="BR1" s="2" t="s">
        <v>7</v>
      </c>
      <c r="BS1" s="2" t="s">
        <v>19</v>
      </c>
      <c r="BT1" s="2" t="s">
        <v>866</v>
      </c>
      <c r="BU1" s="2" t="s">
        <v>20</v>
      </c>
      <c r="BV1" s="2" t="s">
        <v>21</v>
      </c>
      <c r="BW1" s="2" t="s">
        <v>148</v>
      </c>
      <c r="BX1" s="2" t="s">
        <v>23</v>
      </c>
      <c r="BY1" s="2" t="s">
        <v>51</v>
      </c>
    </row>
    <row r="2" spans="1:77" s="1" customFormat="1" ht="12.75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19"/>
      <c r="P2" s="19"/>
      <c r="Q2" s="19"/>
      <c r="R2" s="19"/>
      <c r="S2" s="20"/>
      <c r="T2" s="9">
        <v>0.12</v>
      </c>
      <c r="U2" s="9">
        <v>0.25</v>
      </c>
      <c r="V2" s="9"/>
      <c r="W2" s="20"/>
      <c r="X2" s="20"/>
      <c r="Y2" s="19">
        <v>1150</v>
      </c>
      <c r="Z2" s="9"/>
      <c r="AA2" s="19"/>
      <c r="AP2" s="19"/>
      <c r="AQ2" s="19"/>
      <c r="AR2" s="19"/>
      <c r="AS2" s="19">
        <f>0.34*Umrechnungsfaktoren!$B$15/Umrechnungsfaktoren!$B$7</f>
        <v>0.37866952789699571</v>
      </c>
      <c r="AT2" s="8"/>
      <c r="AU2" s="8"/>
      <c r="AV2" s="8"/>
      <c r="AW2" s="8"/>
      <c r="AX2" s="8"/>
      <c r="AY2" s="8"/>
      <c r="BE2" s="13"/>
      <c r="BG2" s="13"/>
      <c r="BH2" s="13">
        <v>59</v>
      </c>
      <c r="BI2" s="13"/>
      <c r="BJ2" s="13"/>
      <c r="BK2" s="1">
        <v>60</v>
      </c>
      <c r="BL2" s="13"/>
      <c r="BM2" s="13"/>
      <c r="BT2" s="1">
        <v>60</v>
      </c>
    </row>
    <row r="3" spans="1:77" x14ac:dyDescent="0.25">
      <c r="A3" s="58" t="s">
        <v>282</v>
      </c>
      <c r="B3" s="58" t="s">
        <v>129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59"/>
      <c r="P3" s="59"/>
      <c r="Q3" s="59"/>
      <c r="R3" s="59"/>
      <c r="S3" s="60"/>
      <c r="T3" s="61">
        <v>0.15</v>
      </c>
      <c r="U3" s="61">
        <v>0.63</v>
      </c>
      <c r="V3" s="61"/>
      <c r="W3" s="60"/>
      <c r="X3" s="60"/>
      <c r="Y3" s="59">
        <v>80</v>
      </c>
      <c r="Z3" s="62"/>
      <c r="AA3" s="59"/>
      <c r="AB3" s="63"/>
      <c r="AC3" s="63"/>
      <c r="AD3" s="63"/>
      <c r="AE3" s="58"/>
      <c r="AF3" s="58"/>
      <c r="AG3" s="58"/>
      <c r="AH3" s="58"/>
      <c r="AI3" s="58"/>
      <c r="AJ3" s="58"/>
      <c r="AK3" s="58"/>
      <c r="AL3" s="58"/>
      <c r="AM3" s="58"/>
      <c r="AN3" s="63"/>
      <c r="AO3" s="58"/>
      <c r="AP3" s="59"/>
      <c r="AQ3" s="59"/>
      <c r="AR3" s="63"/>
      <c r="AS3" s="59">
        <f>2.43*Umrechnungsfaktoren!$B$15/Umrechnungsfaktoren!$B$7</f>
        <v>2.7063733905579399</v>
      </c>
      <c r="AT3" s="64"/>
      <c r="AU3" s="64"/>
      <c r="AV3" s="64"/>
      <c r="AW3" s="64"/>
      <c r="AX3" s="64"/>
      <c r="AY3" s="63"/>
      <c r="AZ3" s="63"/>
      <c r="BA3" s="58"/>
      <c r="BB3" s="58"/>
      <c r="BC3" s="58"/>
      <c r="BD3" s="58"/>
      <c r="BE3" s="65"/>
      <c r="BF3" s="58"/>
      <c r="BG3" s="65"/>
      <c r="BH3" s="65">
        <v>59</v>
      </c>
      <c r="BI3" s="65"/>
      <c r="BJ3" s="65"/>
      <c r="BK3" s="58">
        <v>60</v>
      </c>
      <c r="BL3" s="65"/>
      <c r="BM3" s="65"/>
      <c r="BN3" s="58"/>
      <c r="BO3" s="58"/>
      <c r="BP3" s="58"/>
      <c r="BQ3" s="58"/>
      <c r="BR3" s="58"/>
      <c r="BS3" s="58"/>
      <c r="BT3" s="58">
        <v>60</v>
      </c>
      <c r="BU3" s="58"/>
      <c r="BV3" s="58"/>
      <c r="BW3" s="58"/>
      <c r="BX3" s="58"/>
      <c r="BY3" s="58"/>
    </row>
    <row r="4" spans="1:77" x14ac:dyDescent="0.25">
      <c r="A4" s="58" t="s">
        <v>84</v>
      </c>
      <c r="B4" s="58" t="s">
        <v>129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59"/>
      <c r="P4" s="59"/>
      <c r="Q4" s="59"/>
      <c r="R4" s="59"/>
      <c r="S4" s="60"/>
      <c r="T4" s="61">
        <v>0.05</v>
      </c>
      <c r="U4" s="61">
        <v>0.46</v>
      </c>
      <c r="V4" s="61"/>
      <c r="W4" s="60"/>
      <c r="X4" s="60"/>
      <c r="Y4" s="59">
        <v>2120</v>
      </c>
      <c r="Z4" s="62"/>
      <c r="AA4" s="59"/>
      <c r="AB4" s="63"/>
      <c r="AC4" s="63"/>
      <c r="AD4" s="63"/>
      <c r="AE4" s="58"/>
      <c r="AF4" s="58"/>
      <c r="AG4" s="58"/>
      <c r="AH4" s="58"/>
      <c r="AI4" s="58"/>
      <c r="AJ4" s="58"/>
      <c r="AK4" s="58"/>
      <c r="AL4" s="58"/>
      <c r="AM4" s="58"/>
      <c r="AN4" s="63"/>
      <c r="AO4" s="58"/>
      <c r="AP4" s="59"/>
      <c r="AQ4" s="59"/>
      <c r="AR4" s="63"/>
      <c r="AS4" s="59">
        <f>0.87*Umrechnungsfaktoren!$B$15/Umrechnungsfaktoren!$B$7</f>
        <v>0.96894849785407722</v>
      </c>
      <c r="AT4" s="64"/>
      <c r="AU4" s="64"/>
      <c r="AV4" s="64"/>
      <c r="AW4" s="64"/>
      <c r="AX4" s="64"/>
      <c r="AY4" s="63"/>
      <c r="AZ4" s="63"/>
      <c r="BA4" s="58"/>
      <c r="BB4" s="58"/>
      <c r="BC4" s="58"/>
      <c r="BD4" s="58"/>
      <c r="BE4" s="65"/>
      <c r="BF4" s="58"/>
      <c r="BG4" s="65"/>
      <c r="BH4" s="65">
        <v>59</v>
      </c>
      <c r="BI4" s="65"/>
      <c r="BJ4" s="65"/>
      <c r="BK4" s="58">
        <v>60</v>
      </c>
      <c r="BL4" s="65"/>
      <c r="BM4" s="65"/>
      <c r="BN4" s="58"/>
      <c r="BO4" s="58"/>
      <c r="BP4" s="58"/>
      <c r="BQ4" s="58"/>
      <c r="BR4" s="58"/>
      <c r="BS4" s="58"/>
      <c r="BT4" s="58">
        <v>60</v>
      </c>
      <c r="BU4" s="58"/>
      <c r="BV4" s="58"/>
      <c r="BW4" s="58"/>
      <c r="BX4" s="58"/>
      <c r="BY4" s="58"/>
    </row>
    <row r="5" spans="1:77" x14ac:dyDescent="0.25">
      <c r="A5" s="58" t="s">
        <v>29</v>
      </c>
      <c r="B5" s="58" t="s">
        <v>129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59"/>
      <c r="P5" s="59"/>
      <c r="Q5" s="59"/>
      <c r="R5" s="59"/>
      <c r="S5" s="60"/>
      <c r="T5" s="61">
        <v>0.14000000000000001</v>
      </c>
      <c r="U5" s="61">
        <v>0.49</v>
      </c>
      <c r="V5" s="61"/>
      <c r="W5" s="60"/>
      <c r="X5" s="60"/>
      <c r="Y5" s="59">
        <v>1190</v>
      </c>
      <c r="Z5" s="62"/>
      <c r="AA5" s="59"/>
      <c r="AB5" s="63"/>
      <c r="AC5" s="63"/>
      <c r="AD5" s="63"/>
      <c r="AE5" s="58"/>
      <c r="AF5" s="58"/>
      <c r="AG5" s="58"/>
      <c r="AH5" s="58"/>
      <c r="AI5" s="58"/>
      <c r="AJ5" s="58"/>
      <c r="AK5" s="58"/>
      <c r="AL5" s="58"/>
      <c r="AM5" s="58"/>
      <c r="AN5" s="63"/>
      <c r="AO5" s="58"/>
      <c r="AP5" s="59"/>
      <c r="AQ5" s="59"/>
      <c r="AR5" s="63"/>
      <c r="AS5" s="59">
        <f>1.39*Umrechnungsfaktoren!$B$15/Umrechnungsfaktoren!$B$7</f>
        <v>1.5480901287553646</v>
      </c>
      <c r="AT5" s="64"/>
      <c r="AU5" s="64"/>
      <c r="AV5" s="64"/>
      <c r="AW5" s="64"/>
      <c r="AX5" s="64"/>
      <c r="AY5" s="63"/>
      <c r="AZ5" s="63"/>
      <c r="BA5" s="58"/>
      <c r="BB5" s="58"/>
      <c r="BC5" s="58"/>
      <c r="BD5" s="58"/>
      <c r="BE5" s="65"/>
      <c r="BF5" s="58"/>
      <c r="BG5" s="65"/>
      <c r="BH5" s="65">
        <v>59</v>
      </c>
      <c r="BI5" s="65"/>
      <c r="BJ5" s="65"/>
      <c r="BK5" s="58">
        <v>60</v>
      </c>
      <c r="BL5" s="65"/>
      <c r="BM5" s="65"/>
      <c r="BN5" s="58"/>
      <c r="BO5" s="58"/>
      <c r="BP5" s="58"/>
      <c r="BQ5" s="58"/>
      <c r="BR5" s="58"/>
      <c r="BS5" s="58"/>
      <c r="BT5" s="58">
        <v>60</v>
      </c>
      <c r="BU5" s="58"/>
      <c r="BV5" s="58"/>
      <c r="BW5" s="58"/>
      <c r="BX5" s="58"/>
      <c r="BY5" s="58"/>
    </row>
    <row r="6" spans="1:77" x14ac:dyDescent="0.25">
      <c r="A6" s="58" t="s">
        <v>77</v>
      </c>
      <c r="B6" s="58" t="s">
        <v>129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59"/>
      <c r="P6" s="59"/>
      <c r="Q6" s="59"/>
      <c r="R6" s="59"/>
      <c r="S6" s="60"/>
      <c r="T6" s="61">
        <v>0.28000000000000003</v>
      </c>
      <c r="U6" s="61">
        <v>0.72</v>
      </c>
      <c r="V6" s="61"/>
      <c r="W6" s="60"/>
      <c r="X6" s="60"/>
      <c r="Y6" s="59">
        <v>140</v>
      </c>
      <c r="Z6" s="62"/>
      <c r="AA6" s="59"/>
      <c r="AB6" s="63"/>
      <c r="AC6" s="63"/>
      <c r="AD6" s="63"/>
      <c r="AE6" s="58"/>
      <c r="AF6" s="58"/>
      <c r="AG6" s="58"/>
      <c r="AH6" s="58"/>
      <c r="AI6" s="58"/>
      <c r="AJ6" s="58"/>
      <c r="AK6" s="58"/>
      <c r="AL6" s="58"/>
      <c r="AM6" s="58"/>
      <c r="AN6" s="63"/>
      <c r="AO6" s="58"/>
      <c r="AP6" s="59"/>
      <c r="AQ6" s="59"/>
      <c r="AR6" s="63"/>
      <c r="AS6" s="59">
        <f>6.95*Umrechnungsfaktoren!$B$15/Umrechnungsfaktoren!$B$7</f>
        <v>7.7404506437768239</v>
      </c>
      <c r="AT6" s="64"/>
      <c r="AU6" s="64"/>
      <c r="AV6" s="64"/>
      <c r="AW6" s="64"/>
      <c r="AX6" s="64"/>
      <c r="AY6" s="63"/>
      <c r="AZ6" s="63"/>
      <c r="BA6" s="58"/>
      <c r="BB6" s="58"/>
      <c r="BC6" s="58"/>
      <c r="BD6" s="58"/>
      <c r="BE6" s="65"/>
      <c r="BF6" s="58"/>
      <c r="BG6" s="65"/>
      <c r="BH6" s="65">
        <v>59</v>
      </c>
      <c r="BI6" s="65"/>
      <c r="BJ6" s="65"/>
      <c r="BK6" s="58">
        <v>60</v>
      </c>
      <c r="BL6" s="65"/>
      <c r="BM6" s="65"/>
      <c r="BN6" s="58"/>
      <c r="BO6" s="58"/>
      <c r="BP6" s="58"/>
      <c r="BQ6" s="58"/>
      <c r="BR6" s="58"/>
      <c r="BS6" s="58"/>
      <c r="BT6" s="58">
        <v>60</v>
      </c>
      <c r="BU6" s="58"/>
      <c r="BV6" s="58"/>
      <c r="BW6" s="58"/>
      <c r="BX6" s="58"/>
      <c r="BY6" s="58"/>
    </row>
    <row r="7" spans="1:77" x14ac:dyDescent="0.25">
      <c r="A7" s="58" t="s">
        <v>819</v>
      </c>
      <c r="B7" s="58" t="s">
        <v>130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/>
      <c r="J7" s="59">
        <v>17000</v>
      </c>
      <c r="K7" s="59">
        <v>3000</v>
      </c>
      <c r="L7" s="59"/>
      <c r="M7" s="59"/>
      <c r="N7" s="59"/>
      <c r="O7" s="59">
        <v>17000</v>
      </c>
      <c r="P7" s="59">
        <v>3000</v>
      </c>
      <c r="Q7" s="59"/>
      <c r="R7" s="59"/>
      <c r="S7" s="60"/>
      <c r="T7" s="61"/>
      <c r="U7" s="61"/>
      <c r="V7" s="61"/>
      <c r="W7" s="60"/>
      <c r="X7" s="60"/>
      <c r="Y7" s="59"/>
      <c r="Z7" s="62"/>
      <c r="AA7" s="59"/>
      <c r="AB7" s="63"/>
      <c r="AC7" s="63"/>
      <c r="AD7" s="63"/>
      <c r="AE7" s="58"/>
      <c r="AF7" s="58"/>
      <c r="AG7" s="58"/>
      <c r="AH7" s="58"/>
      <c r="AI7" s="58"/>
      <c r="AJ7" s="58"/>
      <c r="AK7" s="58"/>
      <c r="AL7" s="58"/>
      <c r="AM7" s="58"/>
      <c r="AN7" s="63"/>
      <c r="AO7" s="58"/>
      <c r="AP7" s="59"/>
      <c r="AQ7" s="59"/>
      <c r="AR7" s="63"/>
      <c r="AS7" s="59"/>
      <c r="AT7" s="64"/>
      <c r="AU7" s="64"/>
      <c r="AV7" s="64"/>
      <c r="AW7" s="64"/>
      <c r="AX7" s="64"/>
      <c r="AY7" s="63"/>
      <c r="AZ7" s="63"/>
      <c r="BA7" s="58" t="s">
        <v>875</v>
      </c>
      <c r="BB7" s="58"/>
      <c r="BC7" s="58"/>
      <c r="BD7" s="58"/>
      <c r="BE7" s="65">
        <v>65</v>
      </c>
      <c r="BF7" s="58">
        <v>65</v>
      </c>
      <c r="BG7" s="65"/>
      <c r="BH7" s="65"/>
      <c r="BI7" s="65"/>
      <c r="BJ7" s="65"/>
      <c r="BK7" s="58"/>
      <c r="BL7" s="65"/>
      <c r="BM7" s="65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</row>
    <row r="8" spans="1:77" x14ac:dyDescent="0.25">
      <c r="A8" s="58" t="s">
        <v>137</v>
      </c>
      <c r="B8" s="58" t="s">
        <v>130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/>
      <c r="J8" s="59">
        <v>3000</v>
      </c>
      <c r="K8" s="59">
        <v>1000</v>
      </c>
      <c r="L8" s="59"/>
      <c r="M8" s="59"/>
      <c r="N8" s="59"/>
      <c r="O8" s="59">
        <v>3000</v>
      </c>
      <c r="P8" s="59">
        <v>1000</v>
      </c>
      <c r="Q8" s="59"/>
      <c r="R8" s="59"/>
      <c r="S8" s="60"/>
      <c r="T8" s="61"/>
      <c r="U8" s="61"/>
      <c r="V8" s="61"/>
      <c r="W8" s="60"/>
      <c r="X8" s="60"/>
      <c r="Y8" s="59"/>
      <c r="Z8" s="62"/>
      <c r="AA8" s="59"/>
      <c r="AB8" s="63"/>
      <c r="AC8" s="63"/>
      <c r="AD8" s="63"/>
      <c r="AE8" s="58"/>
      <c r="AF8" s="58"/>
      <c r="AG8" s="58"/>
      <c r="AH8" s="58"/>
      <c r="AI8" s="58"/>
      <c r="AJ8" s="58"/>
      <c r="AK8" s="58"/>
      <c r="AL8" s="58"/>
      <c r="AM8" s="58"/>
      <c r="AN8" s="63"/>
      <c r="AO8" s="58"/>
      <c r="AP8" s="59"/>
      <c r="AQ8" s="59"/>
      <c r="AR8" s="63"/>
      <c r="AS8" s="59"/>
      <c r="AT8" s="64"/>
      <c r="AU8" s="64"/>
      <c r="AV8" s="64"/>
      <c r="AW8" s="64"/>
      <c r="AX8" s="64"/>
      <c r="AY8" s="63"/>
      <c r="AZ8" s="63"/>
      <c r="BA8" s="58" t="s">
        <v>875</v>
      </c>
      <c r="BB8" s="58"/>
      <c r="BC8" s="58"/>
      <c r="BD8" s="58"/>
      <c r="BE8" s="65">
        <v>65</v>
      </c>
      <c r="BF8" s="58">
        <v>65</v>
      </c>
      <c r="BG8" s="65"/>
      <c r="BH8" s="65"/>
      <c r="BI8" s="65"/>
      <c r="BJ8" s="65"/>
      <c r="BK8" s="58"/>
      <c r="BL8" s="65"/>
      <c r="BM8" s="65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</row>
    <row r="9" spans="1:77" x14ac:dyDescent="0.25">
      <c r="A9" s="58" t="s">
        <v>135</v>
      </c>
      <c r="B9" s="58" t="s">
        <v>142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/>
      <c r="J9" s="59">
        <v>500</v>
      </c>
      <c r="K9" s="59">
        <v>500</v>
      </c>
      <c r="L9" s="59">
        <v>1300</v>
      </c>
      <c r="M9" s="59"/>
      <c r="N9" s="59"/>
      <c r="O9" s="59">
        <v>500</v>
      </c>
      <c r="P9" s="59">
        <v>500</v>
      </c>
      <c r="Q9" s="59">
        <v>1300</v>
      </c>
      <c r="R9" s="59"/>
      <c r="S9" s="60"/>
      <c r="T9" s="61"/>
      <c r="U9" s="61"/>
      <c r="V9" s="61"/>
      <c r="W9" s="60"/>
      <c r="X9" s="60"/>
      <c r="Y9" s="59"/>
      <c r="Z9" s="62"/>
      <c r="AA9" s="59"/>
      <c r="AB9" s="63"/>
      <c r="AC9" s="63"/>
      <c r="AD9" s="63"/>
      <c r="AE9" s="58"/>
      <c r="AF9" s="58"/>
      <c r="AG9" s="58"/>
      <c r="AH9" s="58"/>
      <c r="AI9" s="58"/>
      <c r="AJ9" s="58"/>
      <c r="AK9" s="58"/>
      <c r="AL9" s="58"/>
      <c r="AM9" s="58"/>
      <c r="AN9" s="63"/>
      <c r="AO9" s="58"/>
      <c r="AP9" s="59"/>
      <c r="AQ9" s="59"/>
      <c r="AR9" s="63"/>
      <c r="AS9" s="59"/>
      <c r="AT9" s="64"/>
      <c r="AU9" s="64"/>
      <c r="AV9" s="64"/>
      <c r="AW9" s="64"/>
      <c r="AX9" s="64"/>
      <c r="AY9" s="63"/>
      <c r="AZ9" s="63"/>
      <c r="BA9" s="58"/>
      <c r="BB9" s="58"/>
      <c r="BC9" s="58"/>
      <c r="BD9" s="58">
        <v>69</v>
      </c>
      <c r="BE9" s="65">
        <v>74</v>
      </c>
      <c r="BF9" s="58">
        <v>74</v>
      </c>
      <c r="BG9" s="65"/>
      <c r="BH9" s="65"/>
      <c r="BI9" s="65"/>
      <c r="BJ9" s="65"/>
      <c r="BK9" s="58"/>
      <c r="BL9" s="65"/>
      <c r="BM9" s="65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</row>
    <row r="10" spans="1:77" x14ac:dyDescent="0.25">
      <c r="A10" s="58" t="s">
        <v>289</v>
      </c>
      <c r="B10" s="58" t="s">
        <v>142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/>
      <c r="J10" s="59">
        <v>500</v>
      </c>
      <c r="K10" s="59">
        <v>500</v>
      </c>
      <c r="L10" s="59">
        <v>1000</v>
      </c>
      <c r="M10" s="59"/>
      <c r="N10" s="59"/>
      <c r="O10" s="59">
        <v>500</v>
      </c>
      <c r="P10" s="59">
        <v>500</v>
      </c>
      <c r="Q10" s="59">
        <v>1000</v>
      </c>
      <c r="R10" s="59"/>
      <c r="S10" s="60"/>
      <c r="T10" s="61"/>
      <c r="U10" s="61"/>
      <c r="V10" s="61"/>
      <c r="W10" s="60"/>
      <c r="X10" s="60"/>
      <c r="Y10" s="59"/>
      <c r="Z10" s="62"/>
      <c r="AA10" s="59"/>
      <c r="AB10" s="63"/>
      <c r="AC10" s="63"/>
      <c r="AD10" s="63"/>
      <c r="AE10" s="58"/>
      <c r="AF10" s="58"/>
      <c r="AG10" s="58"/>
      <c r="AH10" s="58"/>
      <c r="AI10" s="58"/>
      <c r="AJ10" s="58"/>
      <c r="AK10" s="58"/>
      <c r="AL10" s="58"/>
      <c r="AM10" s="58"/>
      <c r="AN10" s="63"/>
      <c r="AO10" s="58"/>
      <c r="AP10" s="59"/>
      <c r="AQ10" s="59"/>
      <c r="AR10" s="63"/>
      <c r="AS10" s="59"/>
      <c r="AT10" s="64"/>
      <c r="AU10" s="64"/>
      <c r="AV10" s="64"/>
      <c r="AW10" s="64"/>
      <c r="AX10" s="64"/>
      <c r="AY10" s="63"/>
      <c r="AZ10" s="63"/>
      <c r="BA10" s="58"/>
      <c r="BB10" s="58"/>
      <c r="BC10" s="58"/>
      <c r="BD10" s="58">
        <v>77</v>
      </c>
      <c r="BE10" s="65">
        <v>76</v>
      </c>
      <c r="BF10" s="58">
        <v>76</v>
      </c>
      <c r="BG10" s="65"/>
      <c r="BH10" s="65"/>
      <c r="BI10" s="65"/>
      <c r="BJ10" s="65"/>
      <c r="BK10" s="58"/>
      <c r="BL10" s="65"/>
      <c r="BM10" s="65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</row>
    <row r="11" spans="1:77" x14ac:dyDescent="0.25">
      <c r="A11" s="58" t="s">
        <v>136</v>
      </c>
      <c r="B11" s="58" t="s">
        <v>142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/>
      <c r="J11" s="59">
        <v>300</v>
      </c>
      <c r="K11" s="59">
        <v>300</v>
      </c>
      <c r="L11" s="59">
        <v>700</v>
      </c>
      <c r="M11" s="59"/>
      <c r="N11" s="59"/>
      <c r="O11" s="59">
        <v>300</v>
      </c>
      <c r="P11" s="59">
        <v>300</v>
      </c>
      <c r="Q11" s="59">
        <v>700</v>
      </c>
      <c r="R11" s="59"/>
      <c r="S11" s="60"/>
      <c r="T11" s="61"/>
      <c r="U11" s="61"/>
      <c r="V11" s="61"/>
      <c r="W11" s="60"/>
      <c r="X11" s="60"/>
      <c r="Y11" s="59"/>
      <c r="Z11" s="62"/>
      <c r="AA11" s="59"/>
      <c r="AB11" s="63"/>
      <c r="AC11" s="63"/>
      <c r="AD11" s="63"/>
      <c r="AE11" s="58"/>
      <c r="AF11" s="58"/>
      <c r="AG11" s="58"/>
      <c r="AH11" s="58"/>
      <c r="AI11" s="58"/>
      <c r="AJ11" s="58"/>
      <c r="AK11" s="58"/>
      <c r="AL11" s="58"/>
      <c r="AM11" s="58"/>
      <c r="AN11" s="63"/>
      <c r="AO11" s="58"/>
      <c r="AP11" s="59"/>
      <c r="AQ11" s="59"/>
      <c r="AR11" s="63"/>
      <c r="AS11" s="59"/>
      <c r="AT11" s="64"/>
      <c r="AU11" s="64"/>
      <c r="AV11" s="64"/>
      <c r="AW11" s="64"/>
      <c r="AX11" s="64"/>
      <c r="AY11" s="63"/>
      <c r="AZ11" s="63"/>
      <c r="BA11" s="58"/>
      <c r="BB11" s="58"/>
      <c r="BC11" s="58"/>
      <c r="BD11" s="58"/>
      <c r="BE11" s="65">
        <v>77</v>
      </c>
      <c r="BF11" s="58">
        <v>77</v>
      </c>
      <c r="BG11" s="65"/>
      <c r="BH11" s="65"/>
      <c r="BI11" s="65"/>
      <c r="BJ11" s="65"/>
      <c r="BK11" s="58"/>
      <c r="BL11" s="65"/>
      <c r="BM11" s="65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</row>
    <row r="12" spans="1:77" x14ac:dyDescent="0.25">
      <c r="A12" s="58" t="s">
        <v>138</v>
      </c>
      <c r="B12" s="58" t="s">
        <v>142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/>
      <c r="L12" s="59">
        <v>12400</v>
      </c>
      <c r="M12" s="59"/>
      <c r="N12" s="59"/>
      <c r="O12" s="59"/>
      <c r="P12" s="59"/>
      <c r="Q12" s="59">
        <v>12400</v>
      </c>
      <c r="R12" s="59"/>
      <c r="S12" s="60"/>
      <c r="T12" s="61"/>
      <c r="U12" s="61"/>
      <c r="V12" s="61"/>
      <c r="W12" s="60"/>
      <c r="X12" s="60"/>
      <c r="Y12" s="59"/>
      <c r="Z12" s="62"/>
      <c r="AA12" s="59"/>
      <c r="AB12" s="63"/>
      <c r="AC12" s="63"/>
      <c r="AD12" s="63"/>
      <c r="AE12" s="58"/>
      <c r="AF12" s="58"/>
      <c r="AG12" s="58"/>
      <c r="AH12" s="58"/>
      <c r="AI12" s="58"/>
      <c r="AJ12" s="58"/>
      <c r="AK12" s="58"/>
      <c r="AL12" s="58"/>
      <c r="AM12" s="58"/>
      <c r="AN12" s="63"/>
      <c r="AO12" s="58"/>
      <c r="AP12" s="59"/>
      <c r="AQ12" s="59"/>
      <c r="AR12" s="63"/>
      <c r="AS12" s="59"/>
      <c r="AT12" s="64"/>
      <c r="AU12" s="64"/>
      <c r="AV12" s="64"/>
      <c r="AW12" s="64"/>
      <c r="AX12" s="64"/>
      <c r="AY12" s="63"/>
      <c r="AZ12" s="63"/>
      <c r="BA12" s="58"/>
      <c r="BB12" s="58"/>
      <c r="BC12" s="58"/>
      <c r="BD12" s="58">
        <v>78</v>
      </c>
      <c r="BE12" s="65">
        <v>81</v>
      </c>
      <c r="BF12" s="58">
        <v>81</v>
      </c>
      <c r="BG12" s="65"/>
      <c r="BH12" s="65"/>
      <c r="BI12" s="65"/>
      <c r="BJ12" s="65"/>
      <c r="BK12" s="58"/>
      <c r="BL12" s="65"/>
      <c r="BM12" s="65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BT7"/>
  <sheetViews>
    <sheetView workbookViewId="0">
      <pane xSplit="3" ySplit="1" topLeftCell="H2" activePane="bottomRight" state="frozen"/>
      <selection pane="topRight" activeCell="D1" sqref="D1"/>
      <selection pane="bottomLeft" activeCell="A2" sqref="A2"/>
      <selection pane="bottomRight" activeCell="Q2" sqref="Q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1" width="20.7109375" style="1" customWidth="1"/>
    <col min="32" max="32" width="25.85546875" style="1" bestFit="1" customWidth="1"/>
    <col min="33" max="33" width="29.7109375" style="1" bestFit="1" customWidth="1"/>
    <col min="34" max="34" width="24" style="1" bestFit="1" customWidth="1"/>
    <col min="35" max="35" width="38.28515625" style="1" bestFit="1" customWidth="1"/>
    <col min="36" max="38" width="38.28515625" style="1" customWidth="1"/>
    <col min="39" max="39" width="38.28515625" style="1" bestFit="1" customWidth="1"/>
    <col min="40" max="43" width="38.28515625" style="1" customWidth="1"/>
    <col min="44" max="44" width="33.42578125" style="1" bestFit="1" customWidth="1"/>
    <col min="45" max="46" width="33.42578125" style="1" customWidth="1"/>
    <col min="47" max="47" width="25.7109375" style="1" bestFit="1" customWidth="1"/>
    <col min="48" max="48" width="25.7109375" style="1" customWidth="1"/>
    <col min="49" max="49" width="56.7109375" style="1" bestFit="1" customWidth="1"/>
    <col min="50" max="51" width="35.5703125" style="1" customWidth="1"/>
    <col min="52" max="52" width="31.7109375" style="1" bestFit="1" customWidth="1"/>
    <col min="53" max="53" width="31.5703125" style="1" bestFit="1" customWidth="1"/>
    <col min="54" max="58" width="31.5703125" style="1" customWidth="1"/>
    <col min="59" max="59" width="37.42578125" style="1" bestFit="1" customWidth="1"/>
    <col min="60" max="60" width="35.7109375" style="1" bestFit="1" customWidth="1"/>
    <col min="61" max="61" width="28.85546875" style="1" bestFit="1" customWidth="1"/>
    <col min="62" max="62" width="34" style="1" bestFit="1" customWidth="1"/>
    <col min="63" max="63" width="37.85546875" style="1" bestFit="1" customWidth="1"/>
    <col min="64" max="64" width="34.42578125" style="1" bestFit="1" customWidth="1"/>
    <col min="65" max="65" width="38.140625" style="1" bestFit="1" customWidth="1"/>
    <col min="66" max="66" width="22.85546875" style="1" bestFit="1" customWidth="1"/>
    <col min="67" max="67" width="22.85546875" style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237</v>
      </c>
      <c r="R1" s="2" t="s">
        <v>865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229</v>
      </c>
      <c r="AB1" s="2" t="s">
        <v>230</v>
      </c>
      <c r="AC1" s="2" t="s">
        <v>160</v>
      </c>
      <c r="AD1" s="2" t="s">
        <v>216</v>
      </c>
      <c r="AE1" s="2" t="s">
        <v>217</v>
      </c>
      <c r="AF1" s="2" t="s">
        <v>3</v>
      </c>
      <c r="AG1" s="2" t="s">
        <v>10</v>
      </c>
      <c r="AH1" s="2" t="s">
        <v>16</v>
      </c>
      <c r="AI1" s="2" t="s">
        <v>4</v>
      </c>
      <c r="AJ1" s="2" t="s">
        <v>99</v>
      </c>
      <c r="AK1" s="2" t="s">
        <v>185</v>
      </c>
      <c r="AL1" s="2" t="s">
        <v>184</v>
      </c>
      <c r="AM1" s="2" t="s">
        <v>12</v>
      </c>
      <c r="AN1" s="2" t="s">
        <v>863</v>
      </c>
      <c r="AO1" s="2" t="s">
        <v>864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459</v>
      </c>
      <c r="AU1" s="2" t="s">
        <v>335</v>
      </c>
      <c r="AV1" s="2" t="s">
        <v>147</v>
      </c>
      <c r="AW1" s="2" t="s">
        <v>22</v>
      </c>
      <c r="AX1" s="2" t="s">
        <v>164</v>
      </c>
      <c r="AY1" s="2" t="s">
        <v>165</v>
      </c>
      <c r="AZ1" s="2" t="s">
        <v>1</v>
      </c>
      <c r="BA1" s="2" t="s">
        <v>2</v>
      </c>
      <c r="BB1" s="2" t="s">
        <v>59</v>
      </c>
      <c r="BC1" s="2" t="s">
        <v>1161</v>
      </c>
      <c r="BD1" s="2" t="s">
        <v>238</v>
      </c>
      <c r="BE1" s="2" t="s">
        <v>117</v>
      </c>
      <c r="BF1" s="2" t="s">
        <v>60</v>
      </c>
      <c r="BG1" s="2" t="s">
        <v>61</v>
      </c>
      <c r="BH1" s="2" t="s">
        <v>98</v>
      </c>
      <c r="BI1" s="2" t="s">
        <v>5</v>
      </c>
      <c r="BJ1" s="2" t="s">
        <v>6</v>
      </c>
      <c r="BK1" s="2" t="s">
        <v>17</v>
      </c>
      <c r="BL1" s="2" t="s">
        <v>18</v>
      </c>
      <c r="BM1" s="2" t="s">
        <v>7</v>
      </c>
      <c r="BN1" s="2" t="s">
        <v>19</v>
      </c>
      <c r="BO1" s="2" t="s">
        <v>866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1" t="s">
        <v>138</v>
      </c>
      <c r="B2" s="1" t="s">
        <v>142</v>
      </c>
      <c r="C2" s="1">
        <v>2023</v>
      </c>
      <c r="D2" s="1">
        <v>1</v>
      </c>
      <c r="E2" s="1">
        <v>0</v>
      </c>
      <c r="F2" s="1">
        <v>0</v>
      </c>
      <c r="G2" s="19"/>
      <c r="H2" s="19"/>
      <c r="I2" s="19">
        <v>1000</v>
      </c>
      <c r="J2" s="19"/>
      <c r="K2" s="19"/>
      <c r="L2" s="19"/>
      <c r="M2" s="19">
        <v>1000</v>
      </c>
      <c r="N2" s="19"/>
      <c r="O2" s="20"/>
      <c r="P2" s="9"/>
      <c r="Q2" s="9">
        <f>Tabelle5897111728[[#This Row],[Vollbenutzungsstunden h/a]]/8760</f>
        <v>0.22831050228310501</v>
      </c>
      <c r="R2" s="20">
        <v>2000</v>
      </c>
      <c r="S2" s="20">
        <v>140</v>
      </c>
      <c r="T2" s="19">
        <v>10000</v>
      </c>
      <c r="U2" s="9"/>
      <c r="V2" s="19"/>
      <c r="W2" s="1">
        <f t="shared" ref="W2:W7" si="0">60/3600</f>
        <v>1.6666666666666666E-2</v>
      </c>
      <c r="AF2" s="1">
        <v>12</v>
      </c>
      <c r="AI2" s="1">
        <f>7</f>
        <v>7</v>
      </c>
      <c r="AK2" s="19">
        <f>0</f>
        <v>0</v>
      </c>
      <c r="AL2" s="19">
        <f>100*Umrechnungsfaktoren!$B$15/Umrechnungsfaktoren!$B$12</f>
        <v>103.8</v>
      </c>
      <c r="AM2" s="19"/>
      <c r="AN2" s="19">
        <f>10*Umrechnungsfaktoren!$B$15/Umrechnungsfaktoren!$B$12</f>
        <v>10.38</v>
      </c>
      <c r="AO2" s="19">
        <f>30*Umrechnungsfaktoren!$B$15/Umrechnungsfaktoren!$B$12</f>
        <v>31.14</v>
      </c>
      <c r="AP2" s="8"/>
      <c r="AQ2" s="8"/>
      <c r="AR2" s="8"/>
      <c r="AS2" s="8"/>
      <c r="AT2" s="8"/>
      <c r="AU2" s="8"/>
      <c r="AX2" s="1">
        <v>11</v>
      </c>
      <c r="AZ2" s="13">
        <v>12</v>
      </c>
      <c r="BA2" s="1">
        <v>12</v>
      </c>
      <c r="BB2" s="13"/>
      <c r="BC2" s="13"/>
      <c r="BD2" s="13">
        <v>12</v>
      </c>
      <c r="BE2" s="13">
        <v>12</v>
      </c>
      <c r="BF2" s="1">
        <v>12</v>
      </c>
      <c r="BG2" s="13"/>
      <c r="BH2" s="13">
        <v>11</v>
      </c>
      <c r="BJ2" s="1">
        <v>11</v>
      </c>
      <c r="BM2" s="1">
        <v>12</v>
      </c>
      <c r="BN2" s="1">
        <v>12</v>
      </c>
      <c r="BO2" s="1">
        <v>12</v>
      </c>
    </row>
    <row r="3" spans="1:72" x14ac:dyDescent="0.2">
      <c r="A3" s="1" t="s">
        <v>138</v>
      </c>
      <c r="B3" s="58" t="s">
        <v>142</v>
      </c>
      <c r="C3" s="58">
        <v>2050</v>
      </c>
      <c r="D3" s="58">
        <v>1</v>
      </c>
      <c r="E3" s="58">
        <v>0</v>
      </c>
      <c r="F3" s="1">
        <v>0</v>
      </c>
      <c r="G3" s="59"/>
      <c r="H3" s="59"/>
      <c r="I3" s="59">
        <v>1000</v>
      </c>
      <c r="J3" s="59"/>
      <c r="K3" s="59"/>
      <c r="L3" s="59"/>
      <c r="M3" s="59">
        <v>1000</v>
      </c>
      <c r="N3" s="59"/>
      <c r="O3" s="60"/>
      <c r="P3" s="61"/>
      <c r="Q3" s="61">
        <f>Tabelle5897111728[[#This Row],[Vollbenutzungsstunden h/a]]/8760</f>
        <v>0.22831050228310501</v>
      </c>
      <c r="R3" s="60">
        <v>2000</v>
      </c>
      <c r="S3" s="60">
        <v>200</v>
      </c>
      <c r="T3" s="59">
        <v>10000</v>
      </c>
      <c r="U3" s="62"/>
      <c r="V3" s="59"/>
      <c r="W3" s="63">
        <f t="shared" si="0"/>
        <v>1.6666666666666666E-2</v>
      </c>
      <c r="X3" s="63"/>
      <c r="Y3" s="63"/>
      <c r="Z3" s="58"/>
      <c r="AA3" s="58"/>
      <c r="AB3" s="58"/>
      <c r="AC3" s="58"/>
      <c r="AD3" s="58"/>
      <c r="AE3" s="58"/>
      <c r="AF3" s="58">
        <v>12</v>
      </c>
      <c r="AG3" s="58"/>
      <c r="AH3" s="58"/>
      <c r="AI3" s="63">
        <f>7</f>
        <v>7</v>
      </c>
      <c r="AJ3" s="58"/>
      <c r="AK3" s="64">
        <f>0</f>
        <v>0</v>
      </c>
      <c r="AL3" s="64">
        <f>100*Umrechnungsfaktoren!$B$15/Umrechnungsfaktoren!$B$12</f>
        <v>103.8</v>
      </c>
      <c r="AM3" s="63"/>
      <c r="AN3" s="59">
        <f>10*Umrechnungsfaktoren!$B$15/Umrechnungsfaktoren!$B$12</f>
        <v>10.38</v>
      </c>
      <c r="AO3" s="19">
        <f>15*Umrechnungsfaktoren!$B$15/Umrechnungsfaktoren!$B$12</f>
        <v>15.57</v>
      </c>
      <c r="AP3" s="64"/>
      <c r="AQ3" s="64"/>
      <c r="AR3" s="64"/>
      <c r="AS3" s="64"/>
      <c r="AT3" s="64"/>
      <c r="AU3" s="63"/>
      <c r="AV3" s="63"/>
      <c r="AW3" s="58"/>
      <c r="AX3" s="58">
        <v>11</v>
      </c>
      <c r="AY3" s="58"/>
      <c r="AZ3" s="65">
        <v>12</v>
      </c>
      <c r="BA3" s="58">
        <v>12</v>
      </c>
      <c r="BB3" s="65"/>
      <c r="BC3" s="65"/>
      <c r="BD3" s="65">
        <v>12</v>
      </c>
      <c r="BE3" s="65">
        <v>12</v>
      </c>
      <c r="BF3" s="58">
        <v>12</v>
      </c>
      <c r="BG3" s="65"/>
      <c r="BH3" s="65">
        <v>11</v>
      </c>
      <c r="BI3" s="58"/>
      <c r="BJ3" s="58">
        <v>11</v>
      </c>
      <c r="BK3" s="58"/>
      <c r="BL3" s="58"/>
      <c r="BM3" s="58">
        <v>12</v>
      </c>
      <c r="BN3" s="58">
        <v>12</v>
      </c>
      <c r="BO3" s="58">
        <v>12</v>
      </c>
      <c r="BP3" s="58"/>
      <c r="BQ3" s="58"/>
      <c r="BR3" s="58"/>
      <c r="BS3" s="58"/>
      <c r="BT3" s="58"/>
    </row>
    <row r="4" spans="1:72" x14ac:dyDescent="0.2">
      <c r="A4" s="58" t="s">
        <v>862</v>
      </c>
      <c r="B4" s="58" t="s">
        <v>142</v>
      </c>
      <c r="C4" s="1">
        <v>2023</v>
      </c>
      <c r="D4" s="58">
        <v>1</v>
      </c>
      <c r="E4" s="58">
        <v>0</v>
      </c>
      <c r="F4" s="1">
        <v>0</v>
      </c>
      <c r="G4" s="59"/>
      <c r="H4" s="59"/>
      <c r="I4" s="59">
        <f>5*10^6*0.002</f>
        <v>10000</v>
      </c>
      <c r="J4" s="59"/>
      <c r="K4" s="59"/>
      <c r="L4" s="59"/>
      <c r="M4" s="59">
        <f>5*10^6*0.002</f>
        <v>10000</v>
      </c>
      <c r="N4" s="59"/>
      <c r="O4" s="60"/>
      <c r="P4" s="61"/>
      <c r="Q4" s="61">
        <f>Tabelle5897111728[[#This Row],[Vollbenutzungsstunden h/a]]/8760</f>
        <v>0.22831050228310501</v>
      </c>
      <c r="R4" s="60">
        <v>2000</v>
      </c>
      <c r="S4" s="60">
        <f>150000*0.002</f>
        <v>300</v>
      </c>
      <c r="T4" s="59">
        <f>20*10^6*0.002</f>
        <v>40000</v>
      </c>
      <c r="U4" s="62"/>
      <c r="V4" s="59"/>
      <c r="W4" s="63">
        <f t="shared" si="0"/>
        <v>1.6666666666666666E-2</v>
      </c>
      <c r="X4" s="63"/>
      <c r="Y4" s="63"/>
      <c r="Z4" s="58"/>
      <c r="AA4" s="58"/>
      <c r="AB4" s="58"/>
      <c r="AC4" s="58"/>
      <c r="AD4" s="58"/>
      <c r="AE4" s="58"/>
      <c r="AF4" s="1">
        <v>48</v>
      </c>
      <c r="AG4" s="58"/>
      <c r="AH4" s="58"/>
      <c r="AI4" s="63">
        <v>7</v>
      </c>
      <c r="AJ4" s="58"/>
      <c r="AK4" s="64">
        <v>0</v>
      </c>
      <c r="AL4" s="64">
        <v>0</v>
      </c>
      <c r="AM4" s="63"/>
      <c r="AN4" s="19">
        <f>10*Umrechnungsfaktoren!$B$15/Umrechnungsfaktoren!$B$12</f>
        <v>10.38</v>
      </c>
      <c r="AO4" s="19">
        <f>30*Umrechnungsfaktoren!$B$15/Umrechnungsfaktoren!$B$12</f>
        <v>31.14</v>
      </c>
      <c r="AP4" s="64"/>
      <c r="AQ4" s="64"/>
      <c r="AR4" s="64"/>
      <c r="AS4" s="64"/>
      <c r="AT4" s="64"/>
      <c r="AU4" s="63"/>
      <c r="AV4" s="63"/>
      <c r="AW4" s="58"/>
      <c r="AX4" s="58">
        <v>15</v>
      </c>
      <c r="AY4" s="58"/>
      <c r="AZ4" s="65">
        <v>16</v>
      </c>
      <c r="BA4" s="65">
        <v>16</v>
      </c>
      <c r="BB4" s="65"/>
      <c r="BC4" s="65"/>
      <c r="BD4" s="65">
        <v>16</v>
      </c>
      <c r="BE4" s="65">
        <v>16</v>
      </c>
      <c r="BF4" s="65">
        <v>16</v>
      </c>
      <c r="BG4" s="65"/>
      <c r="BH4" s="65">
        <v>16</v>
      </c>
      <c r="BI4" s="58"/>
      <c r="BJ4" s="58">
        <v>16</v>
      </c>
      <c r="BK4" s="58"/>
      <c r="BL4" s="58"/>
      <c r="BM4" s="58">
        <v>16</v>
      </c>
      <c r="BN4" s="58">
        <v>15</v>
      </c>
      <c r="BO4" s="58">
        <v>15</v>
      </c>
      <c r="BP4" s="58"/>
      <c r="BQ4" s="58"/>
      <c r="BR4" s="58"/>
      <c r="BS4" s="58"/>
      <c r="BT4" s="58"/>
    </row>
    <row r="5" spans="1:72" x14ac:dyDescent="0.2">
      <c r="A5" s="58" t="s">
        <v>862</v>
      </c>
      <c r="B5" s="58" t="s">
        <v>142</v>
      </c>
      <c r="C5" s="58">
        <v>2050</v>
      </c>
      <c r="D5" s="58">
        <v>1</v>
      </c>
      <c r="E5" s="58">
        <v>0</v>
      </c>
      <c r="F5" s="1">
        <v>0</v>
      </c>
      <c r="G5" s="59"/>
      <c r="H5" s="59"/>
      <c r="I5" s="59">
        <f>5*10^6*0.002</f>
        <v>10000</v>
      </c>
      <c r="J5" s="59"/>
      <c r="K5" s="59"/>
      <c r="L5" s="59"/>
      <c r="M5" s="59">
        <f>5*10^6*0.002</f>
        <v>10000</v>
      </c>
      <c r="N5" s="59"/>
      <c r="O5" s="60"/>
      <c r="P5" s="61"/>
      <c r="Q5" s="61">
        <f>Tabelle5897111728[[#This Row],[Vollbenutzungsstunden h/a]]/8760</f>
        <v>0.22831050228310501</v>
      </c>
      <c r="R5" s="60">
        <v>2000</v>
      </c>
      <c r="S5" s="60">
        <f>400000*0.002</f>
        <v>800</v>
      </c>
      <c r="T5" s="59">
        <f>20*10^6*0.002</f>
        <v>40000</v>
      </c>
      <c r="U5" s="62"/>
      <c r="V5" s="59"/>
      <c r="W5" s="63">
        <f t="shared" si="0"/>
        <v>1.6666666666666666E-2</v>
      </c>
      <c r="X5" s="63"/>
      <c r="Y5" s="63"/>
      <c r="Z5" s="58"/>
      <c r="AA5" s="58"/>
      <c r="AB5" s="58"/>
      <c r="AC5" s="58"/>
      <c r="AD5" s="58"/>
      <c r="AE5" s="58"/>
      <c r="AF5" s="1">
        <v>48</v>
      </c>
      <c r="AG5" s="58"/>
      <c r="AH5" s="58"/>
      <c r="AI5" s="63">
        <v>7</v>
      </c>
      <c r="AJ5" s="58"/>
      <c r="AK5" s="64">
        <v>0</v>
      </c>
      <c r="AL5" s="64">
        <v>0</v>
      </c>
      <c r="AM5" s="63"/>
      <c r="AN5" s="59">
        <f>10*Umrechnungsfaktoren!$B$15/Umrechnungsfaktoren!$B$12</f>
        <v>10.38</v>
      </c>
      <c r="AO5" s="19">
        <f>15*Umrechnungsfaktoren!$B$15/Umrechnungsfaktoren!$B$12</f>
        <v>15.57</v>
      </c>
      <c r="AP5" s="64"/>
      <c r="AQ5" s="64"/>
      <c r="AR5" s="64"/>
      <c r="AS5" s="64"/>
      <c r="AT5" s="64"/>
      <c r="AU5" s="63"/>
      <c r="AV5" s="63"/>
      <c r="AW5" s="58"/>
      <c r="AX5" s="58">
        <v>15</v>
      </c>
      <c r="AY5" s="58"/>
      <c r="AZ5" s="65">
        <v>16</v>
      </c>
      <c r="BA5" s="65">
        <v>16</v>
      </c>
      <c r="BB5" s="65"/>
      <c r="BC5" s="65"/>
      <c r="BD5" s="65">
        <v>16</v>
      </c>
      <c r="BE5" s="65">
        <v>16</v>
      </c>
      <c r="BF5" s="65">
        <v>16</v>
      </c>
      <c r="BG5" s="65"/>
      <c r="BH5" s="65">
        <v>16</v>
      </c>
      <c r="BI5" s="58"/>
      <c r="BJ5" s="58">
        <v>16</v>
      </c>
      <c r="BK5" s="58"/>
      <c r="BL5" s="58"/>
      <c r="BM5" s="58">
        <v>16</v>
      </c>
      <c r="BN5" s="58">
        <v>15</v>
      </c>
      <c r="BO5" s="58">
        <v>15</v>
      </c>
      <c r="BP5" s="58"/>
      <c r="BQ5" s="58"/>
      <c r="BR5" s="58"/>
      <c r="BS5" s="58"/>
      <c r="BT5" s="58"/>
    </row>
    <row r="6" spans="1:72" x14ac:dyDescent="0.2">
      <c r="A6" s="58" t="s">
        <v>861</v>
      </c>
      <c r="B6" s="58" t="s">
        <v>129</v>
      </c>
      <c r="C6" s="1">
        <v>2023</v>
      </c>
      <c r="D6" s="58">
        <v>1</v>
      </c>
      <c r="E6" s="58">
        <v>0</v>
      </c>
      <c r="F6" s="1">
        <v>0</v>
      </c>
      <c r="G6" s="59"/>
      <c r="H6" s="59"/>
      <c r="I6" s="59">
        <f>4300+4700</f>
        <v>9000</v>
      </c>
      <c r="J6" s="59"/>
      <c r="K6" s="59"/>
      <c r="L6" s="59"/>
      <c r="M6" s="59">
        <f>4300+4700</f>
        <v>9000</v>
      </c>
      <c r="N6" s="59"/>
      <c r="O6" s="60"/>
      <c r="P6" s="61"/>
      <c r="Q6" s="61"/>
      <c r="R6" s="60"/>
      <c r="S6" s="60"/>
      <c r="T6" s="59">
        <f>39000+9400</f>
        <v>48400</v>
      </c>
      <c r="U6" s="62"/>
      <c r="V6" s="59"/>
      <c r="W6" s="63">
        <f t="shared" si="0"/>
        <v>1.6666666666666666E-2</v>
      </c>
      <c r="X6" s="63"/>
      <c r="Y6" s="63"/>
      <c r="Z6" s="58"/>
      <c r="AA6" s="58"/>
      <c r="AB6" s="58"/>
      <c r="AC6" s="58"/>
      <c r="AD6" s="58"/>
      <c r="AE6" s="58"/>
      <c r="AF6" s="1">
        <v>48</v>
      </c>
      <c r="AG6" s="58"/>
      <c r="AH6" s="58"/>
      <c r="AI6" s="63"/>
      <c r="AJ6" s="58"/>
      <c r="AK6" s="19">
        <f>40*Umrechnungsfaktoren!$B$15/Umrechnungsfaktoren!$B$12</f>
        <v>41.52</v>
      </c>
      <c r="AL6" s="64">
        <f>100*Umrechnungsfaktoren!$B$15/Umrechnungsfaktoren!$B$12</f>
        <v>103.8</v>
      </c>
      <c r="AM6" s="63"/>
      <c r="AN6" s="19"/>
      <c r="AO6" s="19"/>
      <c r="AP6" s="64"/>
      <c r="AQ6" s="64"/>
      <c r="AR6" s="64"/>
      <c r="AS6" s="64"/>
      <c r="AT6" s="64"/>
      <c r="AU6" s="63">
        <f>10*Umrechnungsfaktoren!$B$15/Umrechnungsfaktoren!$B$12</f>
        <v>10.38</v>
      </c>
      <c r="AV6" s="63"/>
      <c r="AW6" s="58"/>
      <c r="AX6" s="58">
        <v>26</v>
      </c>
      <c r="AY6" s="58"/>
      <c r="AZ6" s="65">
        <v>28</v>
      </c>
      <c r="BA6" s="65">
        <v>28</v>
      </c>
      <c r="BB6" s="65"/>
      <c r="BC6" s="65"/>
      <c r="BD6" s="65"/>
      <c r="BE6" s="65"/>
      <c r="BF6" s="58">
        <v>28</v>
      </c>
      <c r="BG6" s="65"/>
      <c r="BH6" s="65">
        <v>27</v>
      </c>
      <c r="BI6" s="58"/>
      <c r="BJ6" s="65">
        <v>27</v>
      </c>
      <c r="BK6" s="58"/>
      <c r="BL6" s="58"/>
      <c r="BM6" s="65">
        <v>28</v>
      </c>
      <c r="BN6" s="58">
        <v>27</v>
      </c>
      <c r="BO6" s="58"/>
      <c r="BP6" s="58"/>
      <c r="BQ6" s="58">
        <v>27</v>
      </c>
      <c r="BR6" s="58"/>
      <c r="BS6" s="58"/>
      <c r="BT6" s="58"/>
    </row>
    <row r="7" spans="1:72" x14ac:dyDescent="0.2">
      <c r="A7" s="58" t="s">
        <v>861</v>
      </c>
      <c r="B7" s="58" t="s">
        <v>129</v>
      </c>
      <c r="C7" s="58">
        <v>2050</v>
      </c>
      <c r="D7" s="58">
        <v>1</v>
      </c>
      <c r="E7" s="58">
        <v>0</v>
      </c>
      <c r="F7" s="1">
        <v>0</v>
      </c>
      <c r="G7" s="59"/>
      <c r="H7" s="59"/>
      <c r="I7" s="59">
        <f>4300+4700</f>
        <v>9000</v>
      </c>
      <c r="J7" s="59"/>
      <c r="K7" s="59"/>
      <c r="L7" s="59"/>
      <c r="M7" s="59">
        <f>4300+4700</f>
        <v>9000</v>
      </c>
      <c r="N7" s="59"/>
      <c r="O7" s="60"/>
      <c r="P7" s="61"/>
      <c r="Q7" s="61"/>
      <c r="R7" s="60"/>
      <c r="S7" s="60"/>
      <c r="T7" s="59">
        <f>39000+9400</f>
        <v>48400</v>
      </c>
      <c r="U7" s="62"/>
      <c r="V7" s="59"/>
      <c r="W7" s="63">
        <f t="shared" si="0"/>
        <v>1.6666666666666666E-2</v>
      </c>
      <c r="X7" s="63"/>
      <c r="Y7" s="63"/>
      <c r="Z7" s="58"/>
      <c r="AA7" s="58"/>
      <c r="AB7" s="58"/>
      <c r="AC7" s="58"/>
      <c r="AD7" s="58"/>
      <c r="AE7" s="58"/>
      <c r="AF7" s="1">
        <v>48</v>
      </c>
      <c r="AG7" s="58"/>
      <c r="AH7" s="58"/>
      <c r="AI7" s="63"/>
      <c r="AJ7" s="58"/>
      <c r="AK7" s="19">
        <f>40*Umrechnungsfaktoren!$B$15/Umrechnungsfaktoren!$B$12</f>
        <v>41.52</v>
      </c>
      <c r="AL7" s="64">
        <f>100*Umrechnungsfaktoren!$B$15/Umrechnungsfaktoren!$B$12</f>
        <v>103.8</v>
      </c>
      <c r="AM7" s="63"/>
      <c r="AN7" s="59"/>
      <c r="AO7" s="19"/>
      <c r="AP7" s="64"/>
      <c r="AQ7" s="64"/>
      <c r="AR7" s="64"/>
      <c r="AS7" s="64"/>
      <c r="AT7" s="64"/>
      <c r="AU7" s="63">
        <f>10*Umrechnungsfaktoren!$B$15/Umrechnungsfaktoren!$B$12</f>
        <v>10.38</v>
      </c>
      <c r="AV7" s="63"/>
      <c r="AW7" s="58"/>
      <c r="AX7" s="58">
        <v>26</v>
      </c>
      <c r="AY7" s="58"/>
      <c r="AZ7" s="65">
        <v>28</v>
      </c>
      <c r="BA7" s="65">
        <v>28</v>
      </c>
      <c r="BB7" s="65"/>
      <c r="BC7" s="65"/>
      <c r="BD7" s="65"/>
      <c r="BE7" s="65"/>
      <c r="BF7" s="58">
        <v>28</v>
      </c>
      <c r="BG7" s="65"/>
      <c r="BH7" s="65">
        <v>27</v>
      </c>
      <c r="BI7" s="58"/>
      <c r="BJ7" s="65">
        <v>27</v>
      </c>
      <c r="BK7" s="58"/>
      <c r="BL7" s="58"/>
      <c r="BM7" s="65">
        <v>28</v>
      </c>
      <c r="BN7" s="58">
        <v>27</v>
      </c>
      <c r="BO7" s="58"/>
      <c r="BP7" s="58"/>
      <c r="BQ7" s="58">
        <v>27</v>
      </c>
      <c r="BR7" s="58"/>
      <c r="BS7" s="58"/>
      <c r="BT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BG65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F9" sqref="A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4" width="20.7109375" style="1" bestFit="1" customWidth="1"/>
    <col min="25" max="25" width="20.7109375" style="1" customWidth="1"/>
    <col min="26" max="26" width="25.85546875" style="1" bestFit="1" customWidth="1"/>
    <col min="27" max="27" width="29.7109375" style="1" bestFit="1" customWidth="1"/>
    <col min="28" max="28" width="24" style="1" bestFit="1" customWidth="1"/>
    <col min="29" max="29" width="38.28515625" style="1" bestFit="1" customWidth="1"/>
    <col min="30" max="31" width="38.28515625" style="1" customWidth="1"/>
    <col min="32" max="32" width="38.28515625" style="1" bestFit="1" customWidth="1"/>
    <col min="33" max="33" width="33.42578125" style="1" bestFit="1" customWidth="1"/>
    <col min="34" max="34" width="25.7109375" style="1" bestFit="1" customWidth="1"/>
    <col min="35" max="35" width="25.7109375" style="1" customWidth="1"/>
    <col min="36" max="40" width="35.5703125" style="1" customWidth="1"/>
    <col min="41" max="41" width="31.7109375" style="1" bestFit="1" customWidth="1"/>
    <col min="42" max="42" width="31.5703125" style="1" bestFit="1" customWidth="1"/>
    <col min="43" max="46" width="31.5703125" style="1" customWidth="1"/>
    <col min="47" max="47" width="37.42578125" style="1" bestFit="1" customWidth="1"/>
    <col min="48" max="48" width="35.7109375" style="1" bestFit="1" customWidth="1"/>
    <col min="49" max="49" width="28.85546875" style="1" bestFit="1" customWidth="1"/>
    <col min="50" max="50" width="34" style="1" bestFit="1" customWidth="1"/>
    <col min="51" max="51" width="37.85546875" style="1" bestFit="1" customWidth="1"/>
    <col min="52" max="52" width="34.42578125" style="1" bestFit="1" customWidth="1"/>
    <col min="53" max="53" width="38.140625" style="1" bestFit="1" customWidth="1"/>
    <col min="54" max="54" width="22.85546875" style="1" bestFit="1" customWidth="1"/>
    <col min="55" max="55" width="28.5703125" style="1" bestFit="1" customWidth="1"/>
    <col min="56" max="56" width="28.28515625" style="1" bestFit="1" customWidth="1"/>
    <col min="57" max="57" width="28.28515625" style="1" customWidth="1"/>
    <col min="58" max="58" width="31" style="1" bestFit="1" customWidth="1"/>
    <col min="59" max="59" width="28.85546875" style="1" bestFit="1" customWidth="1"/>
    <col min="60" max="16384" width="11.42578125" style="1"/>
  </cols>
  <sheetData>
    <row r="1" spans="1:59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844</v>
      </c>
      <c r="H1" s="2" t="s">
        <v>49</v>
      </c>
      <c r="I1" s="2" t="s">
        <v>149</v>
      </c>
      <c r="J1" s="2" t="s">
        <v>50</v>
      </c>
      <c r="K1" s="2" t="s">
        <v>1174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562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159</v>
      </c>
      <c r="Y1" s="2" t="s">
        <v>1173</v>
      </c>
      <c r="Z1" s="2" t="s">
        <v>3</v>
      </c>
      <c r="AA1" s="2" t="s">
        <v>10</v>
      </c>
      <c r="AB1" s="2" t="s">
        <v>16</v>
      </c>
      <c r="AC1" s="2" t="s">
        <v>4</v>
      </c>
      <c r="AD1" s="2" t="s">
        <v>99</v>
      </c>
      <c r="AE1" s="2" t="s">
        <v>1122</v>
      </c>
      <c r="AF1" s="2" t="s">
        <v>12</v>
      </c>
      <c r="AG1" s="2" t="s">
        <v>232</v>
      </c>
      <c r="AH1" s="2" t="s">
        <v>15</v>
      </c>
      <c r="AI1" s="2" t="s">
        <v>147</v>
      </c>
      <c r="AJ1" s="2" t="s">
        <v>22</v>
      </c>
      <c r="AK1" s="2" t="s">
        <v>917</v>
      </c>
      <c r="AL1" s="2" t="s">
        <v>164</v>
      </c>
      <c r="AM1" s="2" t="s">
        <v>165</v>
      </c>
      <c r="AN1" s="2" t="s">
        <v>880</v>
      </c>
      <c r="AO1" s="2" t="s">
        <v>1</v>
      </c>
      <c r="AP1" s="2" t="s">
        <v>2</v>
      </c>
      <c r="AQ1" s="2" t="s">
        <v>59</v>
      </c>
      <c r="AR1" s="2" t="s">
        <v>1161</v>
      </c>
      <c r="AS1" s="2" t="s">
        <v>117</v>
      </c>
      <c r="AT1" s="2" t="s">
        <v>60</v>
      </c>
      <c r="AU1" s="2" t="s">
        <v>61</v>
      </c>
      <c r="AV1" s="2" t="s">
        <v>98</v>
      </c>
      <c r="AW1" s="2" t="s">
        <v>5</v>
      </c>
      <c r="AX1" s="2" t="s">
        <v>6</v>
      </c>
      <c r="AY1" s="2" t="s">
        <v>17</v>
      </c>
      <c r="AZ1" s="2" t="s">
        <v>18</v>
      </c>
      <c r="BA1" s="2" t="s">
        <v>7</v>
      </c>
      <c r="BB1" s="2" t="s">
        <v>19</v>
      </c>
      <c r="BC1" s="2" t="s">
        <v>20</v>
      </c>
      <c r="BD1" s="2" t="s">
        <v>21</v>
      </c>
      <c r="BE1" s="2" t="s">
        <v>148</v>
      </c>
      <c r="BF1" s="2" t="s">
        <v>23</v>
      </c>
      <c r="BG1" s="2" t="s">
        <v>51</v>
      </c>
    </row>
    <row r="2" spans="1:59" x14ac:dyDescent="0.2">
      <c r="A2" s="6" t="s">
        <v>29</v>
      </c>
      <c r="B2" s="1" t="s">
        <v>129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8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/>
      <c r="X2" s="6">
        <v>4</v>
      </c>
      <c r="Y2" s="6"/>
      <c r="Z2" s="6"/>
      <c r="AA2" s="6"/>
      <c r="AB2" s="6"/>
      <c r="AC2" s="6"/>
      <c r="AD2" s="6">
        <v>40</v>
      </c>
      <c r="AE2" s="6"/>
      <c r="AF2" s="6"/>
      <c r="AG2" s="6"/>
      <c r="AH2" s="6"/>
      <c r="AI2" s="6"/>
      <c r="AJ2" s="6"/>
      <c r="AK2" s="6"/>
      <c r="AL2" s="87" t="s">
        <v>1139</v>
      </c>
      <c r="AM2" s="87" t="s">
        <v>1139</v>
      </c>
      <c r="AN2" s="6">
        <v>69</v>
      </c>
      <c r="AO2" s="14" t="s">
        <v>64</v>
      </c>
      <c r="AP2" s="6"/>
      <c r="AQ2" s="14" t="s">
        <v>67</v>
      </c>
      <c r="AR2" s="14" t="s">
        <v>108</v>
      </c>
      <c r="AS2" s="14" t="s">
        <v>67</v>
      </c>
      <c r="AT2" s="14" t="s">
        <v>67</v>
      </c>
      <c r="AU2" s="14" t="s">
        <v>67</v>
      </c>
      <c r="AV2" s="14"/>
      <c r="AW2" s="6">
        <v>69</v>
      </c>
      <c r="AX2" s="6"/>
      <c r="AY2" s="6"/>
      <c r="AZ2" s="6"/>
      <c r="BA2" s="6">
        <v>69</v>
      </c>
      <c r="BB2" s="6"/>
      <c r="BC2" s="6"/>
      <c r="BD2" s="6"/>
      <c r="BE2" s="6"/>
      <c r="BF2" s="6"/>
      <c r="BG2" s="6"/>
    </row>
    <row r="3" spans="1:59" x14ac:dyDescent="0.2">
      <c r="A3" s="1" t="s">
        <v>29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8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X3" s="1">
        <v>4</v>
      </c>
      <c r="AD3" s="1">
        <v>40</v>
      </c>
      <c r="AL3" s="87" t="s">
        <v>1139</v>
      </c>
      <c r="AM3" s="87" t="s">
        <v>1139</v>
      </c>
      <c r="AO3" s="13" t="s">
        <v>64</v>
      </c>
      <c r="AQ3" s="13" t="s">
        <v>67</v>
      </c>
      <c r="AR3" s="13" t="s">
        <v>108</v>
      </c>
      <c r="AS3" s="13" t="s">
        <v>67</v>
      </c>
      <c r="AT3" s="13" t="s">
        <v>67</v>
      </c>
      <c r="AU3" s="13" t="s">
        <v>67</v>
      </c>
      <c r="AV3" s="13"/>
      <c r="AW3" s="1">
        <v>69</v>
      </c>
      <c r="BA3" s="1">
        <v>69</v>
      </c>
    </row>
    <row r="4" spans="1:59" x14ac:dyDescent="0.2">
      <c r="A4" s="6" t="s">
        <v>53</v>
      </c>
      <c r="B4" s="1" t="s">
        <v>129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8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/>
      <c r="X4" s="6">
        <v>4</v>
      </c>
      <c r="Y4" s="6"/>
      <c r="Z4" s="6"/>
      <c r="AA4" s="6"/>
      <c r="AB4" s="6"/>
      <c r="AC4" s="6"/>
      <c r="AD4" s="6">
        <v>40</v>
      </c>
      <c r="AE4" s="6"/>
      <c r="AF4" s="6"/>
      <c r="AG4" s="6"/>
      <c r="AH4" s="6"/>
      <c r="AI4" s="6"/>
      <c r="AJ4" s="6"/>
      <c r="AK4" s="6"/>
      <c r="AL4" s="87" t="s">
        <v>1139</v>
      </c>
      <c r="AM4" s="87" t="s">
        <v>1139</v>
      </c>
      <c r="AN4" s="6">
        <v>69</v>
      </c>
      <c r="AO4" s="14" t="s">
        <v>65</v>
      </c>
      <c r="AP4" s="6"/>
      <c r="AQ4" s="14" t="s">
        <v>68</v>
      </c>
      <c r="AR4" s="14" t="s">
        <v>108</v>
      </c>
      <c r="AS4" s="14" t="s">
        <v>68</v>
      </c>
      <c r="AT4" s="14" t="s">
        <v>68</v>
      </c>
      <c r="AU4" s="14" t="s">
        <v>68</v>
      </c>
      <c r="AV4" s="14"/>
      <c r="AW4" s="6">
        <v>69</v>
      </c>
      <c r="AX4" s="6"/>
      <c r="AY4" s="6"/>
      <c r="AZ4" s="6"/>
      <c r="BA4" s="6">
        <v>69</v>
      </c>
      <c r="BB4" s="6"/>
      <c r="BC4" s="6"/>
      <c r="BD4" s="6"/>
      <c r="BE4" s="6"/>
      <c r="BF4" s="6"/>
      <c r="BG4" s="6"/>
    </row>
    <row r="5" spans="1:59" x14ac:dyDescent="0.2">
      <c r="A5" s="1" t="s">
        <v>41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8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X5" s="1">
        <v>4</v>
      </c>
      <c r="AD5" s="1">
        <v>40</v>
      </c>
      <c r="AL5" s="87" t="s">
        <v>1139</v>
      </c>
      <c r="AM5" s="87" t="s">
        <v>1139</v>
      </c>
      <c r="AO5" s="13" t="s">
        <v>73</v>
      </c>
      <c r="AQ5" s="13" t="s">
        <v>73</v>
      </c>
      <c r="AR5" s="13" t="s">
        <v>108</v>
      </c>
      <c r="AS5" s="13" t="s">
        <v>73</v>
      </c>
      <c r="AT5" s="13" t="s">
        <v>73</v>
      </c>
      <c r="AU5" s="13" t="s">
        <v>73</v>
      </c>
      <c r="AV5" s="13"/>
      <c r="AW5" s="1">
        <v>69</v>
      </c>
      <c r="BA5" s="1">
        <v>69</v>
      </c>
    </row>
    <row r="6" spans="1:59" x14ac:dyDescent="0.2">
      <c r="A6" s="6" t="s">
        <v>54</v>
      </c>
      <c r="B6" s="1" t="s">
        <v>129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8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6"/>
      <c r="X6" s="108"/>
      <c r="Y6" s="6">
        <v>4</v>
      </c>
      <c r="Z6" s="6"/>
      <c r="AA6" s="6"/>
      <c r="AB6" s="6"/>
      <c r="AC6" s="6"/>
      <c r="AD6" s="6"/>
      <c r="AE6" s="6">
        <v>40</v>
      </c>
      <c r="AF6" s="6"/>
      <c r="AG6" s="6"/>
      <c r="AH6" s="6"/>
      <c r="AI6" s="6"/>
      <c r="AJ6" s="6"/>
      <c r="AK6" s="6"/>
      <c r="AL6" s="87" t="s">
        <v>1139</v>
      </c>
      <c r="AM6" s="87" t="s">
        <v>1139</v>
      </c>
      <c r="AN6" s="6">
        <v>69</v>
      </c>
      <c r="AO6" s="14" t="s">
        <v>69</v>
      </c>
      <c r="AP6" s="6"/>
      <c r="AQ6" s="14" t="s">
        <v>70</v>
      </c>
      <c r="AR6" s="14" t="s">
        <v>108</v>
      </c>
      <c r="AS6" s="14" t="s">
        <v>70</v>
      </c>
      <c r="AT6" s="14" t="s">
        <v>70</v>
      </c>
      <c r="AU6" s="14" t="s">
        <v>70</v>
      </c>
      <c r="AV6" s="14"/>
      <c r="AW6" s="6">
        <v>69</v>
      </c>
      <c r="AX6" s="6"/>
      <c r="AY6" s="6"/>
      <c r="AZ6" s="6"/>
      <c r="BA6" s="6">
        <v>69</v>
      </c>
      <c r="BB6" s="6"/>
      <c r="BC6" s="6"/>
      <c r="BD6" s="6"/>
      <c r="BE6" s="6"/>
      <c r="BF6" s="6"/>
      <c r="BG6" s="6" t="s">
        <v>52</v>
      </c>
    </row>
    <row r="7" spans="1:59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8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X7" s="108"/>
      <c r="Y7" s="1">
        <v>4</v>
      </c>
      <c r="AE7" s="1">
        <v>40</v>
      </c>
      <c r="AL7" s="87" t="s">
        <v>1139</v>
      </c>
      <c r="AM7" s="87" t="s">
        <v>1139</v>
      </c>
      <c r="AO7" s="13" t="s">
        <v>69</v>
      </c>
      <c r="AQ7" s="13" t="s">
        <v>70</v>
      </c>
      <c r="AR7" s="13" t="s">
        <v>108</v>
      </c>
      <c r="AS7" s="13" t="s">
        <v>70</v>
      </c>
      <c r="AT7" s="13" t="s">
        <v>70</v>
      </c>
      <c r="AU7" s="13" t="s">
        <v>70</v>
      </c>
      <c r="AV7" s="13"/>
      <c r="AW7" s="1">
        <v>69</v>
      </c>
      <c r="BA7" s="1">
        <v>69</v>
      </c>
      <c r="BG7" s="1" t="s">
        <v>52</v>
      </c>
    </row>
    <row r="8" spans="1:59" x14ac:dyDescent="0.2">
      <c r="A8" s="6" t="s">
        <v>72</v>
      </c>
      <c r="B8" s="1" t="s">
        <v>129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8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6"/>
      <c r="X8" s="108"/>
      <c r="Y8" s="6">
        <v>4</v>
      </c>
      <c r="Z8" s="6"/>
      <c r="AA8" s="6"/>
      <c r="AB8" s="6"/>
      <c r="AC8" s="6"/>
      <c r="AD8" s="6"/>
      <c r="AE8" s="6">
        <v>40</v>
      </c>
      <c r="AF8" s="6"/>
      <c r="AG8" s="6"/>
      <c r="AH8" s="6"/>
      <c r="AI8" s="6"/>
      <c r="AJ8" s="6" t="s">
        <v>74</v>
      </c>
      <c r="AK8" s="6"/>
      <c r="AL8" s="87" t="s">
        <v>1139</v>
      </c>
      <c r="AM8" s="87" t="s">
        <v>1139</v>
      </c>
      <c r="AN8" s="6"/>
      <c r="AO8" s="14" t="s">
        <v>66</v>
      </c>
      <c r="AP8" s="6"/>
      <c r="AQ8" s="14" t="s">
        <v>71</v>
      </c>
      <c r="AR8" s="14" t="s">
        <v>108</v>
      </c>
      <c r="AS8" s="14" t="s">
        <v>71</v>
      </c>
      <c r="AT8" s="14" t="s">
        <v>71</v>
      </c>
      <c r="AU8" s="14" t="s">
        <v>71</v>
      </c>
      <c r="AV8" s="14"/>
      <c r="AW8" s="6">
        <v>69</v>
      </c>
      <c r="AX8" s="6"/>
      <c r="AY8" s="6"/>
      <c r="AZ8" s="6"/>
      <c r="BA8" s="6">
        <v>69</v>
      </c>
      <c r="BB8" s="6"/>
      <c r="BC8" s="6"/>
      <c r="BD8" s="6"/>
      <c r="BE8" s="6"/>
      <c r="BF8" s="6">
        <v>58</v>
      </c>
      <c r="BG8" s="6"/>
    </row>
    <row r="9" spans="1:59" x14ac:dyDescent="0.2">
      <c r="A9" s="1" t="s">
        <v>72</v>
      </c>
      <c r="B9" s="1" t="s">
        <v>129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8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X9" s="108"/>
      <c r="Y9" s="1">
        <v>4</v>
      </c>
      <c r="AE9" s="1">
        <v>40</v>
      </c>
      <c r="AJ9" s="1" t="s">
        <v>74</v>
      </c>
      <c r="AL9" s="87" t="s">
        <v>1139</v>
      </c>
      <c r="AM9" s="87" t="s">
        <v>1139</v>
      </c>
      <c r="AO9" s="13">
        <v>58</v>
      </c>
      <c r="AQ9" s="13" t="s">
        <v>75</v>
      </c>
      <c r="AR9" s="13" t="s">
        <v>108</v>
      </c>
      <c r="AS9" s="13" t="s">
        <v>75</v>
      </c>
      <c r="AT9" s="13" t="s">
        <v>75</v>
      </c>
      <c r="AU9" s="13" t="s">
        <v>75</v>
      </c>
      <c r="AV9" s="13"/>
      <c r="AW9" s="1">
        <v>69</v>
      </c>
      <c r="BA9" s="1">
        <v>69</v>
      </c>
      <c r="BF9" s="1">
        <v>58</v>
      </c>
    </row>
    <row r="10" spans="1:59" x14ac:dyDescent="0.2">
      <c r="A10" s="6" t="s">
        <v>76</v>
      </c>
      <c r="B10" s="1" t="s">
        <v>129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8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6"/>
      <c r="X10" s="108"/>
      <c r="Y10" s="6">
        <v>4</v>
      </c>
      <c r="Z10" s="6"/>
      <c r="AA10" s="6"/>
      <c r="AB10" s="6"/>
      <c r="AC10" s="6"/>
      <c r="AD10" s="6"/>
      <c r="AE10" s="6">
        <v>40</v>
      </c>
      <c r="AF10" s="6"/>
      <c r="AG10" s="6"/>
      <c r="AH10" s="6"/>
      <c r="AI10" s="6"/>
      <c r="AJ10" s="6" t="s">
        <v>74</v>
      </c>
      <c r="AK10" s="6"/>
      <c r="AL10" s="87" t="s">
        <v>1139</v>
      </c>
      <c r="AM10" s="87" t="s">
        <v>1139</v>
      </c>
      <c r="AN10" s="6"/>
      <c r="AO10" s="14" t="s">
        <v>66</v>
      </c>
      <c r="AP10" s="6"/>
      <c r="AQ10" s="14" t="s">
        <v>71</v>
      </c>
      <c r="AR10" s="14" t="s">
        <v>108</v>
      </c>
      <c r="AS10" s="14" t="s">
        <v>71</v>
      </c>
      <c r="AT10" s="14" t="s">
        <v>71</v>
      </c>
      <c r="AU10" s="14" t="s">
        <v>71</v>
      </c>
      <c r="AV10" s="14"/>
      <c r="AW10" s="6">
        <v>69</v>
      </c>
      <c r="AX10" s="6"/>
      <c r="AY10" s="6"/>
      <c r="AZ10" s="6"/>
      <c r="BA10" s="6">
        <v>69</v>
      </c>
      <c r="BB10" s="6"/>
      <c r="BC10" s="6"/>
      <c r="BD10" s="6"/>
      <c r="BE10" s="6"/>
      <c r="BF10" s="6">
        <v>58</v>
      </c>
      <c r="BG10" s="6"/>
    </row>
    <row r="11" spans="1:59" x14ac:dyDescent="0.2">
      <c r="A11" s="1" t="s">
        <v>76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8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X11" s="108"/>
      <c r="Y11" s="1">
        <v>4</v>
      </c>
      <c r="AE11" s="1">
        <v>40</v>
      </c>
      <c r="AJ11" s="1" t="s">
        <v>74</v>
      </c>
      <c r="AL11" s="87" t="s">
        <v>1139</v>
      </c>
      <c r="AM11" s="87" t="s">
        <v>1139</v>
      </c>
      <c r="AO11" s="13" t="s">
        <v>66</v>
      </c>
      <c r="AQ11" s="13" t="s">
        <v>75</v>
      </c>
      <c r="AR11" s="13" t="s">
        <v>108</v>
      </c>
      <c r="AS11" s="13" t="s">
        <v>75</v>
      </c>
      <c r="AT11" s="13" t="s">
        <v>75</v>
      </c>
      <c r="AU11" s="13" t="s">
        <v>75</v>
      </c>
      <c r="AV11" s="13"/>
      <c r="AW11" s="1">
        <v>69</v>
      </c>
      <c r="BA11" s="1">
        <v>69</v>
      </c>
      <c r="BF11" s="1">
        <v>58</v>
      </c>
    </row>
    <row r="12" spans="1:59" x14ac:dyDescent="0.2">
      <c r="A12" s="6" t="s">
        <v>77</v>
      </c>
      <c r="B12" s="1" t="s">
        <v>129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8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6"/>
      <c r="X12" s="108"/>
      <c r="Y12" s="6">
        <v>2</v>
      </c>
      <c r="Z12" s="6"/>
      <c r="AA12" s="6"/>
      <c r="AB12" s="6"/>
      <c r="AC12" s="6"/>
      <c r="AD12" s="6"/>
      <c r="AE12" s="6">
        <v>365</v>
      </c>
      <c r="AF12" s="6"/>
      <c r="AG12" s="6"/>
      <c r="AH12" s="6"/>
      <c r="AI12" s="6"/>
      <c r="AJ12" s="6"/>
      <c r="AK12" s="6"/>
      <c r="AL12" s="87" t="s">
        <v>1139</v>
      </c>
      <c r="AM12" s="87" t="s">
        <v>1139</v>
      </c>
      <c r="AN12" s="6">
        <v>69</v>
      </c>
      <c r="AO12" s="14" t="s">
        <v>78</v>
      </c>
      <c r="AP12" s="6"/>
      <c r="AQ12" s="14" t="s">
        <v>79</v>
      </c>
      <c r="AR12" s="14" t="s">
        <v>108</v>
      </c>
      <c r="AS12" s="14" t="s">
        <v>79</v>
      </c>
      <c r="AT12" s="14" t="s">
        <v>79</v>
      </c>
      <c r="AU12" s="14" t="s">
        <v>79</v>
      </c>
      <c r="AV12" s="14"/>
      <c r="AW12" s="6">
        <v>69</v>
      </c>
      <c r="AX12" s="6"/>
      <c r="AY12" s="6"/>
      <c r="AZ12" s="6"/>
      <c r="BA12" s="6">
        <v>69</v>
      </c>
      <c r="BB12" s="6"/>
      <c r="BC12" s="6"/>
      <c r="BD12" s="6"/>
      <c r="BE12" s="6"/>
      <c r="BF12" s="6"/>
      <c r="BG12" s="6"/>
    </row>
    <row r="13" spans="1:59" x14ac:dyDescent="0.2">
      <c r="A13" s="1" t="s">
        <v>77</v>
      </c>
      <c r="B13" s="1" t="s">
        <v>129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8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X13" s="108"/>
      <c r="Y13" s="1">
        <v>2</v>
      </c>
      <c r="AE13" s="1">
        <v>365</v>
      </c>
      <c r="AL13" s="87" t="s">
        <v>1139</v>
      </c>
      <c r="AM13" s="87" t="s">
        <v>1139</v>
      </c>
      <c r="AO13" s="13" t="s">
        <v>78</v>
      </c>
      <c r="AQ13" s="13" t="s">
        <v>79</v>
      </c>
      <c r="AR13" s="13" t="s">
        <v>108</v>
      </c>
      <c r="AS13" s="13" t="s">
        <v>79</v>
      </c>
      <c r="AT13" s="13" t="s">
        <v>79</v>
      </c>
      <c r="AU13" s="13" t="s">
        <v>79</v>
      </c>
      <c r="AV13" s="13"/>
      <c r="AW13" s="1">
        <v>69</v>
      </c>
      <c r="BA13" s="1">
        <v>69</v>
      </c>
    </row>
    <row r="14" spans="1:59" x14ac:dyDescent="0.2">
      <c r="A14" s="6" t="s">
        <v>80</v>
      </c>
      <c r="B14" s="1" t="s">
        <v>129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8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87" t="s">
        <v>1139</v>
      </c>
      <c r="AM14" s="87" t="s">
        <v>1139</v>
      </c>
      <c r="AN14" s="6"/>
      <c r="AO14" s="14" t="s">
        <v>95</v>
      </c>
      <c r="AP14" s="6"/>
      <c r="AQ14" s="14" t="s">
        <v>79</v>
      </c>
      <c r="AR14" s="14" t="s">
        <v>108</v>
      </c>
      <c r="AS14" s="14" t="s">
        <v>79</v>
      </c>
      <c r="AT14" s="14" t="s">
        <v>79</v>
      </c>
      <c r="AU14" s="14" t="s">
        <v>79</v>
      </c>
      <c r="AV14" s="14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</row>
    <row r="15" spans="1:59" x14ac:dyDescent="0.2">
      <c r="A15" s="1" t="s">
        <v>80</v>
      </c>
      <c r="B15" s="1" t="s">
        <v>129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8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L15" s="87" t="s">
        <v>1139</v>
      </c>
      <c r="AM15" s="87" t="s">
        <v>1139</v>
      </c>
      <c r="AO15" s="13" t="s">
        <v>78</v>
      </c>
      <c r="AQ15" s="13" t="s">
        <v>79</v>
      </c>
      <c r="AR15" s="13" t="s">
        <v>108</v>
      </c>
      <c r="AS15" s="13" t="s">
        <v>79</v>
      </c>
      <c r="AT15" s="13" t="s">
        <v>79</v>
      </c>
      <c r="AU15" s="13" t="s">
        <v>79</v>
      </c>
      <c r="AV15" s="13"/>
    </row>
    <row r="16" spans="1:59" x14ac:dyDescent="0.2">
      <c r="A16" s="6" t="s">
        <v>81</v>
      </c>
      <c r="B16" s="1" t="s">
        <v>129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8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87" t="s">
        <v>1139</v>
      </c>
      <c r="AM16" s="87" t="s">
        <v>1139</v>
      </c>
      <c r="AN16" s="6"/>
      <c r="AO16" s="14" t="s">
        <v>95</v>
      </c>
      <c r="AP16" s="6"/>
      <c r="AQ16" s="14" t="s">
        <v>79</v>
      </c>
      <c r="AR16" s="14" t="s">
        <v>108</v>
      </c>
      <c r="AS16" s="14" t="s">
        <v>79</v>
      </c>
      <c r="AT16" s="14" t="s">
        <v>79</v>
      </c>
      <c r="AU16" s="14" t="s">
        <v>79</v>
      </c>
      <c r="AV16" s="14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</row>
    <row r="17" spans="1:59" x14ac:dyDescent="0.2">
      <c r="A17" s="1" t="s">
        <v>81</v>
      </c>
      <c r="B17" s="1" t="s">
        <v>129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8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L17" s="87" t="s">
        <v>1139</v>
      </c>
      <c r="AM17" s="87" t="s">
        <v>1139</v>
      </c>
      <c r="AO17" s="13" t="s">
        <v>78</v>
      </c>
      <c r="AQ17" s="13" t="s">
        <v>79</v>
      </c>
      <c r="AR17" s="13" t="s">
        <v>108</v>
      </c>
      <c r="AS17" s="13" t="s">
        <v>79</v>
      </c>
      <c r="AT17" s="13" t="s">
        <v>79</v>
      </c>
      <c r="AU17" s="13" t="s">
        <v>79</v>
      </c>
      <c r="AV17" s="13"/>
    </row>
    <row r="18" spans="1:59" x14ac:dyDescent="0.2">
      <c r="A18" s="6" t="s">
        <v>82</v>
      </c>
      <c r="B18" s="1" t="s">
        <v>129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8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 t="s">
        <v>83</v>
      </c>
      <c r="AK18" s="6"/>
      <c r="AL18" s="87" t="s">
        <v>1139</v>
      </c>
      <c r="AM18" s="87" t="s">
        <v>1139</v>
      </c>
      <c r="AN18" s="6"/>
      <c r="AO18" s="14" t="s">
        <v>95</v>
      </c>
      <c r="AP18" s="6"/>
      <c r="AQ18" s="14" t="s">
        <v>79</v>
      </c>
      <c r="AR18" s="14" t="s">
        <v>108</v>
      </c>
      <c r="AS18" s="14" t="s">
        <v>79</v>
      </c>
      <c r="AT18" s="14" t="s">
        <v>79</v>
      </c>
      <c r="AU18" s="14" t="s">
        <v>79</v>
      </c>
      <c r="AV18" s="14"/>
      <c r="AW18" s="6">
        <v>69</v>
      </c>
      <c r="AX18" s="6"/>
      <c r="AY18" s="6"/>
      <c r="AZ18" s="6"/>
      <c r="BA18" s="6">
        <v>69</v>
      </c>
      <c r="BB18" s="6"/>
      <c r="BC18" s="6"/>
      <c r="BD18" s="6"/>
      <c r="BE18" s="6"/>
      <c r="BF18" s="6">
        <v>62</v>
      </c>
      <c r="BG18" s="6"/>
    </row>
    <row r="19" spans="1:59" x14ac:dyDescent="0.2">
      <c r="A19" s="1" t="s">
        <v>82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8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J19" s="1" t="s">
        <v>83</v>
      </c>
      <c r="AL19" s="87" t="s">
        <v>1139</v>
      </c>
      <c r="AM19" s="87" t="s">
        <v>1139</v>
      </c>
      <c r="AO19" s="13" t="s">
        <v>78</v>
      </c>
      <c r="AQ19" s="13" t="s">
        <v>79</v>
      </c>
      <c r="AR19" s="13" t="s">
        <v>108</v>
      </c>
      <c r="AS19" s="13" t="s">
        <v>79</v>
      </c>
      <c r="AT19" s="13" t="s">
        <v>79</v>
      </c>
      <c r="AU19" s="13" t="s">
        <v>79</v>
      </c>
      <c r="AV19" s="13"/>
      <c r="AW19" s="1">
        <v>69</v>
      </c>
      <c r="BA19" s="1">
        <v>69</v>
      </c>
      <c r="BF19" s="1">
        <v>62</v>
      </c>
    </row>
    <row r="20" spans="1:59" x14ac:dyDescent="0.2">
      <c r="A20" s="6" t="s">
        <v>84</v>
      </c>
      <c r="B20" s="1" t="s">
        <v>129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8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/>
      <c r="X20" s="6">
        <v>4</v>
      </c>
      <c r="Y20" s="6">
        <v>4</v>
      </c>
      <c r="Z20" s="6"/>
      <c r="AA20" s="6"/>
      <c r="AB20" s="6"/>
      <c r="AC20" s="6"/>
      <c r="AD20" s="6">
        <v>40</v>
      </c>
      <c r="AE20" s="6">
        <v>40</v>
      </c>
      <c r="AF20" s="6"/>
      <c r="AG20" s="6"/>
      <c r="AH20" s="6"/>
      <c r="AI20" s="6"/>
      <c r="AJ20" s="6"/>
      <c r="AK20" s="6"/>
      <c r="AL20" s="87" t="s">
        <v>1139</v>
      </c>
      <c r="AM20" s="87" t="s">
        <v>1139</v>
      </c>
      <c r="AN20" s="6">
        <v>69</v>
      </c>
      <c r="AO20" s="14" t="s">
        <v>85</v>
      </c>
      <c r="AP20" s="6"/>
      <c r="AQ20" s="14" t="s">
        <v>86</v>
      </c>
      <c r="AR20" s="14" t="s">
        <v>108</v>
      </c>
      <c r="AS20" s="14" t="s">
        <v>86</v>
      </c>
      <c r="AT20" s="14" t="s">
        <v>86</v>
      </c>
      <c r="AU20" s="14" t="s">
        <v>86</v>
      </c>
      <c r="AV20" s="14"/>
      <c r="AW20" s="6">
        <v>69</v>
      </c>
      <c r="AX20" s="6"/>
      <c r="AY20" s="6"/>
      <c r="AZ20" s="6"/>
      <c r="BA20" s="6">
        <v>69</v>
      </c>
      <c r="BB20" s="6"/>
      <c r="BC20" s="6"/>
      <c r="BD20" s="6"/>
      <c r="BE20" s="6"/>
      <c r="BF20" s="6"/>
      <c r="BG20" s="6"/>
    </row>
    <row r="21" spans="1:59" x14ac:dyDescent="0.2">
      <c r="A21" s="1" t="s">
        <v>84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8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X21" s="1">
        <v>4</v>
      </c>
      <c r="Y21" s="1">
        <v>4</v>
      </c>
      <c r="AD21" s="1">
        <v>40</v>
      </c>
      <c r="AE21" s="1">
        <v>40</v>
      </c>
      <c r="AL21" s="87" t="s">
        <v>1139</v>
      </c>
      <c r="AM21" s="87" t="s">
        <v>1139</v>
      </c>
      <c r="AO21" s="13" t="s">
        <v>85</v>
      </c>
      <c r="AQ21" s="13" t="s">
        <v>86</v>
      </c>
      <c r="AR21" s="13" t="s">
        <v>108</v>
      </c>
      <c r="AS21" s="13" t="s">
        <v>86</v>
      </c>
      <c r="AT21" s="13" t="s">
        <v>86</v>
      </c>
      <c r="AU21" s="13" t="s">
        <v>86</v>
      </c>
      <c r="AV21" s="13"/>
      <c r="AW21" s="1">
        <v>69</v>
      </c>
      <c r="BA21" s="1">
        <v>69</v>
      </c>
    </row>
    <row r="22" spans="1:59" x14ac:dyDescent="0.2">
      <c r="A22" s="1" t="s">
        <v>953</v>
      </c>
      <c r="B22" s="1" t="s">
        <v>129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8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/>
      <c r="X22" s="6">
        <v>3</v>
      </c>
      <c r="Y22" s="6">
        <v>3</v>
      </c>
      <c r="Z22" s="6"/>
      <c r="AA22" s="6"/>
      <c r="AB22" s="6"/>
      <c r="AC22" s="6"/>
      <c r="AD22" s="6">
        <v>365</v>
      </c>
      <c r="AE22" s="6">
        <v>365</v>
      </c>
      <c r="AF22" s="6"/>
      <c r="AG22" s="6"/>
      <c r="AH22" s="6"/>
      <c r="AI22" s="6"/>
      <c r="AJ22" s="6"/>
      <c r="AK22" s="6"/>
      <c r="AL22" s="87" t="s">
        <v>1139</v>
      </c>
      <c r="AM22" s="87" t="s">
        <v>1139</v>
      </c>
      <c r="AN22" s="6">
        <v>69</v>
      </c>
      <c r="AO22" s="14" t="s">
        <v>88</v>
      </c>
      <c r="AP22" s="6"/>
      <c r="AQ22" s="14" t="s">
        <v>89</v>
      </c>
      <c r="AR22" s="14" t="s">
        <v>108</v>
      </c>
      <c r="AS22" s="14" t="s">
        <v>89</v>
      </c>
      <c r="AT22" s="14" t="s">
        <v>89</v>
      </c>
      <c r="AU22" s="14" t="s">
        <v>89</v>
      </c>
      <c r="AV22" s="14"/>
      <c r="AW22" s="6">
        <v>69</v>
      </c>
      <c r="AX22" s="6"/>
      <c r="AY22" s="6"/>
      <c r="AZ22" s="6"/>
      <c r="BA22" s="6">
        <v>69</v>
      </c>
      <c r="BB22" s="6"/>
      <c r="BC22" s="6"/>
      <c r="BD22" s="6"/>
      <c r="BE22" s="6"/>
      <c r="BF22" s="6"/>
      <c r="BG22" s="6"/>
    </row>
    <row r="23" spans="1:59" x14ac:dyDescent="0.2">
      <c r="A23" s="1" t="s">
        <v>953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8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X23" s="1">
        <v>3</v>
      </c>
      <c r="Y23" s="1">
        <v>3</v>
      </c>
      <c r="AD23" s="1">
        <v>365</v>
      </c>
      <c r="AE23" s="1">
        <v>365</v>
      </c>
      <c r="AJ23" s="1" t="s">
        <v>90</v>
      </c>
      <c r="AL23" s="87" t="s">
        <v>1139</v>
      </c>
      <c r="AM23" s="87" t="s">
        <v>1139</v>
      </c>
      <c r="AO23" s="13" t="s">
        <v>88</v>
      </c>
      <c r="AQ23" s="13" t="s">
        <v>89</v>
      </c>
      <c r="AR23" s="13" t="s">
        <v>108</v>
      </c>
      <c r="AS23" s="13" t="s">
        <v>89</v>
      </c>
      <c r="AT23" s="13" t="s">
        <v>89</v>
      </c>
      <c r="AU23" s="13" t="s">
        <v>89</v>
      </c>
      <c r="AV23" s="13"/>
      <c r="AW23" s="1">
        <v>69</v>
      </c>
      <c r="BA23" s="1">
        <v>69</v>
      </c>
      <c r="BF23" s="1">
        <v>66</v>
      </c>
    </row>
    <row r="24" spans="1:59" x14ac:dyDescent="0.2">
      <c r="A24" s="1" t="s">
        <v>91</v>
      </c>
      <c r="B24" s="1" t="s">
        <v>129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8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X24" s="1">
        <v>2</v>
      </c>
      <c r="Y24" s="1">
        <v>2</v>
      </c>
      <c r="AD24" s="1">
        <v>365</v>
      </c>
      <c r="AE24" s="1">
        <v>365</v>
      </c>
      <c r="AJ24" s="1" t="s">
        <v>92</v>
      </c>
      <c r="AL24" s="87" t="s">
        <v>1139</v>
      </c>
      <c r="AM24" s="87" t="s">
        <v>1139</v>
      </c>
      <c r="AN24" s="6">
        <v>69</v>
      </c>
      <c r="AO24" s="13" t="s">
        <v>96</v>
      </c>
      <c r="AQ24" s="13" t="s">
        <v>94</v>
      </c>
      <c r="AR24" s="13" t="s">
        <v>108</v>
      </c>
      <c r="AS24" s="13" t="s">
        <v>94</v>
      </c>
      <c r="AT24" s="13" t="s">
        <v>94</v>
      </c>
      <c r="AU24" s="13" t="s">
        <v>94</v>
      </c>
      <c r="AV24" s="13"/>
      <c r="AW24" s="1">
        <v>69</v>
      </c>
      <c r="BA24" s="1">
        <v>69</v>
      </c>
      <c r="BF24" s="1">
        <v>67</v>
      </c>
    </row>
    <row r="25" spans="1:59" x14ac:dyDescent="0.2">
      <c r="A25" s="1" t="s">
        <v>91</v>
      </c>
      <c r="B25" s="1" t="s">
        <v>129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8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X25" s="1">
        <v>2</v>
      </c>
      <c r="Y25" s="1">
        <v>2</v>
      </c>
      <c r="AD25" s="1">
        <v>365</v>
      </c>
      <c r="AE25" s="1">
        <v>365</v>
      </c>
      <c r="AJ25" s="1" t="s">
        <v>92</v>
      </c>
      <c r="AL25" s="87" t="s">
        <v>1139</v>
      </c>
      <c r="AM25" s="87" t="s">
        <v>1139</v>
      </c>
      <c r="AO25" s="13" t="s">
        <v>93</v>
      </c>
      <c r="AQ25" s="13" t="s">
        <v>94</v>
      </c>
      <c r="AR25" s="13" t="s">
        <v>108</v>
      </c>
      <c r="AS25" s="13" t="s">
        <v>94</v>
      </c>
      <c r="AT25" s="13" t="s">
        <v>94</v>
      </c>
      <c r="AU25" s="13" t="s">
        <v>94</v>
      </c>
      <c r="AV25" s="13"/>
      <c r="AW25" s="1">
        <v>69</v>
      </c>
      <c r="BA25" s="1">
        <v>69</v>
      </c>
      <c r="BF25" s="1">
        <v>67</v>
      </c>
    </row>
    <row r="26" spans="1:59" x14ac:dyDescent="0.2">
      <c r="A26" s="1" t="s">
        <v>213</v>
      </c>
      <c r="B26" s="1" t="s">
        <v>129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8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X26" s="1">
        <v>2</v>
      </c>
      <c r="Y26" s="1">
        <v>2</v>
      </c>
      <c r="AD26" s="1">
        <v>365</v>
      </c>
      <c r="AE26" s="1">
        <v>365</v>
      </c>
      <c r="AJ26" s="1" t="s">
        <v>364</v>
      </c>
      <c r="AL26" s="87" t="s">
        <v>1139</v>
      </c>
      <c r="AM26" s="87" t="s">
        <v>1139</v>
      </c>
      <c r="AN26" s="6">
        <v>69</v>
      </c>
      <c r="AO26" s="13" t="s">
        <v>93</v>
      </c>
      <c r="AQ26" s="13" t="s">
        <v>94</v>
      </c>
      <c r="AR26" s="13" t="s">
        <v>108</v>
      </c>
      <c r="AS26" s="13" t="s">
        <v>94</v>
      </c>
      <c r="AT26" s="13" t="s">
        <v>94</v>
      </c>
      <c r="AU26" s="13" t="s">
        <v>94</v>
      </c>
      <c r="AV26" s="13"/>
      <c r="AW26" s="1">
        <v>69</v>
      </c>
      <c r="BA26" s="1">
        <v>69</v>
      </c>
    </row>
    <row r="27" spans="1:59" x14ac:dyDescent="0.2">
      <c r="A27" s="1" t="s">
        <v>213</v>
      </c>
      <c r="B27" s="1" t="s">
        <v>129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8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X27" s="1">
        <v>2</v>
      </c>
      <c r="Y27" s="1">
        <v>2</v>
      </c>
      <c r="AD27" s="1">
        <v>365</v>
      </c>
      <c r="AE27" s="1">
        <v>365</v>
      </c>
      <c r="AJ27" s="1" t="s">
        <v>364</v>
      </c>
      <c r="AL27" s="87" t="s">
        <v>1139</v>
      </c>
      <c r="AM27" s="87" t="s">
        <v>1139</v>
      </c>
      <c r="AO27" s="13" t="s">
        <v>93</v>
      </c>
      <c r="AQ27" s="13" t="s">
        <v>94</v>
      </c>
      <c r="AR27" s="13" t="s">
        <v>108</v>
      </c>
      <c r="AS27" s="13" t="s">
        <v>94</v>
      </c>
      <c r="AT27" s="13" t="s">
        <v>94</v>
      </c>
      <c r="AU27" s="13" t="s">
        <v>94</v>
      </c>
      <c r="AV27" s="13"/>
      <c r="AW27" s="1">
        <v>69</v>
      </c>
      <c r="BA27" s="1">
        <v>69</v>
      </c>
    </row>
    <row r="28" spans="1:59" x14ac:dyDescent="0.2">
      <c r="A28" s="1" t="s">
        <v>408</v>
      </c>
      <c r="B28" s="1" t="s">
        <v>130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8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X28" s="1">
        <v>2</v>
      </c>
      <c r="AD28" s="1">
        <v>365</v>
      </c>
      <c r="AJ28" s="1" t="s">
        <v>101</v>
      </c>
      <c r="AK28" s="1" t="s">
        <v>1160</v>
      </c>
      <c r="AL28" s="87" t="s">
        <v>1139</v>
      </c>
      <c r="AM28" s="87" t="s">
        <v>1139</v>
      </c>
      <c r="AO28" s="13" t="s">
        <v>109</v>
      </c>
      <c r="AQ28" s="13" t="s">
        <v>110</v>
      </c>
      <c r="AR28" s="13" t="s">
        <v>110</v>
      </c>
      <c r="AS28" s="13" t="s">
        <v>110</v>
      </c>
      <c r="AT28" s="13" t="s">
        <v>110</v>
      </c>
      <c r="AU28" s="13" t="s">
        <v>110</v>
      </c>
      <c r="AV28" s="13"/>
      <c r="AW28" s="1">
        <v>79</v>
      </c>
      <c r="BA28" s="1">
        <v>79</v>
      </c>
      <c r="BF28" s="1">
        <v>73</v>
      </c>
    </row>
    <row r="29" spans="1:59" x14ac:dyDescent="0.2">
      <c r="A29" s="1" t="s">
        <v>408</v>
      </c>
      <c r="B29" s="1" t="s">
        <v>130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8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X29" s="1">
        <v>2</v>
      </c>
      <c r="AD29" s="1">
        <v>365</v>
      </c>
      <c r="AJ29" s="1" t="s">
        <v>111</v>
      </c>
      <c r="AK29" s="1" t="s">
        <v>1160</v>
      </c>
      <c r="AL29" s="87" t="s">
        <v>1139</v>
      </c>
      <c r="AM29" s="87" t="s">
        <v>1139</v>
      </c>
      <c r="AO29" s="13" t="s">
        <v>109</v>
      </c>
      <c r="AQ29" s="13" t="s">
        <v>110</v>
      </c>
      <c r="AR29" s="13" t="s">
        <v>110</v>
      </c>
      <c r="AS29" s="13" t="s">
        <v>110</v>
      </c>
      <c r="AT29" s="13" t="s">
        <v>110</v>
      </c>
      <c r="AU29" s="13" t="s">
        <v>110</v>
      </c>
      <c r="AV29" s="13"/>
      <c r="AW29" s="1">
        <v>79</v>
      </c>
      <c r="BA29" s="1">
        <v>79</v>
      </c>
      <c r="BF29" s="1">
        <v>73</v>
      </c>
    </row>
    <row r="30" spans="1:59" x14ac:dyDescent="0.2">
      <c r="A30" s="1" t="s">
        <v>1159</v>
      </c>
      <c r="B30" s="1" t="s">
        <v>130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8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X30" s="1">
        <v>2</v>
      </c>
      <c r="AD30" s="1">
        <v>365</v>
      </c>
      <c r="AL30" s="87" t="s">
        <v>1139</v>
      </c>
      <c r="AM30" s="87" t="s">
        <v>1139</v>
      </c>
      <c r="AO30" s="13" t="s">
        <v>112</v>
      </c>
      <c r="AQ30" s="13" t="s">
        <v>113</v>
      </c>
      <c r="AR30" s="13" t="s">
        <v>113</v>
      </c>
      <c r="AS30" s="13" t="s">
        <v>113</v>
      </c>
      <c r="AT30" s="13" t="s">
        <v>113</v>
      </c>
      <c r="AU30" s="13" t="s">
        <v>113</v>
      </c>
      <c r="AV30" s="13"/>
      <c r="AW30" s="1">
        <v>79</v>
      </c>
      <c r="BA30" s="1">
        <v>79</v>
      </c>
    </row>
    <row r="31" spans="1:59" x14ac:dyDescent="0.2">
      <c r="A31" s="1" t="s">
        <v>1159</v>
      </c>
      <c r="B31" s="1" t="s">
        <v>130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8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X31" s="1">
        <v>2</v>
      </c>
      <c r="AD31" s="1">
        <v>365</v>
      </c>
      <c r="AL31" s="87" t="s">
        <v>1139</v>
      </c>
      <c r="AM31" s="87" t="s">
        <v>1139</v>
      </c>
      <c r="AO31" s="13" t="s">
        <v>112</v>
      </c>
      <c r="AQ31" s="13" t="s">
        <v>113</v>
      </c>
      <c r="AR31" s="13" t="s">
        <v>113</v>
      </c>
      <c r="AS31" s="13" t="s">
        <v>113</v>
      </c>
      <c r="AT31" s="13" t="s">
        <v>113</v>
      </c>
      <c r="AU31" s="13" t="s">
        <v>113</v>
      </c>
      <c r="AV31" s="13"/>
      <c r="AW31" s="1">
        <v>79</v>
      </c>
      <c r="BA31" s="1">
        <v>79</v>
      </c>
    </row>
    <row r="32" spans="1:59" x14ac:dyDescent="0.2">
      <c r="A32" s="1" t="s">
        <v>102</v>
      </c>
      <c r="B32" s="1" t="s">
        <v>130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8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X32" s="1">
        <v>1</v>
      </c>
      <c r="AD32" s="1">
        <v>365</v>
      </c>
      <c r="AL32" s="87" t="s">
        <v>1139</v>
      </c>
      <c r="AM32" s="87" t="s">
        <v>1139</v>
      </c>
      <c r="AO32" s="13">
        <v>79</v>
      </c>
      <c r="AQ32" s="13" t="s">
        <v>114</v>
      </c>
      <c r="AR32" s="13" t="s">
        <v>114</v>
      </c>
      <c r="AS32" s="13" t="s">
        <v>114</v>
      </c>
      <c r="AT32" s="13" t="s">
        <v>114</v>
      </c>
      <c r="AU32" s="13" t="s">
        <v>114</v>
      </c>
      <c r="AV32" s="13"/>
      <c r="AW32" s="1">
        <v>79</v>
      </c>
      <c r="BA32" s="1">
        <v>79</v>
      </c>
      <c r="BG32" s="1" t="s">
        <v>115</v>
      </c>
    </row>
    <row r="33" spans="1:59" x14ac:dyDescent="0.2">
      <c r="A33" s="1" t="s">
        <v>102</v>
      </c>
      <c r="B33" s="1" t="s">
        <v>130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8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X33" s="1">
        <v>1</v>
      </c>
      <c r="AD33" s="1">
        <v>365</v>
      </c>
      <c r="AL33" s="87" t="s">
        <v>1139</v>
      </c>
      <c r="AM33" s="87" t="s">
        <v>1139</v>
      </c>
      <c r="AO33" s="13">
        <v>79</v>
      </c>
      <c r="AQ33" s="13" t="s">
        <v>114</v>
      </c>
      <c r="AR33" s="13" t="s">
        <v>114</v>
      </c>
      <c r="AS33" s="13" t="s">
        <v>114</v>
      </c>
      <c r="AT33" s="13" t="s">
        <v>114</v>
      </c>
      <c r="AU33" s="13" t="s">
        <v>114</v>
      </c>
      <c r="AV33" s="13"/>
      <c r="AW33" s="1">
        <v>79</v>
      </c>
      <c r="BA33" s="1">
        <v>79</v>
      </c>
      <c r="BG33" s="1" t="s">
        <v>115</v>
      </c>
    </row>
    <row r="34" spans="1:59" x14ac:dyDescent="0.2">
      <c r="A34" s="1" t="s">
        <v>103</v>
      </c>
      <c r="B34" s="1" t="s">
        <v>130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8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X34" s="1">
        <v>1</v>
      </c>
      <c r="AD34" s="1">
        <v>30</v>
      </c>
      <c r="AL34" s="87" t="s">
        <v>1139</v>
      </c>
      <c r="AM34" s="87" t="s">
        <v>1139</v>
      </c>
      <c r="AO34" s="13" t="s">
        <v>119</v>
      </c>
      <c r="AQ34" s="13" t="s">
        <v>119</v>
      </c>
      <c r="AR34" s="13" t="s">
        <v>120</v>
      </c>
      <c r="AS34" s="13" t="s">
        <v>120</v>
      </c>
      <c r="AT34" s="13" t="s">
        <v>120</v>
      </c>
      <c r="AU34" s="13" t="s">
        <v>120</v>
      </c>
      <c r="AV34" s="13"/>
      <c r="AW34" s="1">
        <v>79</v>
      </c>
      <c r="BA34" s="1">
        <v>79</v>
      </c>
    </row>
    <row r="35" spans="1:59" x14ac:dyDescent="0.2">
      <c r="A35" s="1" t="s">
        <v>103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8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X35" s="1">
        <v>1</v>
      </c>
      <c r="AD35" s="1">
        <v>30</v>
      </c>
      <c r="AJ35" s="1" t="s">
        <v>124</v>
      </c>
      <c r="AL35" s="87" t="s">
        <v>1139</v>
      </c>
      <c r="AM35" s="87" t="s">
        <v>1139</v>
      </c>
      <c r="AO35" s="13" t="s">
        <v>118</v>
      </c>
      <c r="AQ35" s="13" t="s">
        <v>118</v>
      </c>
      <c r="AR35" s="13" t="s">
        <v>118</v>
      </c>
      <c r="AS35" s="13" t="s">
        <v>118</v>
      </c>
      <c r="AT35" s="13" t="s">
        <v>118</v>
      </c>
      <c r="AU35" s="13" t="s">
        <v>118</v>
      </c>
      <c r="AV35" s="13"/>
      <c r="AW35" s="1">
        <v>79</v>
      </c>
      <c r="BA35" s="1">
        <v>79</v>
      </c>
      <c r="BG35" s="1" t="s">
        <v>118</v>
      </c>
    </row>
    <row r="36" spans="1:59" x14ac:dyDescent="0.2">
      <c r="A36" s="1" t="s">
        <v>104</v>
      </c>
      <c r="B36" s="1" t="s">
        <v>130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8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X36" s="1">
        <v>1</v>
      </c>
      <c r="AD36" s="1">
        <v>30</v>
      </c>
      <c r="AL36" s="87" t="s">
        <v>1139</v>
      </c>
      <c r="AM36" s="87" t="s">
        <v>1139</v>
      </c>
      <c r="AO36" s="13" t="s">
        <v>119</v>
      </c>
      <c r="AQ36" s="13" t="s">
        <v>119</v>
      </c>
      <c r="AR36" s="13" t="s">
        <v>120</v>
      </c>
      <c r="AS36" s="13" t="s">
        <v>120</v>
      </c>
      <c r="AT36" s="13" t="s">
        <v>120</v>
      </c>
      <c r="AU36" s="13" t="s">
        <v>120</v>
      </c>
      <c r="AV36" s="13"/>
      <c r="AW36" s="1">
        <v>79</v>
      </c>
      <c r="BA36" s="1">
        <v>79</v>
      </c>
    </row>
    <row r="37" spans="1:59" x14ac:dyDescent="0.2">
      <c r="A37" s="1" t="s">
        <v>104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8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X37" s="1">
        <v>1</v>
      </c>
      <c r="AD37" s="1">
        <v>30</v>
      </c>
      <c r="AJ37" s="1" t="s">
        <v>124</v>
      </c>
      <c r="AL37" s="87" t="s">
        <v>1139</v>
      </c>
      <c r="AM37" s="87" t="s">
        <v>1139</v>
      </c>
      <c r="AO37" s="13" t="s">
        <v>118</v>
      </c>
      <c r="AQ37" s="13" t="s">
        <v>118</v>
      </c>
      <c r="AR37" s="13" t="s">
        <v>118</v>
      </c>
      <c r="AS37" s="13" t="s">
        <v>118</v>
      </c>
      <c r="AT37" s="13" t="s">
        <v>118</v>
      </c>
      <c r="AU37" s="13" t="s">
        <v>118</v>
      </c>
      <c r="AV37" s="13"/>
      <c r="AW37" s="1">
        <v>79</v>
      </c>
      <c r="BA37" s="1">
        <v>79</v>
      </c>
      <c r="BG37" s="1" t="s">
        <v>118</v>
      </c>
    </row>
    <row r="38" spans="1:59" x14ac:dyDescent="0.2">
      <c r="A38" s="1" t="s">
        <v>105</v>
      </c>
      <c r="B38" s="1" t="s">
        <v>130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8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X38" s="1">
        <v>1</v>
      </c>
      <c r="AD38" s="1">
        <v>30</v>
      </c>
      <c r="AL38" s="87" t="s">
        <v>1139</v>
      </c>
      <c r="AM38" s="87" t="s">
        <v>1139</v>
      </c>
      <c r="AO38" s="13" t="s">
        <v>119</v>
      </c>
      <c r="AQ38" s="13" t="s">
        <v>119</v>
      </c>
      <c r="AR38" s="13" t="s">
        <v>120</v>
      </c>
      <c r="AS38" s="13" t="s">
        <v>120</v>
      </c>
      <c r="AT38" s="13" t="s">
        <v>120</v>
      </c>
      <c r="AU38" s="13" t="s">
        <v>120</v>
      </c>
      <c r="AV38" s="13"/>
      <c r="AW38" s="1">
        <v>79</v>
      </c>
      <c r="BA38" s="1">
        <v>79</v>
      </c>
    </row>
    <row r="39" spans="1:59" x14ac:dyDescent="0.2">
      <c r="A39" s="1" t="s">
        <v>105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8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X39" s="1">
        <v>1</v>
      </c>
      <c r="AD39" s="1">
        <v>30</v>
      </c>
      <c r="AJ39" s="1" t="s">
        <v>124</v>
      </c>
      <c r="AL39" s="87" t="s">
        <v>1139</v>
      </c>
      <c r="AM39" s="87" t="s">
        <v>1139</v>
      </c>
      <c r="AO39" s="13" t="s">
        <v>118</v>
      </c>
      <c r="AQ39" s="13" t="s">
        <v>118</v>
      </c>
      <c r="AR39" s="13" t="s">
        <v>118</v>
      </c>
      <c r="AS39" s="13" t="s">
        <v>118</v>
      </c>
      <c r="AT39" s="13" t="s">
        <v>118</v>
      </c>
      <c r="AU39" s="13" t="s">
        <v>118</v>
      </c>
      <c r="AV39" s="13"/>
      <c r="AW39" s="1">
        <v>79</v>
      </c>
      <c r="BA39" s="1">
        <v>79</v>
      </c>
      <c r="BG39" s="1" t="s">
        <v>118</v>
      </c>
    </row>
    <row r="40" spans="1:59" x14ac:dyDescent="0.2">
      <c r="A40" s="1" t="s">
        <v>106</v>
      </c>
      <c r="B40" s="1" t="s">
        <v>130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8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X40" s="1">
        <v>1</v>
      </c>
      <c r="AD40" s="1">
        <v>30</v>
      </c>
      <c r="AL40" s="87" t="s">
        <v>1139</v>
      </c>
      <c r="AM40" s="87" t="s">
        <v>1139</v>
      </c>
      <c r="AO40" s="13" t="s">
        <v>119</v>
      </c>
      <c r="AQ40" s="13" t="s">
        <v>119</v>
      </c>
      <c r="AR40" s="13" t="s">
        <v>120</v>
      </c>
      <c r="AS40" s="13" t="s">
        <v>120</v>
      </c>
      <c r="AT40" s="13" t="s">
        <v>120</v>
      </c>
      <c r="AU40" s="13" t="s">
        <v>120</v>
      </c>
      <c r="AV40" s="13"/>
      <c r="AW40" s="1">
        <v>79</v>
      </c>
      <c r="BA40" s="1">
        <v>79</v>
      </c>
    </row>
    <row r="41" spans="1:59" x14ac:dyDescent="0.2">
      <c r="A41" s="1" t="s">
        <v>106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8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X41" s="1">
        <v>1</v>
      </c>
      <c r="AD41" s="1">
        <v>30</v>
      </c>
      <c r="AJ41" s="1" t="s">
        <v>124</v>
      </c>
      <c r="AL41" s="87" t="s">
        <v>1139</v>
      </c>
      <c r="AM41" s="87" t="s">
        <v>1139</v>
      </c>
      <c r="AO41" s="13" t="s">
        <v>118</v>
      </c>
      <c r="AQ41" s="13" t="s">
        <v>118</v>
      </c>
      <c r="AR41" s="13" t="s">
        <v>118</v>
      </c>
      <c r="AS41" s="13" t="s">
        <v>118</v>
      </c>
      <c r="AT41" s="13" t="s">
        <v>118</v>
      </c>
      <c r="AU41" s="13" t="s">
        <v>118</v>
      </c>
      <c r="AV41" s="13"/>
      <c r="AW41" s="1">
        <v>79</v>
      </c>
      <c r="BA41" s="1">
        <v>79</v>
      </c>
      <c r="BG41" s="1" t="s">
        <v>118</v>
      </c>
    </row>
    <row r="42" spans="1:59" x14ac:dyDescent="0.2">
      <c r="A42" s="1" t="s">
        <v>213</v>
      </c>
      <c r="B42" s="1" t="s">
        <v>130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8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X42" s="1">
        <v>1</v>
      </c>
      <c r="AD42" s="1">
        <v>365</v>
      </c>
      <c r="AL42" s="87" t="s">
        <v>1139</v>
      </c>
      <c r="AM42" s="87" t="s">
        <v>1139</v>
      </c>
      <c r="AO42" s="13" t="s">
        <v>121</v>
      </c>
      <c r="AQ42" s="13" t="s">
        <v>122</v>
      </c>
      <c r="AR42" s="13" t="s">
        <v>122</v>
      </c>
      <c r="AS42" s="13" t="s">
        <v>122</v>
      </c>
      <c r="AT42" s="13" t="s">
        <v>122</v>
      </c>
      <c r="AU42" s="13" t="s">
        <v>122</v>
      </c>
      <c r="AV42" s="13"/>
      <c r="AW42" s="1">
        <v>79</v>
      </c>
      <c r="BA42" s="1">
        <v>79</v>
      </c>
    </row>
    <row r="43" spans="1:59" x14ac:dyDescent="0.2">
      <c r="A43" s="1" t="s">
        <v>213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8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X43" s="1">
        <v>1</v>
      </c>
      <c r="AD43" s="1">
        <v>365</v>
      </c>
      <c r="AL43" s="87" t="s">
        <v>1139</v>
      </c>
      <c r="AM43" s="87" t="s">
        <v>1139</v>
      </c>
      <c r="AO43" s="13" t="s">
        <v>121</v>
      </c>
      <c r="AQ43" s="13" t="s">
        <v>122</v>
      </c>
      <c r="AR43" s="13" t="s">
        <v>122</v>
      </c>
      <c r="AS43" s="13" t="s">
        <v>122</v>
      </c>
      <c r="AT43" s="13" t="s">
        <v>122</v>
      </c>
      <c r="AU43" s="13" t="s">
        <v>122</v>
      </c>
      <c r="AV43" s="13"/>
      <c r="AW43" s="1">
        <v>79</v>
      </c>
      <c r="BA43" s="1">
        <v>79</v>
      </c>
    </row>
    <row r="44" spans="1:59" x14ac:dyDescent="0.2">
      <c r="A44" s="1" t="s">
        <v>139</v>
      </c>
      <c r="B44" s="1" t="s">
        <v>130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8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X44" s="1">
        <v>12</v>
      </c>
      <c r="AA44" s="1">
        <v>8</v>
      </c>
      <c r="AD44" s="1">
        <v>365</v>
      </c>
      <c r="AL44" s="87" t="s">
        <v>1139</v>
      </c>
      <c r="AM44" s="87" t="s">
        <v>1139</v>
      </c>
      <c r="AO44" s="13" t="s">
        <v>125</v>
      </c>
      <c r="AQ44" s="13" t="s">
        <v>126</v>
      </c>
      <c r="AR44" s="13" t="s">
        <v>126</v>
      </c>
      <c r="AS44" s="13" t="s">
        <v>126</v>
      </c>
      <c r="AT44" s="13" t="s">
        <v>126</v>
      </c>
      <c r="AU44" s="13" t="s">
        <v>126</v>
      </c>
      <c r="AV44" s="13"/>
      <c r="AW44" s="1">
        <v>79</v>
      </c>
      <c r="AY44" s="1">
        <v>78</v>
      </c>
      <c r="BA44" s="1">
        <v>79</v>
      </c>
    </row>
    <row r="45" spans="1:59" x14ac:dyDescent="0.2">
      <c r="A45" s="1" t="s">
        <v>139</v>
      </c>
      <c r="B45" s="1" t="s">
        <v>130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8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X45" s="1">
        <v>12</v>
      </c>
      <c r="AA45" s="1">
        <v>8</v>
      </c>
      <c r="AD45" s="1">
        <v>365</v>
      </c>
      <c r="AL45" s="87" t="s">
        <v>1139</v>
      </c>
      <c r="AM45" s="87" t="s">
        <v>1139</v>
      </c>
      <c r="AO45" s="13" t="s">
        <v>125</v>
      </c>
      <c r="AQ45" s="13" t="s">
        <v>126</v>
      </c>
      <c r="AR45" s="13" t="s">
        <v>126</v>
      </c>
      <c r="AS45" s="13" t="s">
        <v>126</v>
      </c>
      <c r="AT45" s="13" t="s">
        <v>126</v>
      </c>
      <c r="AU45" s="13" t="s">
        <v>126</v>
      </c>
      <c r="AV45" s="13"/>
      <c r="AW45" s="1">
        <v>79</v>
      </c>
      <c r="AY45" s="1">
        <v>78</v>
      </c>
      <c r="BA45" s="1">
        <v>79</v>
      </c>
    </row>
    <row r="46" spans="1:59" x14ac:dyDescent="0.2">
      <c r="A46" s="1" t="s">
        <v>140</v>
      </c>
      <c r="B46" s="1" t="s">
        <v>130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8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X46" s="1">
        <v>16</v>
      </c>
      <c r="AD46" s="1">
        <v>90</v>
      </c>
      <c r="AL46" s="87" t="s">
        <v>1139</v>
      </c>
      <c r="AM46" s="87" t="s">
        <v>1139</v>
      </c>
      <c r="AO46" s="13" t="s">
        <v>125</v>
      </c>
      <c r="AQ46" s="13" t="s">
        <v>126</v>
      </c>
      <c r="AR46" s="13" t="s">
        <v>126</v>
      </c>
      <c r="AS46" s="13" t="s">
        <v>126</v>
      </c>
      <c r="AT46" s="13" t="s">
        <v>126</v>
      </c>
      <c r="AU46" s="13" t="s">
        <v>126</v>
      </c>
      <c r="AV46" s="13"/>
      <c r="AW46" s="1">
        <v>79</v>
      </c>
      <c r="BA46" s="1">
        <v>79</v>
      </c>
    </row>
    <row r="47" spans="1:59" x14ac:dyDescent="0.2">
      <c r="A47" s="1" t="s">
        <v>140</v>
      </c>
      <c r="B47" s="1" t="s">
        <v>130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8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X47" s="1">
        <v>16</v>
      </c>
      <c r="AD47" s="1">
        <v>90</v>
      </c>
      <c r="AL47" s="87" t="s">
        <v>1139</v>
      </c>
      <c r="AM47" s="87" t="s">
        <v>1139</v>
      </c>
      <c r="AO47" s="13" t="s">
        <v>125</v>
      </c>
      <c r="AQ47" s="13" t="s">
        <v>126</v>
      </c>
      <c r="AR47" s="13" t="s">
        <v>126</v>
      </c>
      <c r="AS47" s="13" t="s">
        <v>126</v>
      </c>
      <c r="AT47" s="13" t="s">
        <v>126</v>
      </c>
      <c r="AU47" s="13" t="s">
        <v>126</v>
      </c>
      <c r="AV47" s="13"/>
      <c r="AW47" s="1">
        <v>79</v>
      </c>
      <c r="BA47" s="1">
        <v>79</v>
      </c>
    </row>
    <row r="48" spans="1:59" x14ac:dyDescent="0.2">
      <c r="A48" s="1" t="s">
        <v>127</v>
      </c>
      <c r="B48" s="1" t="s">
        <v>130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8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L48" s="87" t="s">
        <v>1139</v>
      </c>
      <c r="AM48" s="87" t="s">
        <v>1139</v>
      </c>
      <c r="AO48" s="13" t="s">
        <v>128</v>
      </c>
      <c r="AQ48" s="13" t="s">
        <v>114</v>
      </c>
      <c r="AR48" s="13" t="s">
        <v>114</v>
      </c>
      <c r="AS48" s="13" t="s">
        <v>114</v>
      </c>
      <c r="AT48" s="13" t="s">
        <v>114</v>
      </c>
      <c r="AU48" s="13" t="s">
        <v>114</v>
      </c>
      <c r="AV48" s="13"/>
    </row>
    <row r="49" spans="1:59" x14ac:dyDescent="0.2">
      <c r="A49" s="1" t="s">
        <v>127</v>
      </c>
      <c r="B49" s="1" t="s">
        <v>130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8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L49" s="87" t="s">
        <v>1139</v>
      </c>
      <c r="AM49" s="87" t="s">
        <v>1139</v>
      </c>
      <c r="AO49" s="13" t="s">
        <v>128</v>
      </c>
      <c r="AQ49" s="13" t="s">
        <v>114</v>
      </c>
      <c r="AR49" s="13" t="s">
        <v>114</v>
      </c>
      <c r="AS49" s="13" t="s">
        <v>114</v>
      </c>
      <c r="AT49" s="13" t="s">
        <v>114</v>
      </c>
      <c r="AU49" s="13" t="s">
        <v>114</v>
      </c>
      <c r="AV49" s="13"/>
    </row>
    <row r="50" spans="1:59" x14ac:dyDescent="0.2">
      <c r="A50" s="1" t="s">
        <v>132</v>
      </c>
      <c r="B50" s="1" t="s">
        <v>142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8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X50" s="1">
        <v>24</v>
      </c>
      <c r="AD50" s="1">
        <v>90</v>
      </c>
      <c r="AJ50" s="1" t="s">
        <v>145</v>
      </c>
      <c r="AL50" s="87" t="s">
        <v>1139</v>
      </c>
      <c r="AM50" s="87" t="s">
        <v>1139</v>
      </c>
      <c r="AO50" s="13">
        <v>85</v>
      </c>
      <c r="AQ50" s="13" t="s">
        <v>143</v>
      </c>
      <c r="AR50" s="13" t="s">
        <v>143</v>
      </c>
      <c r="AS50" s="13" t="s">
        <v>143</v>
      </c>
      <c r="AT50" s="13" t="s">
        <v>143</v>
      </c>
      <c r="AU50" s="13" t="s">
        <v>143</v>
      </c>
      <c r="AV50" s="13"/>
      <c r="AW50" s="1">
        <v>85</v>
      </c>
      <c r="BA50" s="1">
        <v>85</v>
      </c>
      <c r="BE50" s="1">
        <v>91</v>
      </c>
      <c r="BF50" s="1" t="s">
        <v>144</v>
      </c>
      <c r="BG50" s="1" t="s">
        <v>146</v>
      </c>
    </row>
    <row r="51" spans="1:59" x14ac:dyDescent="0.2">
      <c r="A51" s="1" t="s">
        <v>132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8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X51" s="1">
        <v>24</v>
      </c>
      <c r="AD51" s="1">
        <v>90</v>
      </c>
      <c r="AJ51" s="1" t="s">
        <v>145</v>
      </c>
      <c r="AL51" s="87" t="s">
        <v>1139</v>
      </c>
      <c r="AM51" s="87" t="s">
        <v>1139</v>
      </c>
      <c r="AO51" s="13">
        <v>85</v>
      </c>
      <c r="AQ51" s="13" t="s">
        <v>143</v>
      </c>
      <c r="AR51" s="13" t="s">
        <v>143</v>
      </c>
      <c r="AS51" s="13" t="s">
        <v>143</v>
      </c>
      <c r="AT51" s="13" t="s">
        <v>143</v>
      </c>
      <c r="AU51" s="13" t="s">
        <v>143</v>
      </c>
      <c r="AV51" s="13"/>
      <c r="AW51" s="1">
        <v>85</v>
      </c>
      <c r="BA51" s="1">
        <v>85</v>
      </c>
      <c r="BE51" s="1">
        <v>91</v>
      </c>
      <c r="BF51" s="1" t="s">
        <v>144</v>
      </c>
      <c r="BG51" s="1" t="s">
        <v>146</v>
      </c>
    </row>
    <row r="52" spans="1:59" x14ac:dyDescent="0.2">
      <c r="A52" s="1" t="s">
        <v>133</v>
      </c>
      <c r="B52" s="1" t="s">
        <v>142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8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X52" s="1">
        <v>24</v>
      </c>
      <c r="AD52" s="1">
        <v>60</v>
      </c>
      <c r="AJ52" s="1" t="s">
        <v>145</v>
      </c>
      <c r="AL52" s="87" t="s">
        <v>1139</v>
      </c>
      <c r="AM52" s="87" t="s">
        <v>1139</v>
      </c>
      <c r="AO52" s="13">
        <v>85</v>
      </c>
      <c r="AQ52" s="13" t="s">
        <v>143</v>
      </c>
      <c r="AR52" s="13" t="s">
        <v>143</v>
      </c>
      <c r="AS52" s="13" t="s">
        <v>143</v>
      </c>
      <c r="AT52" s="13" t="s">
        <v>143</v>
      </c>
      <c r="AU52" s="13" t="s">
        <v>143</v>
      </c>
      <c r="AV52" s="13"/>
      <c r="AW52" s="1">
        <v>85</v>
      </c>
      <c r="BA52" s="1">
        <v>85</v>
      </c>
      <c r="BE52" s="1">
        <v>91</v>
      </c>
      <c r="BF52" s="1" t="s">
        <v>144</v>
      </c>
      <c r="BG52" s="1" t="s">
        <v>146</v>
      </c>
    </row>
    <row r="53" spans="1:59" x14ac:dyDescent="0.2">
      <c r="A53" s="1" t="s">
        <v>133</v>
      </c>
      <c r="B53" s="1" t="s">
        <v>142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8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X53" s="1">
        <v>24</v>
      </c>
      <c r="AD53" s="1">
        <v>60</v>
      </c>
      <c r="AJ53" s="1" t="s">
        <v>145</v>
      </c>
      <c r="AL53" s="87" t="s">
        <v>1139</v>
      </c>
      <c r="AM53" s="87" t="s">
        <v>1139</v>
      </c>
      <c r="AO53" s="13">
        <v>85</v>
      </c>
      <c r="AQ53" s="13" t="s">
        <v>143</v>
      </c>
      <c r="AR53" s="13" t="s">
        <v>143</v>
      </c>
      <c r="AS53" s="13" t="s">
        <v>143</v>
      </c>
      <c r="AT53" s="13" t="s">
        <v>143</v>
      </c>
      <c r="AU53" s="13" t="s">
        <v>143</v>
      </c>
      <c r="AV53" s="13"/>
      <c r="AW53" s="1">
        <v>85</v>
      </c>
      <c r="BA53" s="1">
        <v>85</v>
      </c>
      <c r="BE53" s="1">
        <v>91</v>
      </c>
      <c r="BF53" s="1" t="s">
        <v>144</v>
      </c>
      <c r="BG53" s="1" t="s">
        <v>146</v>
      </c>
    </row>
    <row r="54" spans="1:59" x14ac:dyDescent="0.2">
      <c r="A54" s="1" t="s">
        <v>288</v>
      </c>
      <c r="B54" s="1" t="s">
        <v>142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8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X54" s="1">
        <v>24</v>
      </c>
      <c r="AD54" s="1">
        <v>70</v>
      </c>
      <c r="AJ54" s="1" t="s">
        <v>145</v>
      </c>
      <c r="AL54" s="87" t="s">
        <v>1139</v>
      </c>
      <c r="AM54" s="87" t="s">
        <v>1139</v>
      </c>
      <c r="AO54" s="13">
        <v>85</v>
      </c>
      <c r="AQ54" s="13" t="s">
        <v>143</v>
      </c>
      <c r="AR54" s="13" t="s">
        <v>143</v>
      </c>
      <c r="AS54" s="13" t="s">
        <v>143</v>
      </c>
      <c r="AT54" s="13" t="s">
        <v>143</v>
      </c>
      <c r="AU54" s="13" t="s">
        <v>143</v>
      </c>
      <c r="AV54" s="13"/>
      <c r="AW54" s="1">
        <v>85</v>
      </c>
      <c r="BA54" s="1">
        <v>85</v>
      </c>
      <c r="BE54" s="1">
        <v>91</v>
      </c>
      <c r="BF54" s="1" t="s">
        <v>144</v>
      </c>
      <c r="BG54" s="1" t="s">
        <v>146</v>
      </c>
    </row>
    <row r="55" spans="1:59" x14ac:dyDescent="0.2">
      <c r="A55" s="1" t="s">
        <v>288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8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X55" s="1">
        <v>24</v>
      </c>
      <c r="AD55" s="1">
        <v>70</v>
      </c>
      <c r="AJ55" s="1" t="s">
        <v>145</v>
      </c>
      <c r="AL55" s="87" t="s">
        <v>1139</v>
      </c>
      <c r="AM55" s="87" t="s">
        <v>1139</v>
      </c>
      <c r="AO55" s="13">
        <v>85</v>
      </c>
      <c r="AQ55" s="13" t="s">
        <v>143</v>
      </c>
      <c r="AR55" s="13" t="s">
        <v>143</v>
      </c>
      <c r="AS55" s="13" t="s">
        <v>143</v>
      </c>
      <c r="AT55" s="13" t="s">
        <v>143</v>
      </c>
      <c r="AU55" s="13" t="s">
        <v>143</v>
      </c>
      <c r="AV55" s="13"/>
      <c r="AW55" s="1">
        <v>85</v>
      </c>
      <c r="BA55" s="1">
        <v>85</v>
      </c>
      <c r="BE55" s="1">
        <v>91</v>
      </c>
      <c r="BF55" s="1" t="s">
        <v>144</v>
      </c>
      <c r="BG55" s="1" t="s">
        <v>146</v>
      </c>
    </row>
    <row r="56" spans="1:59" x14ac:dyDescent="0.2">
      <c r="A56" s="1" t="s">
        <v>135</v>
      </c>
      <c r="B56" s="1" t="s">
        <v>142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8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X56" s="1">
        <v>1</v>
      </c>
      <c r="AD56" s="1">
        <v>220</v>
      </c>
      <c r="AJ56" s="1" t="s">
        <v>145</v>
      </c>
      <c r="AL56" s="87" t="s">
        <v>1139</v>
      </c>
      <c r="AM56" s="87" t="s">
        <v>1139</v>
      </c>
      <c r="AO56" s="13">
        <v>85</v>
      </c>
      <c r="AQ56" s="13" t="s">
        <v>143</v>
      </c>
      <c r="AR56" s="13" t="s">
        <v>143</v>
      </c>
      <c r="AS56" s="13" t="s">
        <v>143</v>
      </c>
      <c r="AT56" s="13" t="s">
        <v>143</v>
      </c>
      <c r="AU56" s="13" t="s">
        <v>143</v>
      </c>
      <c r="AV56" s="13"/>
      <c r="AW56" s="1">
        <v>85</v>
      </c>
      <c r="BA56" s="1">
        <v>85</v>
      </c>
      <c r="BE56" s="1">
        <v>91</v>
      </c>
      <c r="BF56" s="1" t="s">
        <v>144</v>
      </c>
      <c r="BG56" s="1" t="s">
        <v>146</v>
      </c>
    </row>
    <row r="57" spans="1:59" x14ac:dyDescent="0.2">
      <c r="A57" s="1" t="s">
        <v>135</v>
      </c>
      <c r="B57" s="1" t="s">
        <v>142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8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X57" s="1">
        <v>1</v>
      </c>
      <c r="AD57" s="1">
        <v>220</v>
      </c>
      <c r="AJ57" s="1" t="s">
        <v>145</v>
      </c>
      <c r="AL57" s="87" t="s">
        <v>1139</v>
      </c>
      <c r="AM57" s="87" t="s">
        <v>1139</v>
      </c>
      <c r="AO57" s="13">
        <v>85</v>
      </c>
      <c r="AQ57" s="13" t="s">
        <v>143</v>
      </c>
      <c r="AR57" s="13" t="s">
        <v>143</v>
      </c>
      <c r="AS57" s="13" t="s">
        <v>143</v>
      </c>
      <c r="AT57" s="13" t="s">
        <v>143</v>
      </c>
      <c r="AU57" s="13" t="s">
        <v>143</v>
      </c>
      <c r="AV57" s="13"/>
      <c r="AW57" s="1">
        <v>85</v>
      </c>
      <c r="BA57" s="1">
        <v>85</v>
      </c>
      <c r="BE57" s="1">
        <v>91</v>
      </c>
      <c r="BF57" s="1" t="s">
        <v>144</v>
      </c>
      <c r="BG57" s="1" t="s">
        <v>146</v>
      </c>
    </row>
    <row r="58" spans="1:59" x14ac:dyDescent="0.2">
      <c r="A58" s="1" t="s">
        <v>136</v>
      </c>
      <c r="B58" s="1" t="s">
        <v>142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8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X58" s="1">
        <v>1</v>
      </c>
      <c r="AD58" s="1">
        <v>220</v>
      </c>
      <c r="AJ58" s="1" t="s">
        <v>145</v>
      </c>
      <c r="AL58" s="87" t="s">
        <v>1139</v>
      </c>
      <c r="AM58" s="87" t="s">
        <v>1139</v>
      </c>
      <c r="AO58" s="13">
        <v>85</v>
      </c>
      <c r="AQ58" s="13" t="s">
        <v>143</v>
      </c>
      <c r="AR58" s="13" t="s">
        <v>143</v>
      </c>
      <c r="AS58" s="13" t="s">
        <v>143</v>
      </c>
      <c r="AT58" s="13" t="s">
        <v>143</v>
      </c>
      <c r="AU58" s="13" t="s">
        <v>143</v>
      </c>
      <c r="AV58" s="13"/>
      <c r="AW58" s="1">
        <v>85</v>
      </c>
      <c r="BA58" s="1">
        <v>85</v>
      </c>
      <c r="BE58" s="1">
        <v>91</v>
      </c>
      <c r="BF58" s="1" t="s">
        <v>144</v>
      </c>
      <c r="BG58" s="1" t="s">
        <v>146</v>
      </c>
    </row>
    <row r="59" spans="1:59" x14ac:dyDescent="0.2">
      <c r="A59" s="1" t="s">
        <v>136</v>
      </c>
      <c r="B59" s="1" t="s">
        <v>142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8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X59" s="1">
        <v>1</v>
      </c>
      <c r="AD59" s="1">
        <v>220</v>
      </c>
      <c r="AJ59" s="1" t="s">
        <v>145</v>
      </c>
      <c r="AL59" s="87" t="s">
        <v>1139</v>
      </c>
      <c r="AM59" s="87" t="s">
        <v>1139</v>
      </c>
      <c r="AO59" s="13">
        <v>85</v>
      </c>
      <c r="AQ59" s="13" t="s">
        <v>143</v>
      </c>
      <c r="AR59" s="13" t="s">
        <v>143</v>
      </c>
      <c r="AS59" s="13" t="s">
        <v>143</v>
      </c>
      <c r="AT59" s="13" t="s">
        <v>143</v>
      </c>
      <c r="AU59" s="13" t="s">
        <v>143</v>
      </c>
      <c r="AV59" s="13"/>
      <c r="AW59" s="1">
        <v>85</v>
      </c>
      <c r="BA59" s="1">
        <v>85</v>
      </c>
      <c r="BE59" s="1">
        <v>91</v>
      </c>
      <c r="BF59" s="1" t="s">
        <v>144</v>
      </c>
      <c r="BG59" s="1" t="s">
        <v>146</v>
      </c>
    </row>
    <row r="60" spans="1:59" x14ac:dyDescent="0.2">
      <c r="A60" s="1" t="s">
        <v>137</v>
      </c>
      <c r="B60" s="1" t="s">
        <v>142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8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J60" s="1" t="s">
        <v>145</v>
      </c>
      <c r="AL60" s="87" t="s">
        <v>1139</v>
      </c>
      <c r="AM60" s="87" t="s">
        <v>1139</v>
      </c>
      <c r="AO60" s="13">
        <v>85</v>
      </c>
      <c r="AQ60" s="13" t="s">
        <v>143</v>
      </c>
      <c r="AR60" s="13" t="s">
        <v>143</v>
      </c>
      <c r="AS60" s="13" t="s">
        <v>143</v>
      </c>
      <c r="AT60" s="13" t="s">
        <v>143</v>
      </c>
      <c r="AU60" s="13" t="s">
        <v>143</v>
      </c>
      <c r="AV60" s="13"/>
      <c r="AW60" s="1">
        <v>85</v>
      </c>
      <c r="BA60" s="1">
        <v>85</v>
      </c>
      <c r="BE60" s="1">
        <v>91</v>
      </c>
      <c r="BF60" s="1" t="s">
        <v>144</v>
      </c>
    </row>
    <row r="61" spans="1:59" x14ac:dyDescent="0.2">
      <c r="A61" s="1" t="s">
        <v>137</v>
      </c>
      <c r="B61" s="1" t="s">
        <v>142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8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J61" s="1" t="s">
        <v>145</v>
      </c>
      <c r="AL61" s="87" t="s">
        <v>1139</v>
      </c>
      <c r="AM61" s="87" t="s">
        <v>1139</v>
      </c>
      <c r="AO61" s="13">
        <v>85</v>
      </c>
      <c r="AQ61" s="13" t="s">
        <v>143</v>
      </c>
      <c r="AR61" s="13" t="s">
        <v>143</v>
      </c>
      <c r="AS61" s="13" t="s">
        <v>143</v>
      </c>
      <c r="AT61" s="13" t="s">
        <v>143</v>
      </c>
      <c r="AU61" s="13" t="s">
        <v>143</v>
      </c>
      <c r="AV61" s="13"/>
      <c r="AW61" s="1">
        <v>85</v>
      </c>
      <c r="BA61" s="1">
        <v>85</v>
      </c>
      <c r="BE61" s="1">
        <v>91</v>
      </c>
      <c r="BF61" s="1" t="s">
        <v>144</v>
      </c>
    </row>
    <row r="62" spans="1:59" x14ac:dyDescent="0.2">
      <c r="A62" s="1" t="s">
        <v>138</v>
      </c>
      <c r="B62" s="1" t="s">
        <v>142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8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X62" s="1">
        <v>2</v>
      </c>
      <c r="Z62" s="1">
        <v>24</v>
      </c>
      <c r="AD62" s="1">
        <v>365</v>
      </c>
      <c r="AL62" s="87" t="s">
        <v>1139</v>
      </c>
      <c r="AM62" s="87" t="s">
        <v>1139</v>
      </c>
      <c r="AO62" s="13">
        <v>85</v>
      </c>
      <c r="AQ62" s="13" t="s">
        <v>143</v>
      </c>
      <c r="AR62" s="13" t="s">
        <v>143</v>
      </c>
      <c r="AS62" s="13" t="s">
        <v>143</v>
      </c>
      <c r="AT62" s="13" t="s">
        <v>143</v>
      </c>
      <c r="AU62" s="13" t="s">
        <v>143</v>
      </c>
      <c r="AV62" s="13"/>
      <c r="AW62" s="1">
        <v>85</v>
      </c>
      <c r="AX62" s="1">
        <v>84</v>
      </c>
      <c r="BA62" s="1">
        <v>85</v>
      </c>
      <c r="BE62" s="1">
        <v>91</v>
      </c>
      <c r="BF62" s="1" t="s">
        <v>144</v>
      </c>
    </row>
    <row r="63" spans="1:59" x14ac:dyDescent="0.2">
      <c r="A63" s="1" t="s">
        <v>138</v>
      </c>
      <c r="B63" s="1" t="s">
        <v>142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8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X63" s="1">
        <v>2</v>
      </c>
      <c r="Z63" s="1">
        <v>24</v>
      </c>
      <c r="AD63" s="1">
        <v>365</v>
      </c>
      <c r="AL63" s="87" t="s">
        <v>1139</v>
      </c>
      <c r="AM63" s="87" t="s">
        <v>1139</v>
      </c>
      <c r="AO63" s="13">
        <v>85</v>
      </c>
      <c r="AQ63" s="13" t="s">
        <v>143</v>
      </c>
      <c r="AR63" s="13" t="s">
        <v>143</v>
      </c>
      <c r="AS63" s="13" t="s">
        <v>143</v>
      </c>
      <c r="AT63" s="13" t="s">
        <v>143</v>
      </c>
      <c r="AU63" s="13" t="s">
        <v>143</v>
      </c>
      <c r="AV63" s="13"/>
      <c r="AW63" s="1">
        <v>85</v>
      </c>
      <c r="AX63" s="1">
        <v>84</v>
      </c>
      <c r="BA63" s="1">
        <v>85</v>
      </c>
      <c r="BE63" s="1">
        <v>91</v>
      </c>
      <c r="BF63" s="1" t="s">
        <v>144</v>
      </c>
    </row>
    <row r="64" spans="1:59" x14ac:dyDescent="0.2">
      <c r="A64" s="1" t="s">
        <v>141</v>
      </c>
      <c r="B64" s="1" t="s">
        <v>142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8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X64" s="1">
        <v>12</v>
      </c>
      <c r="AA64" s="1">
        <v>8</v>
      </c>
      <c r="AD64" s="1">
        <v>80</v>
      </c>
      <c r="AL64" s="87" t="s">
        <v>1139</v>
      </c>
      <c r="AM64" s="87" t="s">
        <v>1139</v>
      </c>
      <c r="AO64" s="13">
        <v>85</v>
      </c>
      <c r="AQ64" s="13" t="s">
        <v>143</v>
      </c>
      <c r="AR64" s="13" t="s">
        <v>143</v>
      </c>
      <c r="AS64" s="13" t="s">
        <v>143</v>
      </c>
      <c r="AT64" s="13" t="s">
        <v>143</v>
      </c>
      <c r="AU64" s="13" t="s">
        <v>143</v>
      </c>
      <c r="AV64" s="13"/>
      <c r="AW64" s="1">
        <v>85</v>
      </c>
      <c r="AY64" s="1">
        <v>78</v>
      </c>
      <c r="BA64" s="1">
        <v>85</v>
      </c>
      <c r="BE64" s="1">
        <v>91</v>
      </c>
      <c r="BF64" s="1" t="s">
        <v>144</v>
      </c>
    </row>
    <row r="65" spans="1:58" x14ac:dyDescent="0.2">
      <c r="A65" s="1" t="s">
        <v>141</v>
      </c>
      <c r="B65" s="1" t="s">
        <v>142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8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X65" s="1">
        <v>12</v>
      </c>
      <c r="AA65" s="1">
        <v>8</v>
      </c>
      <c r="AD65" s="1">
        <v>80</v>
      </c>
      <c r="AL65" s="87" t="s">
        <v>1139</v>
      </c>
      <c r="AM65" s="87" t="s">
        <v>1139</v>
      </c>
      <c r="AO65" s="13">
        <v>85</v>
      </c>
      <c r="AQ65" s="13" t="s">
        <v>143</v>
      </c>
      <c r="AR65" s="13" t="s">
        <v>143</v>
      </c>
      <c r="AS65" s="13" t="s">
        <v>143</v>
      </c>
      <c r="AT65" s="13" t="s">
        <v>143</v>
      </c>
      <c r="AU65" s="13" t="s">
        <v>143</v>
      </c>
      <c r="AV65" s="13"/>
      <c r="AW65" s="1">
        <v>85</v>
      </c>
      <c r="AY65" s="1">
        <v>68</v>
      </c>
      <c r="BA65" s="1">
        <v>85</v>
      </c>
      <c r="BE65" s="1">
        <v>91</v>
      </c>
      <c r="BF65" s="1" t="s">
        <v>144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55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62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63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63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BT13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F8" sqref="AF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4" width="24.7109375" style="1" customWidth="1"/>
    <col min="25" max="25" width="28.42578125" style="1" customWidth="1"/>
    <col min="26" max="26" width="27.42578125" style="1" bestFit="1" customWidth="1"/>
    <col min="27" max="28" width="27.42578125" style="1" customWidth="1"/>
    <col min="29" max="29" width="20.7109375" style="1" bestFit="1" customWidth="1"/>
    <col min="30" max="35" width="20.7109375" style="1" customWidth="1"/>
    <col min="36" max="36" width="25.85546875" style="1" bestFit="1" customWidth="1"/>
    <col min="37" max="37" width="29.7109375" style="1" bestFit="1" customWidth="1"/>
    <col min="38" max="38" width="24" style="1" bestFit="1" customWidth="1"/>
    <col min="39" max="39" width="38.28515625" style="1" bestFit="1" customWidth="1"/>
    <col min="40" max="42" width="38.28515625" style="1" customWidth="1"/>
    <col min="43" max="43" width="38.28515625" style="1" bestFit="1" customWidth="1"/>
    <col min="44" max="45" width="38.28515625" style="1" customWidth="1"/>
    <col min="46" max="46" width="33.42578125" style="1" bestFit="1" customWidth="1"/>
    <col min="47" max="47" width="33.42578125" style="1" customWidth="1"/>
    <col min="48" max="48" width="25.7109375" style="1" bestFit="1" customWidth="1"/>
    <col min="49" max="49" width="25.7109375" style="1" customWidth="1"/>
    <col min="50" max="50" width="56.7109375" style="1" bestFit="1" customWidth="1"/>
    <col min="51" max="52" width="35.5703125" style="1" customWidth="1"/>
    <col min="53" max="53" width="31.7109375" style="1" bestFit="1" customWidth="1"/>
    <col min="54" max="54" width="31.5703125" style="1" bestFit="1" customWidth="1"/>
    <col min="55" max="59" width="31.5703125" style="1" customWidth="1"/>
    <col min="60" max="60" width="37.42578125" style="1" bestFit="1" customWidth="1"/>
    <col min="61" max="61" width="35.7109375" style="1" bestFit="1" customWidth="1"/>
    <col min="62" max="62" width="28.85546875" style="1" bestFit="1" customWidth="1"/>
    <col min="63" max="63" width="34" style="1" bestFit="1" customWidth="1"/>
    <col min="64" max="64" width="37.85546875" style="1" bestFit="1" customWidth="1"/>
    <col min="65" max="65" width="34.42578125" style="1" bestFit="1" customWidth="1"/>
    <col min="66" max="66" width="38.140625" style="1" bestFit="1" customWidth="1"/>
    <col min="67" max="67" width="22.85546875" style="1" bestFit="1" customWidth="1"/>
    <col min="68" max="68" width="28.5703125" style="1" bestFit="1" customWidth="1"/>
    <col min="69" max="69" width="28.28515625" style="1" bestFit="1" customWidth="1"/>
    <col min="70" max="70" width="28.28515625" style="1" customWidth="1"/>
    <col min="71" max="71" width="31" style="1" bestFit="1" customWidth="1"/>
    <col min="72" max="72" width="28.85546875" style="1" bestFit="1" customWidth="1"/>
    <col min="73" max="16384" width="11.42578125" style="1"/>
  </cols>
  <sheetData>
    <row r="1" spans="1:7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1175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562</v>
      </c>
      <c r="R1" s="2" t="s">
        <v>1146</v>
      </c>
      <c r="S1" s="2" t="s">
        <v>1147</v>
      </c>
      <c r="T1" s="2" t="s">
        <v>600</v>
      </c>
      <c r="U1" s="2" t="s">
        <v>601</v>
      </c>
      <c r="V1" s="2" t="s">
        <v>116</v>
      </c>
      <c r="W1" s="2" t="s">
        <v>57</v>
      </c>
      <c r="X1" s="2" t="s">
        <v>123</v>
      </c>
      <c r="Y1" s="2" t="s">
        <v>58</v>
      </c>
      <c r="Z1" s="2" t="s">
        <v>9</v>
      </c>
      <c r="AA1" s="2" t="s">
        <v>431</v>
      </c>
      <c r="AB1" s="2" t="s">
        <v>227</v>
      </c>
      <c r="AC1" s="2" t="s">
        <v>159</v>
      </c>
      <c r="AD1" s="2" t="s">
        <v>1173</v>
      </c>
      <c r="AE1" s="2" t="s">
        <v>229</v>
      </c>
      <c r="AF1" s="2" t="s">
        <v>230</v>
      </c>
      <c r="AG1" s="2" t="s">
        <v>160</v>
      </c>
      <c r="AH1" s="2" t="s">
        <v>216</v>
      </c>
      <c r="AI1" s="2" t="s">
        <v>217</v>
      </c>
      <c r="AJ1" s="2" t="s">
        <v>3</v>
      </c>
      <c r="AK1" s="2" t="s">
        <v>10</v>
      </c>
      <c r="AL1" s="2" t="s">
        <v>16</v>
      </c>
      <c r="AM1" s="2" t="s">
        <v>4</v>
      </c>
      <c r="AN1" s="2" t="s">
        <v>99</v>
      </c>
      <c r="AO1" s="2" t="s">
        <v>185</v>
      </c>
      <c r="AP1" s="2" t="s">
        <v>184</v>
      </c>
      <c r="AQ1" s="2" t="s">
        <v>12</v>
      </c>
      <c r="AR1" s="2" t="s">
        <v>233</v>
      </c>
      <c r="AS1" s="2" t="s">
        <v>234</v>
      </c>
      <c r="AT1" s="2" t="s">
        <v>232</v>
      </c>
      <c r="AU1" s="2" t="s">
        <v>334</v>
      </c>
      <c r="AV1" s="2" t="s">
        <v>335</v>
      </c>
      <c r="AW1" s="2" t="s">
        <v>147</v>
      </c>
      <c r="AX1" s="2" t="s">
        <v>22</v>
      </c>
      <c r="AY1" s="2" t="s">
        <v>164</v>
      </c>
      <c r="AZ1" s="2" t="s">
        <v>165</v>
      </c>
      <c r="BA1" s="2" t="s">
        <v>1</v>
      </c>
      <c r="BB1" s="2" t="s">
        <v>2</v>
      </c>
      <c r="BC1" s="2" t="s">
        <v>59</v>
      </c>
      <c r="BD1" s="2" t="s">
        <v>1161</v>
      </c>
      <c r="BE1" s="2" t="s">
        <v>238</v>
      </c>
      <c r="BF1" s="2" t="s">
        <v>117</v>
      </c>
      <c r="BG1" s="2" t="s">
        <v>60</v>
      </c>
      <c r="BH1" s="2" t="s">
        <v>61</v>
      </c>
      <c r="BI1" s="2" t="s">
        <v>98</v>
      </c>
      <c r="BJ1" s="2" t="s">
        <v>5</v>
      </c>
      <c r="BK1" s="2" t="s">
        <v>6</v>
      </c>
      <c r="BL1" s="2" t="s">
        <v>17</v>
      </c>
      <c r="BM1" s="2" t="s">
        <v>18</v>
      </c>
      <c r="BN1" s="2" t="s">
        <v>7</v>
      </c>
      <c r="BO1" s="2" t="s">
        <v>19</v>
      </c>
      <c r="BP1" s="2" t="s">
        <v>20</v>
      </c>
      <c r="BQ1" s="2" t="s">
        <v>21</v>
      </c>
      <c r="BR1" s="2" t="s">
        <v>148</v>
      </c>
      <c r="BS1" s="2" t="s">
        <v>23</v>
      </c>
      <c r="BT1" s="2" t="s">
        <v>51</v>
      </c>
    </row>
    <row r="2" spans="1:72" x14ac:dyDescent="0.2">
      <c r="A2" s="6" t="s">
        <v>54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/>
      <c r="L2" s="19"/>
      <c r="M2" s="19"/>
      <c r="N2" s="19" t="str">
        <f>IF(Tabelle58971113[[#This Row],[Potenzial pos. max MW]]&lt;&gt;"",Tabelle58971113[[#This Row],[Potenzial pos. max MW]],"")</f>
        <v/>
      </c>
      <c r="O2" s="19"/>
      <c r="P2" s="9"/>
      <c r="Q2" s="9"/>
      <c r="R2" s="45" t="str">
        <f>IF(Tabelle58971113[[#This Row],[Durchschnittsauslastung min]]&lt;&gt;"",Tabelle58971113[[#This Row],[Durchschnittsauslastung min]]*8760,"")</f>
        <v/>
      </c>
      <c r="S2" s="45" t="str">
        <f>IF(Tabelle58971113[[#This Row],[Durchschnittsauslastung max]]&lt;&gt;"",Tabelle58971113[[#This Row],[Durchschnittsauslastung max]]*8760,"")</f>
        <v/>
      </c>
      <c r="T2" s="9"/>
      <c r="U2" s="9"/>
      <c r="V2" s="20" t="str">
        <f>IF(Tabelle58971113[[#This Row],[installierte Leistung MW]]&lt;&gt;"",Tabelle58971113[[#This Row],[Durchschnittsauslastung max]]*Tabelle58971113[[#This Row],[installierte Leistung MW]],"")</f>
        <v/>
      </c>
      <c r="W2" s="19"/>
      <c r="X2" s="9"/>
      <c r="Y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O2" s="19"/>
      <c r="AP2" s="19"/>
      <c r="AQ2" s="19"/>
      <c r="AR2" s="8">
        <f>40/Umrechnungsfaktoren!$B$10</f>
        <v>42.152284263959395</v>
      </c>
      <c r="AS2" s="8">
        <f>800/Umrechnungsfaktoren!$B$10</f>
        <v>843.04568527918786</v>
      </c>
      <c r="AT2" s="19"/>
      <c r="AU2" s="8"/>
      <c r="AV2" s="8"/>
      <c r="AX2" s="1" t="s">
        <v>1148</v>
      </c>
      <c r="BA2" s="13"/>
      <c r="BC2" s="13"/>
      <c r="BD2" s="13"/>
      <c r="BE2" s="13"/>
      <c r="BF2" s="13"/>
      <c r="BH2" s="13"/>
      <c r="BI2" s="13"/>
      <c r="BP2" s="1" t="s">
        <v>345</v>
      </c>
    </row>
    <row r="3" spans="1:72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9"/>
      <c r="H3" s="19"/>
      <c r="I3" s="19">
        <v>575</v>
      </c>
      <c r="J3" s="19">
        <v>575</v>
      </c>
      <c r="K3" s="19"/>
      <c r="L3" s="19"/>
      <c r="M3" s="19"/>
      <c r="N3" s="19">
        <f>IF(Tabelle58971113[[#This Row],[Potenzial pos. max MW]]&lt;&gt;"",Tabelle58971113[[#This Row],[Potenzial pos. max MW]],"")</f>
        <v>575</v>
      </c>
      <c r="O3" s="19"/>
      <c r="P3" s="20"/>
      <c r="Q3" s="9">
        <v>0.65</v>
      </c>
      <c r="R3" s="45" t="str">
        <f>IF(Tabelle58971113[[#This Row],[Durchschnittsauslastung min]]&lt;&gt;"",Tabelle58971113[[#This Row],[Durchschnittsauslastung min]]*8760,"")</f>
        <v/>
      </c>
      <c r="S3" s="45" t="str">
        <f>IF(Tabelle58971113[[#This Row],[Durchschnittsauslastung max]]&lt;&gt;"",Tabelle58971113[[#This Row],[Durchschnittsauslastung max]]*8760,"")</f>
        <v/>
      </c>
      <c r="T3" s="9"/>
      <c r="U3" s="9"/>
      <c r="V3" s="20"/>
      <c r="W3" s="19"/>
      <c r="X3" s="9"/>
      <c r="Y3" s="19">
        <v>910</v>
      </c>
      <c r="Z3" s="1">
        <v>0.25</v>
      </c>
      <c r="AC3" s="1">
        <v>2</v>
      </c>
      <c r="AD3" s="1">
        <v>2</v>
      </c>
      <c r="AN3" s="1">
        <v>50</v>
      </c>
      <c r="AO3" s="19"/>
      <c r="AP3" s="19"/>
      <c r="AQ3" s="19"/>
      <c r="AR3" s="8"/>
      <c r="AS3" s="8"/>
      <c r="AT3" s="8"/>
      <c r="AU3" s="8"/>
      <c r="AV3" s="8"/>
      <c r="AX3" s="1" t="s">
        <v>1142</v>
      </c>
      <c r="BA3" s="13" t="s">
        <v>338</v>
      </c>
      <c r="BB3" s="13" t="s">
        <v>338</v>
      </c>
      <c r="BC3" s="13"/>
      <c r="BD3" s="13" t="s">
        <v>338</v>
      </c>
      <c r="BE3" s="13"/>
      <c r="BF3" s="13"/>
      <c r="BH3" s="13" t="s">
        <v>1141</v>
      </c>
      <c r="BI3" s="13" t="s">
        <v>345</v>
      </c>
      <c r="BJ3" s="13" t="s">
        <v>338</v>
      </c>
      <c r="BN3" s="13" t="s">
        <v>338</v>
      </c>
      <c r="BS3" s="1" t="s">
        <v>1143</v>
      </c>
    </row>
    <row r="4" spans="1:72" x14ac:dyDescent="0.2">
      <c r="A4" s="1" t="s">
        <v>77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9"/>
      <c r="H4" s="19"/>
      <c r="I4" s="19">
        <v>300</v>
      </c>
      <c r="J4" s="19">
        <v>300</v>
      </c>
      <c r="K4" s="19"/>
      <c r="L4" s="19"/>
      <c r="M4" s="19"/>
      <c r="N4" s="19">
        <f>IF(Tabelle58971113[[#This Row],[Potenzial pos. max MW]]&lt;&gt;"",Tabelle58971113[[#This Row],[Potenzial pos. max MW]],"")</f>
        <v>300</v>
      </c>
      <c r="O4" s="19"/>
      <c r="P4" s="20"/>
      <c r="Q4" s="9">
        <v>1</v>
      </c>
      <c r="R4" s="45">
        <f>IF(Tabelle58971113[[#This Row],[Durchschnittsauslastung min]]&lt;&gt;"",Tabelle58971113[[#This Row],[Durchschnittsauslastung min]]*8760,"")</f>
        <v>7008</v>
      </c>
      <c r="S4" s="45">
        <f>IF(Tabelle58971113[[#This Row],[Durchschnittsauslastung max]]&lt;&gt;"",Tabelle58971113[[#This Row],[Durchschnittsauslastung max]]*8760,"")</f>
        <v>7446</v>
      </c>
      <c r="T4" s="9">
        <v>0.8</v>
      </c>
      <c r="U4" s="9">
        <v>0.85</v>
      </c>
      <c r="V4" s="20">
        <f>IF(Tabelle58971113[[#This Row],[installierte Leistung MW]]&lt;&gt;"",Tabelle58971113[[#This Row],[Durchschnittsauslastung max]]*Tabelle58971113[[#This Row],[installierte Leistung MW]],"")</f>
        <v>255</v>
      </c>
      <c r="W4" s="19"/>
      <c r="X4" s="9"/>
      <c r="Y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Z4" s="1">
        <f>5/60</f>
        <v>8.3333333333333329E-2</v>
      </c>
      <c r="AC4" s="1">
        <v>2</v>
      </c>
      <c r="AD4" s="1">
        <v>2</v>
      </c>
      <c r="AL4" s="1" t="s">
        <v>342</v>
      </c>
      <c r="AN4" s="1">
        <v>20</v>
      </c>
      <c r="AO4" s="19"/>
      <c r="AP4" s="19"/>
      <c r="AQ4" s="19"/>
      <c r="AR4" s="8"/>
      <c r="AS4" s="8"/>
      <c r="AT4" s="8"/>
      <c r="AU4" s="8"/>
      <c r="AV4" s="8"/>
      <c r="BA4" s="13" t="s">
        <v>338</v>
      </c>
      <c r="BB4" s="13" t="s">
        <v>338</v>
      </c>
      <c r="BC4" s="13"/>
      <c r="BD4" s="13" t="s">
        <v>338</v>
      </c>
      <c r="BE4" s="13" t="s">
        <v>344</v>
      </c>
      <c r="BF4" s="13"/>
      <c r="BH4" s="13"/>
      <c r="BI4" s="13" t="s">
        <v>343</v>
      </c>
      <c r="BJ4" s="13" t="s">
        <v>338</v>
      </c>
      <c r="BN4" s="13" t="s">
        <v>343</v>
      </c>
    </row>
    <row r="5" spans="1:72" x14ac:dyDescent="0.2">
      <c r="A5" s="1" t="s">
        <v>81</v>
      </c>
      <c r="B5" s="1" t="s">
        <v>129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/>
      <c r="L5" s="19"/>
      <c r="M5" s="19"/>
      <c r="N5" s="19" t="str">
        <f>IF(Tabelle58971113[[#This Row],[Potenzial pos. max MW]]&lt;&gt;"",Tabelle58971113[[#This Row],[Potenzial pos. max MW]],"")</f>
        <v/>
      </c>
      <c r="O5" s="19"/>
      <c r="P5" s="20"/>
      <c r="Q5" s="9"/>
      <c r="R5" s="45" t="str">
        <f>IF(Tabelle58971113[[#This Row],[Durchschnittsauslastung min]]&lt;&gt;"",Tabelle58971113[[#This Row],[Durchschnittsauslastung min]]*8760,"")</f>
        <v/>
      </c>
      <c r="S5" s="45" t="str">
        <f>IF(Tabelle58971113[[#This Row],[Durchschnittsauslastung max]]&lt;&gt;"",Tabelle58971113[[#This Row],[Durchschnittsauslastung max]]*8760,"")</f>
        <v/>
      </c>
      <c r="T5" s="9"/>
      <c r="U5" s="9"/>
      <c r="V5" s="20" t="str">
        <f>IF(Tabelle58971113[[#This Row],[installierte Leistung MW]]&lt;&gt;"",Tabelle58971113[[#This Row],[Durchschnittsauslastung max]]*Tabelle58971113[[#This Row],[installierte Leistung MW]],"")</f>
        <v/>
      </c>
      <c r="W5" s="19"/>
      <c r="X5" s="9"/>
      <c r="Y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O5" s="19"/>
      <c r="AP5" s="19"/>
      <c r="AQ5" s="19"/>
      <c r="AR5" s="8"/>
      <c r="AS5" s="8"/>
      <c r="AT5" s="8"/>
      <c r="AU5" s="8"/>
      <c r="AV5" s="8"/>
      <c r="BA5" s="13"/>
      <c r="BB5" s="13"/>
      <c r="BC5" s="13"/>
      <c r="BD5" s="13"/>
      <c r="BE5" s="13"/>
      <c r="BF5" s="13"/>
      <c r="BH5" s="13"/>
      <c r="BI5" s="13"/>
      <c r="BJ5" s="13"/>
      <c r="BN5" s="13"/>
    </row>
    <row r="6" spans="1:72" x14ac:dyDescent="0.2">
      <c r="A6" s="1" t="s">
        <v>84</v>
      </c>
      <c r="B6" s="1" t="s">
        <v>129</v>
      </c>
      <c r="C6" s="1">
        <v>2013</v>
      </c>
      <c r="D6" s="1">
        <v>1</v>
      </c>
      <c r="E6" s="1">
        <v>1</v>
      </c>
      <c r="F6" s="1">
        <v>0</v>
      </c>
      <c r="G6" s="19"/>
      <c r="H6" s="19"/>
      <c r="I6" s="19">
        <v>680</v>
      </c>
      <c r="J6" s="19">
        <v>680</v>
      </c>
      <c r="K6" s="19"/>
      <c r="L6" s="19"/>
      <c r="M6" s="19"/>
      <c r="N6" s="19">
        <f>IF(Tabelle58971113[[#This Row],[Potenzial pos. max MW]]&lt;&gt;"",Tabelle58971113[[#This Row],[Potenzial pos. max MW]],"")</f>
        <v>680</v>
      </c>
      <c r="O6" s="19"/>
      <c r="P6" s="20"/>
      <c r="Q6" s="9">
        <v>0.75</v>
      </c>
      <c r="R6" s="45" t="str">
        <f>IF(Tabelle58971113[[#This Row],[Durchschnittsauslastung min]]&lt;&gt;"",Tabelle58971113[[#This Row],[Durchschnittsauslastung min]]*8760,"")</f>
        <v/>
      </c>
      <c r="S6" s="45" t="str">
        <f>IF(Tabelle58971113[[#This Row],[Durchschnittsauslastung max]]&lt;&gt;"",Tabelle58971113[[#This Row],[Durchschnittsauslastung max]]*8760,"")</f>
        <v/>
      </c>
      <c r="T6" s="9"/>
      <c r="U6" s="9"/>
      <c r="V6" s="20"/>
      <c r="W6" s="19"/>
      <c r="X6" s="9"/>
      <c r="Y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AC6" s="1">
        <v>2</v>
      </c>
      <c r="AD6" s="1">
        <v>2</v>
      </c>
      <c r="AL6" s="1" t="s">
        <v>1140</v>
      </c>
      <c r="AN6" s="1">
        <v>50</v>
      </c>
      <c r="AO6" s="19"/>
      <c r="AP6" s="19"/>
      <c r="AQ6" s="19"/>
      <c r="AR6" s="8"/>
      <c r="AS6" s="8"/>
      <c r="AT6" s="8"/>
      <c r="AU6" s="8"/>
      <c r="AV6" s="8"/>
      <c r="BA6" s="13" t="s">
        <v>338</v>
      </c>
      <c r="BB6" s="13" t="s">
        <v>338</v>
      </c>
      <c r="BC6" s="13"/>
      <c r="BD6" s="13" t="s">
        <v>338</v>
      </c>
      <c r="BE6" s="13"/>
      <c r="BF6" s="13"/>
      <c r="BH6" s="13"/>
      <c r="BI6" s="13"/>
      <c r="BJ6" s="13" t="s">
        <v>338</v>
      </c>
      <c r="BN6" s="13" t="s">
        <v>338</v>
      </c>
    </row>
    <row r="7" spans="1:72" x14ac:dyDescent="0.2">
      <c r="A7" s="1" t="s">
        <v>953</v>
      </c>
      <c r="B7" s="1" t="s">
        <v>129</v>
      </c>
      <c r="C7" s="1">
        <v>2013</v>
      </c>
      <c r="D7" s="1">
        <v>1</v>
      </c>
      <c r="E7" s="1">
        <v>1</v>
      </c>
      <c r="F7" s="1">
        <v>0</v>
      </c>
      <c r="G7" s="19"/>
      <c r="H7" s="19"/>
      <c r="I7" s="19">
        <v>150</v>
      </c>
      <c r="J7" s="19">
        <v>150</v>
      </c>
      <c r="K7" s="19"/>
      <c r="L7" s="19"/>
      <c r="M7" s="19"/>
      <c r="N7" s="19">
        <f>IF(Tabelle58971113[[#This Row],[Potenzial pos. max MW]]&lt;&gt;"",Tabelle58971113[[#This Row],[Potenzial pos. max MW]],"")</f>
        <v>150</v>
      </c>
      <c r="O7" s="19"/>
      <c r="P7" s="20"/>
      <c r="Q7" s="9">
        <v>0.4</v>
      </c>
      <c r="R7" s="45">
        <v>5000</v>
      </c>
      <c r="S7" s="45">
        <v>6000</v>
      </c>
      <c r="T7" s="9">
        <f>Tabelle58971113[[#This Row],[Vollbenutzungsstunden min]]/8760</f>
        <v>0.57077625570776258</v>
      </c>
      <c r="U7" s="9">
        <f>Tabelle58971113[[#This Row],[Vollbenutzungsstunden max]]/8760</f>
        <v>0.68493150684931503</v>
      </c>
      <c r="V7" s="20">
        <f>IF(Tabelle58971113[[#This Row],[installierte Leistung MW]]&lt;&gt;"",Tabelle58971113[[#This Row],[Durchschnittsauslastung max]]*Tabelle58971113[[#This Row],[installierte Leistung MW]],"")</f>
        <v>256.84931506849313</v>
      </c>
      <c r="W7" s="19"/>
      <c r="X7" s="9"/>
      <c r="Y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Z7" s="1">
        <v>0.25</v>
      </c>
      <c r="AC7" s="1">
        <v>4</v>
      </c>
      <c r="AD7" s="1">
        <v>4</v>
      </c>
      <c r="AL7" s="1" t="s">
        <v>339</v>
      </c>
      <c r="AN7" s="1">
        <v>50</v>
      </c>
      <c r="AO7" s="19"/>
      <c r="AP7" s="19"/>
      <c r="AQ7" s="19"/>
      <c r="AR7" s="8"/>
      <c r="AS7" s="8"/>
      <c r="AT7" s="8"/>
      <c r="AU7" s="8"/>
      <c r="AV7" s="8"/>
      <c r="AX7" s="1" t="s">
        <v>1145</v>
      </c>
      <c r="BA7" s="13" t="s">
        <v>338</v>
      </c>
      <c r="BB7" s="13" t="s">
        <v>338</v>
      </c>
      <c r="BC7" s="13"/>
      <c r="BD7" s="13" t="s">
        <v>338</v>
      </c>
      <c r="BE7" s="13" t="s">
        <v>340</v>
      </c>
      <c r="BF7" s="13"/>
      <c r="BH7" s="13"/>
      <c r="BI7" s="13" t="s">
        <v>341</v>
      </c>
      <c r="BJ7" s="13" t="s">
        <v>338</v>
      </c>
      <c r="BM7" s="1" t="s">
        <v>340</v>
      </c>
      <c r="BN7" s="13" t="s">
        <v>338</v>
      </c>
      <c r="BS7" s="1" t="s">
        <v>341</v>
      </c>
    </row>
    <row r="8" spans="1:72" x14ac:dyDescent="0.2">
      <c r="A8" s="1" t="s">
        <v>213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/>
      <c r="L8" s="19"/>
      <c r="M8" s="19"/>
      <c r="N8" s="19" t="str">
        <f>IF(Tabelle58971113[[#This Row],[Potenzial pos. max MW]]&lt;&gt;"",Tabelle58971113[[#This Row],[Potenzial pos. max MW]],"")</f>
        <v/>
      </c>
      <c r="O8" s="19"/>
      <c r="P8" s="20"/>
      <c r="Q8" s="9"/>
      <c r="R8" s="45" t="str">
        <f>IF(Tabelle58971113[[#This Row],[Durchschnittsauslastung min]]&lt;&gt;"",Tabelle58971113[[#This Row],[Durchschnittsauslastung min]]*8760,"")</f>
        <v/>
      </c>
      <c r="S8" s="45" t="str">
        <f>IF(Tabelle58971113[[#This Row],[Durchschnittsauslastung max]]&lt;&gt;"",Tabelle58971113[[#This Row],[Durchschnittsauslastung max]]*8760,"")</f>
        <v/>
      </c>
      <c r="T8" s="9"/>
      <c r="U8" s="9"/>
      <c r="V8" s="20" t="str">
        <f>IF(Tabelle58971113[[#This Row],[installierte Leistung MW]]&lt;&gt;"",Tabelle58971113[[#This Row],[Durchschnittsauslastung max]]*Tabelle58971113[[#This Row],[installierte Leistung MW]],"")</f>
        <v/>
      </c>
      <c r="W8" s="19"/>
      <c r="X8" s="9"/>
      <c r="Y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A8" s="1">
        <v>0.25</v>
      </c>
      <c r="AB8" s="1">
        <v>2</v>
      </c>
      <c r="AE8" s="1">
        <v>0.25</v>
      </c>
      <c r="AF8" s="1">
        <v>2</v>
      </c>
      <c r="AO8" s="19"/>
      <c r="AP8" s="19"/>
      <c r="AQ8" s="19"/>
      <c r="AR8" s="8"/>
      <c r="AS8" s="8"/>
      <c r="AT8" s="8"/>
      <c r="AU8" s="8"/>
      <c r="AV8" s="8"/>
      <c r="BA8" s="13"/>
      <c r="BB8" s="13"/>
      <c r="BC8" s="13"/>
      <c r="BD8" s="13"/>
      <c r="BE8" s="13"/>
      <c r="BF8" s="13"/>
      <c r="BH8" s="13"/>
      <c r="BI8" s="13"/>
      <c r="BJ8" s="1" t="s">
        <v>346</v>
      </c>
    </row>
    <row r="9" spans="1:72" x14ac:dyDescent="0.2">
      <c r="A9" s="1" t="s">
        <v>211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/>
      <c r="L9" s="19"/>
      <c r="M9" s="19"/>
      <c r="N9" s="19" t="str">
        <f>IF(Tabelle58971113[[#This Row],[Potenzial pos. max MW]]&lt;&gt;"",Tabelle58971113[[#This Row],[Potenzial pos. max MW]],"")</f>
        <v/>
      </c>
      <c r="O9" s="19"/>
      <c r="P9" s="20"/>
      <c r="Q9" s="9"/>
      <c r="R9" s="45" t="str">
        <f>IF(Tabelle58971113[[#This Row],[Durchschnittsauslastung min]]&lt;&gt;"",Tabelle58971113[[#This Row],[Durchschnittsauslastung min]]*8760,"")</f>
        <v/>
      </c>
      <c r="S9" s="45" t="str">
        <f>IF(Tabelle58971113[[#This Row],[Durchschnittsauslastung max]]&lt;&gt;"",Tabelle58971113[[#This Row],[Durchschnittsauslastung max]]*8760,"")</f>
        <v/>
      </c>
      <c r="T9" s="9"/>
      <c r="U9" s="9"/>
      <c r="V9" s="20" t="str">
        <f>IF(Tabelle58971113[[#This Row],[installierte Leistung MW]]&lt;&gt;"",Tabelle58971113[[#This Row],[Durchschnittsauslastung max]]*Tabelle58971113[[#This Row],[installierte Leistung MW]],"")</f>
        <v/>
      </c>
      <c r="W9" s="19"/>
      <c r="X9" s="9"/>
      <c r="Y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O9" s="19"/>
      <c r="AP9" s="19"/>
      <c r="AQ9" s="19"/>
      <c r="AR9" s="8"/>
      <c r="AS9" s="8"/>
      <c r="AT9" s="8"/>
      <c r="AU9" s="8"/>
      <c r="AV9" s="8"/>
      <c r="BA9" s="13"/>
      <c r="BB9" s="13"/>
      <c r="BC9" s="13"/>
      <c r="BD9" s="13"/>
      <c r="BE9" s="13"/>
      <c r="BF9" s="13"/>
      <c r="BH9" s="13"/>
      <c r="BI9" s="13"/>
    </row>
    <row r="10" spans="1:72" x14ac:dyDescent="0.2">
      <c r="A10" s="1" t="s">
        <v>214</v>
      </c>
      <c r="B10" s="1" t="s">
        <v>129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/>
      <c r="L10" s="19"/>
      <c r="M10" s="19"/>
      <c r="N10" s="19" t="str">
        <f>IF(Tabelle58971113[[#This Row],[Potenzial pos. max MW]]&lt;&gt;"",Tabelle58971113[[#This Row],[Potenzial pos. max MW]],"")</f>
        <v/>
      </c>
      <c r="O10" s="19"/>
      <c r="P10" s="20"/>
      <c r="Q10" s="9"/>
      <c r="R10" s="45" t="str">
        <f>IF(Tabelle58971113[[#This Row],[Durchschnittsauslastung min]]&lt;&gt;"",Tabelle58971113[[#This Row],[Durchschnittsauslastung min]]*8760,"")</f>
        <v/>
      </c>
      <c r="S10" s="45" t="str">
        <f>IF(Tabelle58971113[[#This Row],[Durchschnittsauslastung max]]&lt;&gt;"",Tabelle58971113[[#This Row],[Durchschnittsauslastung max]]*8760,"")</f>
        <v/>
      </c>
      <c r="T10" s="9"/>
      <c r="U10" s="9"/>
      <c r="V10" s="20" t="str">
        <f>IF(Tabelle58971113[[#This Row],[installierte Leistung MW]]&lt;&gt;"",Tabelle58971113[[#This Row],[Durchschnittsauslastung max]]*Tabelle58971113[[#This Row],[installierte Leistung MW]],"")</f>
        <v/>
      </c>
      <c r="W10" s="19"/>
      <c r="X10" s="9"/>
      <c r="Y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O10" s="19"/>
      <c r="AP10" s="19"/>
      <c r="AQ10" s="19"/>
      <c r="AR10" s="8"/>
      <c r="AS10" s="8"/>
      <c r="AT10" s="8"/>
      <c r="AU10" s="8"/>
      <c r="AV10" s="8"/>
      <c r="BA10" s="13"/>
      <c r="BB10" s="13"/>
      <c r="BC10" s="13"/>
      <c r="BD10" s="13"/>
      <c r="BE10" s="13"/>
      <c r="BF10" s="13"/>
      <c r="BH10" s="13"/>
      <c r="BI10" s="13"/>
    </row>
    <row r="11" spans="1:72" x14ac:dyDescent="0.2">
      <c r="A11" s="1" t="s">
        <v>141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/>
      <c r="L11" s="19"/>
      <c r="M11" s="19"/>
      <c r="N11" s="19" t="str">
        <f>IF(Tabelle58971113[[#This Row],[Potenzial pos. max MW]]&lt;&gt;"",Tabelle58971113[[#This Row],[Potenzial pos. max MW]],"")</f>
        <v/>
      </c>
      <c r="O11" s="19"/>
      <c r="P11" s="20"/>
      <c r="Q11" s="9"/>
      <c r="R11" s="45" t="str">
        <f>IF(Tabelle58971113[[#This Row],[Durchschnittsauslastung min]]&lt;&gt;"",Tabelle58971113[[#This Row],[Durchschnittsauslastung min]]*8760,"")</f>
        <v/>
      </c>
      <c r="S11" s="45" t="str">
        <f>IF(Tabelle58971113[[#This Row],[Durchschnittsauslastung max]]&lt;&gt;"",Tabelle58971113[[#This Row],[Durchschnittsauslastung max]]*8760,"")</f>
        <v/>
      </c>
      <c r="T11" s="9"/>
      <c r="U11" s="9"/>
      <c r="V11" s="20" t="str">
        <f>IF(Tabelle58971113[[#This Row],[installierte Leistung MW]]&lt;&gt;"",Tabelle58971113[[#This Row],[Durchschnittsauslastung max]]*Tabelle58971113[[#This Row],[installierte Leistung MW]],"")</f>
        <v/>
      </c>
      <c r="W11" s="19"/>
      <c r="X11" s="9"/>
      <c r="Y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A11" s="1">
        <v>5</v>
      </c>
      <c r="AB11" s="1">
        <v>12</v>
      </c>
      <c r="AI11" s="1">
        <v>24</v>
      </c>
      <c r="AO11" s="19"/>
      <c r="AP11" s="19"/>
      <c r="AQ11" s="19"/>
      <c r="AR11" s="8"/>
      <c r="AS11" s="8"/>
      <c r="AT11" s="8"/>
      <c r="AU11" s="8"/>
      <c r="AV11" s="8"/>
      <c r="BA11" s="13"/>
      <c r="BB11" s="13"/>
      <c r="BC11" s="13"/>
      <c r="BD11" s="13"/>
      <c r="BE11" s="13"/>
      <c r="BF11" s="13"/>
      <c r="BH11" s="13"/>
      <c r="BI11" s="13"/>
      <c r="BJ11" s="1" t="s">
        <v>347</v>
      </c>
      <c r="BK11" s="1" t="s">
        <v>347</v>
      </c>
    </row>
    <row r="12" spans="1:72" x14ac:dyDescent="0.2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/>
      <c r="L12" s="19"/>
      <c r="M12" s="19"/>
      <c r="N12" s="19" t="str">
        <f>IF(Tabelle58971113[[#This Row],[Potenzial pos. max MW]]&lt;&gt;"",Tabelle58971113[[#This Row],[Potenzial pos. max MW]],"")</f>
        <v/>
      </c>
      <c r="O12" s="19"/>
      <c r="P12" s="20"/>
      <c r="Q12" s="9"/>
      <c r="R12" s="45" t="str">
        <f>IF(Tabelle58971113[[#This Row],[Durchschnittsauslastung min]]&lt;&gt;"",Tabelle58971113[[#This Row],[Durchschnittsauslastung min]]*8760,"")</f>
        <v/>
      </c>
      <c r="S12" s="45" t="str">
        <f>IF(Tabelle58971113[[#This Row],[Durchschnittsauslastung max]]&lt;&gt;"",Tabelle58971113[[#This Row],[Durchschnittsauslastung max]]*8760,"")</f>
        <v/>
      </c>
      <c r="T12" s="9"/>
      <c r="U12" s="9"/>
      <c r="V12" s="20" t="str">
        <f>IF(Tabelle58971113[[#This Row],[installierte Leistung MW]]&lt;&gt;"",Tabelle58971113[[#This Row],[Durchschnittsauslastung max]]*Tabelle58971113[[#This Row],[installierte Leistung MW]],"")</f>
        <v/>
      </c>
      <c r="W12" s="19"/>
      <c r="X12" s="9"/>
      <c r="Y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2" s="1">
        <v>1</v>
      </c>
      <c r="AI12" s="1">
        <v>12</v>
      </c>
      <c r="AL12" s="1" t="s">
        <v>348</v>
      </c>
      <c r="AO12" s="19"/>
      <c r="AP12" s="19"/>
      <c r="AQ12" s="19"/>
      <c r="AR12" s="8"/>
      <c r="AS12" s="8"/>
      <c r="AT12" s="8"/>
      <c r="AU12" s="8"/>
      <c r="AV12" s="8"/>
      <c r="BA12" s="13"/>
      <c r="BB12" s="13"/>
      <c r="BC12" s="13"/>
      <c r="BD12" s="13"/>
      <c r="BE12" s="13"/>
      <c r="BF12" s="13"/>
      <c r="BH12" s="13"/>
      <c r="BI12" s="13"/>
      <c r="BJ12" s="1" t="s">
        <v>349</v>
      </c>
      <c r="BK12" s="1" t="s">
        <v>349</v>
      </c>
      <c r="BM12" s="1" t="s">
        <v>350</v>
      </c>
    </row>
    <row r="13" spans="1:72" x14ac:dyDescent="0.2">
      <c r="A13" s="1" t="s">
        <v>215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/>
      <c r="I13" s="19">
        <v>17300</v>
      </c>
      <c r="J13" s="19"/>
      <c r="K13" s="19"/>
      <c r="L13" s="19">
        <v>160</v>
      </c>
      <c r="M13" s="19"/>
      <c r="N13" s="19">
        <f>IF(Tabelle58971113[[#This Row],[Potenzial pos. max MW]]&lt;&gt;"",Tabelle58971113[[#This Row],[Potenzial pos. max MW]],"")</f>
        <v>17300</v>
      </c>
      <c r="O13" s="19"/>
      <c r="P13" s="20"/>
      <c r="Q13" s="67"/>
      <c r="R13" s="45" t="str">
        <f>IF(Tabelle58971113[[#This Row],[Durchschnittsauslastung min]]&lt;&gt;"",Tabelle58971113[[#This Row],[Durchschnittsauslastung min]]*8760,"")</f>
        <v/>
      </c>
      <c r="S13" s="45"/>
      <c r="T13" s="67"/>
      <c r="U13" s="67"/>
      <c r="V13" s="20" t="str">
        <f>IF(Tabelle58971113[[#This Row],[installierte Leistung MW]]&lt;&gt;"",Tabelle58971113[[#This Row],[Durchschnittsauslastung max]]*Tabelle58971113[[#This Row],[installierte Leistung MW]],"")</f>
        <v/>
      </c>
      <c r="W13" s="19"/>
      <c r="X13" s="9"/>
      <c r="Y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Z13" s="68"/>
      <c r="AA13" s="68"/>
      <c r="AB13" s="68"/>
      <c r="AO13" s="19"/>
      <c r="AP13" s="19"/>
      <c r="AQ13" s="19"/>
      <c r="AR13" s="8"/>
      <c r="AS13" s="8"/>
      <c r="AT13" s="8"/>
      <c r="AU13" s="8"/>
      <c r="AV13" s="8"/>
      <c r="BA13" s="13" t="s">
        <v>1144</v>
      </c>
      <c r="BB13" s="13" t="s">
        <v>1144</v>
      </c>
      <c r="BC13" s="13"/>
      <c r="BD13" s="13"/>
      <c r="BE13" s="13"/>
      <c r="BF13" s="13"/>
      <c r="BH13" s="13"/>
      <c r="BI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B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3" sqref="D3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1" width="20.7109375" style="1" customWidth="1"/>
    <col min="32" max="32" width="25.85546875" style="1" bestFit="1" customWidth="1"/>
    <col min="33" max="33" width="29.7109375" style="1" bestFit="1" customWidth="1"/>
    <col min="34" max="34" width="24" style="1" bestFit="1" customWidth="1"/>
    <col min="35" max="35" width="38.28515625" style="1" bestFit="1" customWidth="1"/>
    <col min="36" max="38" width="38.28515625" style="1" customWidth="1"/>
    <col min="39" max="39" width="38.28515625" style="1" bestFit="1" customWidth="1"/>
    <col min="40" max="41" width="38.28515625" style="1" customWidth="1"/>
    <col min="42" max="42" width="33.42578125" style="1" bestFit="1" customWidth="1"/>
    <col min="43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332</v>
      </c>
      <c r="R1" s="2" t="s">
        <v>237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229</v>
      </c>
      <c r="AB1" s="2" t="s">
        <v>230</v>
      </c>
      <c r="AC1" s="2" t="s">
        <v>160</v>
      </c>
      <c r="AD1" s="2" t="s">
        <v>216</v>
      </c>
      <c r="AE1" s="2" t="s">
        <v>217</v>
      </c>
      <c r="AF1" s="2" t="s">
        <v>3</v>
      </c>
      <c r="AG1" s="2" t="s">
        <v>10</v>
      </c>
      <c r="AH1" s="2" t="s">
        <v>16</v>
      </c>
      <c r="AI1" s="2" t="s">
        <v>4</v>
      </c>
      <c r="AJ1" s="2" t="s">
        <v>99</v>
      </c>
      <c r="AK1" s="2" t="s">
        <v>185</v>
      </c>
      <c r="AL1" s="2" t="s">
        <v>184</v>
      </c>
      <c r="AM1" s="2" t="s">
        <v>12</v>
      </c>
      <c r="AN1" s="2" t="s">
        <v>233</v>
      </c>
      <c r="AO1" s="2" t="s">
        <v>234</v>
      </c>
      <c r="AP1" s="2" t="s">
        <v>232</v>
      </c>
      <c r="AQ1" s="2" t="s">
        <v>334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1161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6" t="s">
        <v>831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/>
      <c r="M2" s="19">
        <v>125</v>
      </c>
      <c r="N2" s="19"/>
      <c r="O2" s="9"/>
      <c r="P2" s="9"/>
      <c r="Q2" s="9"/>
      <c r="R2" s="9"/>
      <c r="S2" s="20"/>
      <c r="T2" s="19"/>
      <c r="U2" s="9"/>
      <c r="V2" s="19"/>
      <c r="AD2" s="1">
        <v>0.25</v>
      </c>
      <c r="AE2" s="1">
        <v>4</v>
      </c>
      <c r="AK2" s="19"/>
      <c r="AL2" s="19"/>
      <c r="AM2" s="19"/>
      <c r="AN2" s="8">
        <v>10</v>
      </c>
      <c r="AO2" s="8">
        <v>1000</v>
      </c>
      <c r="AP2" s="19"/>
      <c r="AQ2" s="8"/>
      <c r="AR2" s="8"/>
      <c r="AT2" s="1" t="s">
        <v>832</v>
      </c>
      <c r="AU2" s="1">
        <v>29</v>
      </c>
      <c r="AW2" s="13">
        <v>29</v>
      </c>
      <c r="AX2" s="1">
        <v>29</v>
      </c>
      <c r="AY2" s="13"/>
      <c r="AZ2" s="13"/>
      <c r="BA2" s="13"/>
      <c r="BB2" s="13"/>
      <c r="BD2" s="13"/>
      <c r="BE2" s="13"/>
      <c r="BG2" s="1">
        <v>30</v>
      </c>
      <c r="BL2" s="1" t="s">
        <v>835</v>
      </c>
    </row>
    <row r="3" spans="1:68" x14ac:dyDescent="0.2">
      <c r="A3" s="1" t="s">
        <v>831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/>
      <c r="K3" s="19">
        <v>700</v>
      </c>
      <c r="L3" s="19"/>
      <c r="M3" s="19">
        <v>4400</v>
      </c>
      <c r="N3" s="19"/>
      <c r="O3" s="20"/>
      <c r="P3" s="9"/>
      <c r="Q3" s="9"/>
      <c r="R3" s="9"/>
      <c r="S3" s="20"/>
      <c r="T3" s="19"/>
      <c r="U3" s="9"/>
      <c r="V3" s="19"/>
      <c r="AD3" s="1">
        <v>0.25</v>
      </c>
      <c r="AE3" s="1">
        <v>4</v>
      </c>
      <c r="AK3" s="19"/>
      <c r="AL3" s="19"/>
      <c r="AM3" s="19"/>
      <c r="AN3" s="8">
        <v>10</v>
      </c>
      <c r="AO3" s="8">
        <v>1000</v>
      </c>
      <c r="AP3" s="8"/>
      <c r="AQ3" s="8"/>
      <c r="AR3" s="8"/>
      <c r="AT3" s="1" t="s">
        <v>833</v>
      </c>
      <c r="AU3" s="1">
        <v>29</v>
      </c>
      <c r="AW3" s="13">
        <v>29</v>
      </c>
      <c r="AX3" s="1">
        <v>29</v>
      </c>
      <c r="AY3" s="13"/>
      <c r="AZ3" s="13"/>
      <c r="BA3" s="13"/>
      <c r="BB3" s="13"/>
      <c r="BD3" s="13"/>
      <c r="BE3" s="13"/>
      <c r="BG3" s="1">
        <v>30</v>
      </c>
      <c r="BL3" s="1" t="s">
        <v>835</v>
      </c>
    </row>
    <row r="4" spans="1:68" x14ac:dyDescent="0.2">
      <c r="A4" s="1" t="s">
        <v>834</v>
      </c>
      <c r="B4" s="1" t="s">
        <v>142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M4" s="19"/>
      <c r="N4" s="19"/>
      <c r="O4" s="20"/>
      <c r="P4" s="9"/>
      <c r="Q4" s="9"/>
      <c r="R4" s="9"/>
      <c r="S4" s="20"/>
      <c r="T4" s="19"/>
      <c r="U4" s="9"/>
      <c r="V4" s="19"/>
      <c r="AK4" s="19"/>
      <c r="AL4" s="19"/>
      <c r="AM4" s="19"/>
      <c r="AN4" s="8"/>
      <c r="AO4" s="8"/>
      <c r="AP4" s="8"/>
      <c r="AQ4" s="8"/>
      <c r="AR4" s="8"/>
      <c r="AW4" s="13"/>
      <c r="AY4" s="13"/>
      <c r="AZ4" s="13"/>
      <c r="BA4" s="13"/>
      <c r="BB4" s="13"/>
      <c r="BD4" s="13"/>
      <c r="BE4" s="13"/>
    </row>
    <row r="5" spans="1:68" x14ac:dyDescent="0.2">
      <c r="A5" s="1" t="s">
        <v>834</v>
      </c>
      <c r="B5" s="1" t="s">
        <v>142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/>
      <c r="K5" s="19">
        <v>10000</v>
      </c>
      <c r="L5" s="19"/>
      <c r="M5" s="19">
        <v>35300</v>
      </c>
      <c r="N5" s="19"/>
      <c r="O5" s="20"/>
      <c r="P5" s="9"/>
      <c r="Q5" s="9"/>
      <c r="R5" s="9"/>
      <c r="S5" s="20"/>
      <c r="T5" s="19"/>
      <c r="U5" s="9"/>
      <c r="V5" s="19"/>
      <c r="AH5" s="1" t="s">
        <v>836</v>
      </c>
      <c r="AK5" s="19"/>
      <c r="AL5" s="19"/>
      <c r="AM5" s="19"/>
      <c r="AN5" s="8"/>
      <c r="AO5" s="8"/>
      <c r="AP5" s="8"/>
      <c r="AQ5" s="8"/>
      <c r="AR5" s="8"/>
      <c r="AW5" s="13">
        <v>32</v>
      </c>
      <c r="AX5" s="1">
        <v>32</v>
      </c>
      <c r="AY5" s="13"/>
      <c r="AZ5" s="13"/>
      <c r="BA5" s="13"/>
      <c r="BB5" s="13"/>
      <c r="BD5" s="13"/>
      <c r="BE5" s="13"/>
      <c r="BI5" s="1">
        <v>33</v>
      </c>
    </row>
    <row r="6" spans="1:68" x14ac:dyDescent="0.2">
      <c r="A6" s="1" t="s">
        <v>137</v>
      </c>
      <c r="B6" s="1" t="s">
        <v>142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/>
      <c r="K6" s="19">
        <v>1300</v>
      </c>
      <c r="L6" s="19">
        <v>1500</v>
      </c>
      <c r="M6" s="19">
        <v>2200</v>
      </c>
      <c r="N6" s="19"/>
      <c r="O6" s="20"/>
      <c r="P6" s="9"/>
      <c r="Q6" s="9"/>
      <c r="R6" s="9"/>
      <c r="S6" s="20"/>
      <c r="T6" s="19"/>
      <c r="U6" s="9"/>
      <c r="V6" s="19"/>
      <c r="Z6" s="1">
        <v>2</v>
      </c>
      <c r="AD6" s="1">
        <v>0.25</v>
      </c>
      <c r="AE6" s="1">
        <v>4</v>
      </c>
      <c r="AF6" s="1">
        <v>2</v>
      </c>
      <c r="AH6" s="1" t="s">
        <v>837</v>
      </c>
      <c r="AI6" s="1">
        <f>3*7</f>
        <v>21</v>
      </c>
      <c r="AK6" s="19"/>
      <c r="AL6" s="19"/>
      <c r="AM6" s="19"/>
      <c r="AN6" s="8"/>
      <c r="AO6" s="8"/>
      <c r="AP6" s="8"/>
      <c r="AQ6" s="8"/>
      <c r="AR6" s="8"/>
      <c r="AW6" s="13" t="s">
        <v>821</v>
      </c>
      <c r="AX6" s="13" t="s">
        <v>821</v>
      </c>
      <c r="AY6" s="13"/>
      <c r="AZ6" s="13"/>
      <c r="BA6" s="13"/>
      <c r="BB6" s="13"/>
      <c r="BD6" s="13"/>
      <c r="BE6" s="13"/>
      <c r="BG6" s="1">
        <v>34</v>
      </c>
      <c r="BI6" s="1">
        <v>34</v>
      </c>
      <c r="BJ6" s="1">
        <v>34</v>
      </c>
    </row>
    <row r="7" spans="1:68" x14ac:dyDescent="0.2">
      <c r="A7" s="58" t="s">
        <v>838</v>
      </c>
      <c r="B7" s="58" t="s">
        <v>129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9"/>
      <c r="N7" s="59"/>
      <c r="O7" s="60"/>
      <c r="P7" s="61"/>
      <c r="Q7" s="62"/>
      <c r="R7" s="61"/>
      <c r="S7" s="60"/>
      <c r="T7" s="59"/>
      <c r="U7" s="62"/>
      <c r="V7" s="59"/>
      <c r="W7" s="63"/>
      <c r="X7" s="63"/>
      <c r="Y7" s="63"/>
      <c r="Z7" s="58"/>
      <c r="AA7" s="58"/>
      <c r="AB7" s="58"/>
      <c r="AC7" s="58"/>
      <c r="AD7" s="58"/>
      <c r="AE7" s="58"/>
      <c r="AF7" s="58"/>
      <c r="AG7" s="58"/>
      <c r="AH7" s="58"/>
      <c r="AI7" s="63"/>
      <c r="AJ7" s="58"/>
      <c r="AK7" s="59"/>
      <c r="AL7" s="59"/>
      <c r="AM7" s="59"/>
      <c r="AN7" s="64"/>
      <c r="AO7" s="64"/>
      <c r="AP7" s="64"/>
      <c r="AQ7" s="64"/>
      <c r="AR7" s="64"/>
      <c r="AS7" s="58"/>
      <c r="AT7" s="58" t="s">
        <v>839</v>
      </c>
      <c r="AU7" s="58"/>
      <c r="AV7" s="58"/>
      <c r="AW7" s="65"/>
      <c r="AX7" s="58"/>
      <c r="AY7" s="65"/>
      <c r="AZ7" s="65"/>
      <c r="BA7" s="65"/>
      <c r="BB7" s="65"/>
      <c r="BC7" s="58"/>
      <c r="BD7" s="65"/>
      <c r="BE7" s="65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</row>
    <row r="8" spans="1:68" x14ac:dyDescent="0.2">
      <c r="A8" s="58" t="s">
        <v>838</v>
      </c>
      <c r="B8" s="58" t="s">
        <v>129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/>
      <c r="K8" s="59">
        <v>7000</v>
      </c>
      <c r="L8" s="59"/>
      <c r="M8" s="59">
        <v>11000</v>
      </c>
      <c r="N8" s="59"/>
      <c r="O8" s="60"/>
      <c r="P8" s="61"/>
      <c r="Q8" s="62"/>
      <c r="R8" s="61"/>
      <c r="S8" s="60"/>
      <c r="T8" s="59"/>
      <c r="U8" s="62"/>
      <c r="V8" s="59"/>
      <c r="W8" s="63"/>
      <c r="X8" s="63"/>
      <c r="Y8" s="63"/>
      <c r="Z8" s="58"/>
      <c r="AA8" s="58"/>
      <c r="AB8" s="58"/>
      <c r="AC8" s="58"/>
      <c r="AD8" s="58"/>
      <c r="AE8" s="58"/>
      <c r="AF8" s="58"/>
      <c r="AG8" s="58"/>
      <c r="AH8" s="58"/>
      <c r="AI8" s="63"/>
      <c r="AJ8" s="58"/>
      <c r="AK8" s="59"/>
      <c r="AL8" s="59"/>
      <c r="AM8" s="59"/>
      <c r="AN8" s="64"/>
      <c r="AO8" s="64"/>
      <c r="AP8" s="64"/>
      <c r="AQ8" s="64"/>
      <c r="AR8" s="64"/>
      <c r="AS8" s="58"/>
      <c r="AT8" s="58"/>
      <c r="AU8" s="58"/>
      <c r="AV8" s="58"/>
      <c r="AW8" s="65"/>
      <c r="AX8" s="58">
        <v>36</v>
      </c>
      <c r="AY8" s="65"/>
      <c r="AZ8" s="65"/>
      <c r="BA8" s="65"/>
      <c r="BB8" s="65"/>
      <c r="BC8" s="58"/>
      <c r="BD8" s="65"/>
      <c r="BE8" s="65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CW40"/>
  <sheetViews>
    <sheetView zoomScale="80" zoomScaleNormal="80" workbookViewId="0">
      <pane xSplit="6" ySplit="1" topLeftCell="AW2" activePane="bottomRight" state="frozen"/>
      <selection pane="topRight" activeCell="G1" sqref="G1"/>
      <selection pane="bottomLeft" activeCell="A2" sqref="A2"/>
      <selection pane="bottomRight" activeCell="BA22" sqref="BA22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" bestFit="1" customWidth="1"/>
    <col min="27" max="27" width="29.140625" bestFit="1" customWidth="1"/>
    <col min="28" max="28" width="27.28515625" bestFit="1" customWidth="1"/>
    <col min="29" max="29" width="27.42578125" bestFit="1" customWidth="1"/>
    <col min="30" max="30" width="24.7109375" bestFit="1" customWidth="1"/>
    <col min="31" max="31" width="32.5703125" bestFit="1" customWidth="1"/>
    <col min="32" max="32" width="25.28515625" bestFit="1" customWidth="1"/>
    <col min="33" max="33" width="21.5703125" bestFit="1" customWidth="1"/>
    <col min="34" max="34" width="20.140625" bestFit="1" customWidth="1"/>
    <col min="35" max="35" width="24.42578125" bestFit="1" customWidth="1"/>
    <col min="36" max="36" width="43.42578125" bestFit="1" customWidth="1"/>
    <col min="37" max="37" width="43.42578125" customWidth="1"/>
    <col min="38" max="38" width="25.28515625" bestFit="1" customWidth="1"/>
    <col min="39" max="39" width="31.5703125" bestFit="1" customWidth="1"/>
    <col min="40" max="40" width="22.42578125" bestFit="1" customWidth="1"/>
    <col min="41" max="41" width="21" bestFit="1" customWidth="1"/>
    <col min="42" max="42" width="25.42578125" bestFit="1" customWidth="1"/>
    <col min="43" max="43" width="22.7109375" bestFit="1" customWidth="1"/>
    <col min="44" max="44" width="25.5703125" bestFit="1" customWidth="1"/>
    <col min="45" max="45" width="26.28515625" bestFit="1" customWidth="1"/>
    <col min="46" max="46" width="21.5703125" bestFit="1" customWidth="1"/>
    <col min="47" max="47" width="21.5703125" customWidth="1"/>
    <col min="48" max="48" width="25.42578125" bestFit="1" customWidth="1"/>
    <col min="49" max="49" width="26.5703125" bestFit="1" customWidth="1"/>
    <col min="50" max="50" width="21.85546875" bestFit="1" customWidth="1"/>
    <col min="51" max="52" width="26.42578125" bestFit="1" customWidth="1"/>
    <col min="53" max="53" width="21.7109375" bestFit="1" customWidth="1"/>
    <col min="54" max="54" width="24.85546875" bestFit="1" customWidth="1"/>
    <col min="55" max="55" width="19.85546875" bestFit="1" customWidth="1"/>
    <col min="56" max="56" width="33.140625" bestFit="1" customWidth="1"/>
    <col min="57" max="57" width="30.85546875" bestFit="1" customWidth="1"/>
    <col min="58" max="58" width="30.85546875" customWidth="1"/>
    <col min="59" max="59" width="37.42578125" bestFit="1" customWidth="1"/>
    <col min="60" max="60" width="38" bestFit="1" customWidth="1"/>
    <col min="61" max="61" width="32.7109375" bestFit="1" customWidth="1"/>
    <col min="62" max="62" width="30.140625" bestFit="1" customWidth="1"/>
    <col min="63" max="63" width="30.7109375" bestFit="1" customWidth="1"/>
    <col min="64" max="65" width="30.7109375" customWidth="1"/>
    <col min="66" max="66" width="29.5703125" bestFit="1" customWidth="1"/>
    <col min="67" max="67" width="30.28515625" bestFit="1" customWidth="1"/>
    <col min="68" max="68" width="30.28515625" customWidth="1"/>
    <col min="69" max="69" width="25.5703125" bestFit="1" customWidth="1"/>
    <col min="70" max="70" width="47.5703125" bestFit="1" customWidth="1"/>
    <col min="71" max="71" width="47.5703125" customWidth="1"/>
    <col min="72" max="72" width="16" bestFit="1" customWidth="1"/>
    <col min="73" max="73" width="16" customWidth="1"/>
    <col min="74" max="74" width="29.5703125" bestFit="1" customWidth="1"/>
    <col min="75" max="75" width="24.42578125" bestFit="1" customWidth="1"/>
    <col min="76" max="80" width="24.42578125" customWidth="1"/>
    <col min="81" max="81" width="26.42578125" bestFit="1" customWidth="1"/>
    <col min="82" max="82" width="26.7109375" bestFit="1" customWidth="1"/>
    <col min="83" max="83" width="27.7109375" bestFit="1" customWidth="1"/>
    <col min="84" max="84" width="30.85546875" bestFit="1" customWidth="1"/>
    <col min="85" max="85" width="35.5703125" bestFit="1" customWidth="1"/>
    <col min="86" max="86" width="37.5703125" bestFit="1" customWidth="1"/>
    <col min="87" max="87" width="28.7109375" bestFit="1" customWidth="1"/>
    <col min="88" max="88" width="31.5703125" bestFit="1" customWidth="1"/>
    <col min="89" max="89" width="30.140625" bestFit="1" customWidth="1"/>
    <col min="90" max="90" width="24.5703125" bestFit="1" customWidth="1"/>
    <col min="91" max="91" width="29.140625" bestFit="1" customWidth="1"/>
    <col min="92" max="92" width="32.140625" bestFit="1" customWidth="1"/>
    <col min="93" max="93" width="29" bestFit="1" customWidth="1"/>
    <col min="94" max="94" width="32.7109375" bestFit="1" customWidth="1"/>
    <col min="95" max="95" width="18.7109375" bestFit="1" customWidth="1"/>
    <col min="96" max="97" width="23.7109375" bestFit="1" customWidth="1"/>
    <col min="98" max="98" width="40" bestFit="1" customWidth="1"/>
    <col min="99" max="99" width="40" customWidth="1"/>
    <col min="100" max="100" width="26.28515625" bestFit="1" customWidth="1"/>
    <col min="101" max="101" width="20.7109375" bestFit="1" customWidth="1"/>
  </cols>
  <sheetData>
    <row r="1" spans="1:101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905</v>
      </c>
      <c r="H1" s="2" t="s">
        <v>906</v>
      </c>
      <c r="I1" s="2" t="s">
        <v>907</v>
      </c>
      <c r="J1" s="2" t="s">
        <v>897</v>
      </c>
      <c r="K1" s="2" t="s">
        <v>908</v>
      </c>
      <c r="L1" s="2" t="s">
        <v>909</v>
      </c>
      <c r="M1" s="2" t="s">
        <v>910</v>
      </c>
      <c r="N1" s="2" t="s">
        <v>911</v>
      </c>
      <c r="O1" s="2" t="s">
        <v>912</v>
      </c>
      <c r="P1" s="2" t="s">
        <v>913</v>
      </c>
      <c r="Q1" s="2" t="s">
        <v>1000</v>
      </c>
      <c r="R1" s="2" t="s">
        <v>1001</v>
      </c>
      <c r="S1" s="2" t="s">
        <v>1002</v>
      </c>
      <c r="T1" s="2" t="s">
        <v>49</v>
      </c>
      <c r="U1" s="2" t="s">
        <v>149</v>
      </c>
      <c r="V1" s="2" t="s">
        <v>50</v>
      </c>
      <c r="W1" s="2" t="s">
        <v>1176</v>
      </c>
      <c r="X1" s="2" t="s">
        <v>1172</v>
      </c>
      <c r="Y1" s="2" t="s">
        <v>548</v>
      </c>
      <c r="Z1" s="2" t="s">
        <v>291</v>
      </c>
      <c r="AA1" s="2" t="s">
        <v>292</v>
      </c>
      <c r="AB1" s="2" t="s">
        <v>293</v>
      </c>
      <c r="AC1" s="2" t="s">
        <v>919</v>
      </c>
      <c r="AD1" s="2" t="s">
        <v>156</v>
      </c>
      <c r="AE1" s="2" t="s">
        <v>158</v>
      </c>
      <c r="AF1" s="2" t="s">
        <v>157</v>
      </c>
      <c r="AG1" s="2" t="s">
        <v>56</v>
      </c>
      <c r="AH1" s="2" t="s">
        <v>55</v>
      </c>
      <c r="AI1" s="2" t="s">
        <v>87</v>
      </c>
      <c r="AJ1" s="2" t="s">
        <v>332</v>
      </c>
      <c r="AK1" s="2" t="s">
        <v>865</v>
      </c>
      <c r="AL1" s="2" t="s">
        <v>237</v>
      </c>
      <c r="AM1" s="2" t="s">
        <v>116</v>
      </c>
      <c r="AN1" s="2" t="s">
        <v>57</v>
      </c>
      <c r="AO1" s="2" t="s">
        <v>123</v>
      </c>
      <c r="AP1" s="2" t="s">
        <v>58</v>
      </c>
      <c r="AQ1" s="2" t="s">
        <v>9</v>
      </c>
      <c r="AR1" s="2" t="s">
        <v>431</v>
      </c>
      <c r="AS1" s="2" t="s">
        <v>227</v>
      </c>
      <c r="AT1" s="2" t="s">
        <v>159</v>
      </c>
      <c r="AU1" s="2" t="s">
        <v>1173</v>
      </c>
      <c r="AV1" s="2" t="s">
        <v>229</v>
      </c>
      <c r="AW1" s="2" t="s">
        <v>230</v>
      </c>
      <c r="AX1" s="2" t="s">
        <v>160</v>
      </c>
      <c r="AY1" s="2" t="s">
        <v>216</v>
      </c>
      <c r="AZ1" s="2" t="s">
        <v>217</v>
      </c>
      <c r="BA1" s="2" t="s">
        <v>3</v>
      </c>
      <c r="BB1" s="2" t="s">
        <v>10</v>
      </c>
      <c r="BC1" s="2" t="s">
        <v>16</v>
      </c>
      <c r="BD1" s="2" t="s">
        <v>4</v>
      </c>
      <c r="BE1" s="2" t="s">
        <v>99</v>
      </c>
      <c r="BF1" s="2" t="s">
        <v>1122</v>
      </c>
      <c r="BG1" s="2" t="s">
        <v>185</v>
      </c>
      <c r="BH1" s="2" t="s">
        <v>184</v>
      </c>
      <c r="BI1" s="2" t="s">
        <v>12</v>
      </c>
      <c r="BJ1" s="2" t="s">
        <v>233</v>
      </c>
      <c r="BK1" s="2" t="s">
        <v>234</v>
      </c>
      <c r="BL1" s="2" t="s">
        <v>1165</v>
      </c>
      <c r="BM1" s="2" t="s">
        <v>1166</v>
      </c>
      <c r="BN1" s="2" t="s">
        <v>232</v>
      </c>
      <c r="BO1" s="2" t="s">
        <v>334</v>
      </c>
      <c r="BP1" s="2" t="s">
        <v>459</v>
      </c>
      <c r="BQ1" s="2" t="s">
        <v>335</v>
      </c>
      <c r="BR1" s="2" t="s">
        <v>147</v>
      </c>
      <c r="BS1" s="2" t="s">
        <v>1005</v>
      </c>
      <c r="BT1" s="2" t="s">
        <v>22</v>
      </c>
      <c r="BU1" s="2" t="s">
        <v>917</v>
      </c>
      <c r="BV1" s="2" t="s">
        <v>164</v>
      </c>
      <c r="BW1" s="2" t="s">
        <v>165</v>
      </c>
      <c r="BX1" s="2" t="s">
        <v>898</v>
      </c>
      <c r="BY1" s="2" t="s">
        <v>914</v>
      </c>
      <c r="BZ1" s="2" t="s">
        <v>915</v>
      </c>
      <c r="CA1" s="2" t="s">
        <v>880</v>
      </c>
      <c r="CB1" s="2" t="s">
        <v>899</v>
      </c>
      <c r="CC1" s="2" t="s">
        <v>1</v>
      </c>
      <c r="CD1" s="2" t="s">
        <v>2</v>
      </c>
      <c r="CE1" s="2" t="s">
        <v>59</v>
      </c>
      <c r="CF1" s="2" t="s">
        <v>1161</v>
      </c>
      <c r="CG1" s="2" t="s">
        <v>238</v>
      </c>
      <c r="CH1" s="2" t="s">
        <v>117</v>
      </c>
      <c r="CI1" s="2" t="s">
        <v>60</v>
      </c>
      <c r="CJ1" s="2" t="s">
        <v>61</v>
      </c>
      <c r="CK1" s="2" t="s">
        <v>98</v>
      </c>
      <c r="CL1" s="2" t="s">
        <v>5</v>
      </c>
      <c r="CM1" s="2" t="s">
        <v>6</v>
      </c>
      <c r="CN1" s="2" t="s">
        <v>17</v>
      </c>
      <c r="CO1" s="2" t="s">
        <v>18</v>
      </c>
      <c r="CP1" s="2" t="s">
        <v>7</v>
      </c>
      <c r="CQ1" s="2" t="s">
        <v>19</v>
      </c>
      <c r="CR1" s="2" t="s">
        <v>20</v>
      </c>
      <c r="CS1" s="2" t="s">
        <v>21</v>
      </c>
      <c r="CT1" s="2" t="s">
        <v>148</v>
      </c>
      <c r="CU1" s="2" t="s">
        <v>923</v>
      </c>
      <c r="CV1" s="2" t="s">
        <v>23</v>
      </c>
      <c r="CW1" s="2" t="s">
        <v>51</v>
      </c>
    </row>
    <row r="2" spans="1:101" s="1" customFormat="1" ht="12.75" x14ac:dyDescent="0.2">
      <c r="A2" s="1" t="s">
        <v>84</v>
      </c>
      <c r="B2" s="1" t="s">
        <v>129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/>
      <c r="V2" s="19"/>
      <c r="W2" s="19"/>
      <c r="X2" s="19">
        <v>800</v>
      </c>
      <c r="Y2" s="19"/>
      <c r="Z2" s="34"/>
      <c r="AA2" s="34"/>
      <c r="AB2" s="34"/>
      <c r="AC2" s="34">
        <f>Tabelle589711143136[[#This Row],[Stromverbrauch in TWh REF]]/Tabelle589711143136[[#This Row],[Vollbenutzungsstunden h/a]]*10^6</f>
        <v>1094.7488584474886</v>
      </c>
      <c r="AD2" s="34" t="str">
        <f>IF(AND(Tabelle589711143136[[#This Row],[Lastverschiebung]]=1,Tabelle589711143136[[#This Row],[Potenzial pos. min MW]]&lt;&gt;""),Tabelle589711143136[[#This Row],[Potenzial pos. min MW]],"")</f>
        <v/>
      </c>
      <c r="AE2" s="34" t="str">
        <f>IF(AND(Tabelle589711143136[[#This Row],[Lastverschiebung]]=1,Tabelle589711143136[[#This Row],[Potenzial pos. MW Durchschnitt]]&lt;&gt;""),Tabelle589711143136[[#This Row],[Potenzial pos. MW Durchschnitt]],"")</f>
        <v/>
      </c>
      <c r="AF2" s="34" t="str">
        <f>IF(AND(Tabelle589711143136[[#This Row],[Lastverschiebung]]=1,Tabelle589711143136[[#This Row],[Potenzial pos. max MW]]&lt;&gt;""),Tabelle589711143136[[#This Row],[Potenzial pos. max MW]],"")</f>
        <v/>
      </c>
      <c r="AG2" s="34"/>
      <c r="AH2" s="67">
        <f>1-Tabelle589711143136[[#This Row],[flexibilisierbarer Anteil]]</f>
        <v>0</v>
      </c>
      <c r="AI2" s="36">
        <v>1</v>
      </c>
      <c r="AJ2" s="36"/>
      <c r="AK2" s="77">
        <v>6570</v>
      </c>
      <c r="AL2" s="72">
        <f>IF(Tabelle589711143136[[#This Row],[Vollbenutzungsstunden h/a]]&lt;&gt;"",Tabelle589711143136[[#This Row],[Vollbenutzungsstunden h/a]]/8760,"")</f>
        <v>0.75</v>
      </c>
      <c r="AM2" s="35"/>
      <c r="AN2" s="34"/>
      <c r="AO2" s="36"/>
      <c r="AP2" s="34"/>
      <c r="AQ2" s="33"/>
      <c r="AR2" s="33"/>
      <c r="AS2" s="33"/>
      <c r="AU2" s="33">
        <v>4</v>
      </c>
      <c r="AV2" s="33"/>
      <c r="AW2" s="33"/>
      <c r="AX2" s="33"/>
      <c r="AY2" s="33"/>
      <c r="AZ2" s="33"/>
      <c r="BA2" s="33"/>
      <c r="BB2" s="33"/>
      <c r="BC2" s="33"/>
      <c r="BD2" s="33"/>
      <c r="BF2" s="33">
        <v>40</v>
      </c>
      <c r="BG2" s="19">
        <v>1</v>
      </c>
      <c r="BH2" s="19">
        <v>20</v>
      </c>
      <c r="BI2" s="34"/>
      <c r="BJ2" s="37"/>
      <c r="BK2" s="37"/>
      <c r="BL2" s="37">
        <v>130</v>
      </c>
      <c r="BM2" s="37">
        <v>1000</v>
      </c>
      <c r="BN2" s="37"/>
      <c r="BO2" s="37">
        <v>0</v>
      </c>
      <c r="BP2" s="37">
        <v>1</v>
      </c>
      <c r="BQ2" s="33"/>
      <c r="BR2" s="33"/>
      <c r="BS2" s="33">
        <v>30</v>
      </c>
      <c r="BT2" s="1" t="s">
        <v>1149</v>
      </c>
      <c r="BU2" s="1" t="s">
        <v>916</v>
      </c>
      <c r="BV2" s="33">
        <v>17</v>
      </c>
      <c r="BW2" s="33">
        <v>17</v>
      </c>
      <c r="BX2" s="33">
        <v>46</v>
      </c>
      <c r="BY2" s="33"/>
      <c r="BZ2" s="33"/>
      <c r="CA2" s="33">
        <v>46</v>
      </c>
      <c r="CB2" s="33">
        <v>46</v>
      </c>
      <c r="CC2" s="38">
        <v>205</v>
      </c>
      <c r="CD2" s="33"/>
      <c r="CE2" s="33">
        <v>46</v>
      </c>
      <c r="CF2" s="33">
        <v>46</v>
      </c>
      <c r="CG2" s="38"/>
      <c r="CH2" s="38"/>
      <c r="CI2" s="33"/>
      <c r="CJ2" s="38"/>
      <c r="CK2" s="38"/>
      <c r="CL2" s="33">
        <v>23</v>
      </c>
      <c r="CM2" s="33"/>
      <c r="CN2" s="33"/>
      <c r="CO2" s="33">
        <v>23</v>
      </c>
      <c r="CP2" s="33">
        <v>23</v>
      </c>
      <c r="CQ2" s="33">
        <v>30</v>
      </c>
      <c r="CR2" s="33">
        <v>30</v>
      </c>
      <c r="CS2" s="33">
        <v>30</v>
      </c>
      <c r="CT2" s="33"/>
      <c r="CU2" s="33">
        <v>117</v>
      </c>
      <c r="CV2" s="33"/>
      <c r="CW2" s="33"/>
    </row>
    <row r="3" spans="1:101" s="1" customFormat="1" x14ac:dyDescent="0.25">
      <c r="A3" s="1" t="s">
        <v>84</v>
      </c>
      <c r="B3" s="1" t="s">
        <v>129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4"/>
      <c r="AA3" s="34"/>
      <c r="AB3" s="34"/>
      <c r="AC3" s="34"/>
      <c r="AD3" s="34" t="str">
        <f>IF(AND(Tabelle589711143136[[#This Row],[Lastverschiebung]]=1,Tabelle589711143136[[#This Row],[Potenzial pos. min MW]]&lt;&gt;""),Tabelle589711143136[[#This Row],[Potenzial pos. min MW]],"")</f>
        <v/>
      </c>
      <c r="AE3" s="34" t="str">
        <f>IF(AND(Tabelle589711143136[[#This Row],[Lastverschiebung]]=1,Tabelle589711143136[[#This Row],[Potenzial pos. MW Durchschnitt]]&lt;&gt;""),Tabelle589711143136[[#This Row],[Potenzial pos. MW Durchschnitt]],"")</f>
        <v/>
      </c>
      <c r="AF3" s="34" t="str">
        <f>IF(AND(Tabelle589711143136[[#This Row],[Lastverschiebung]]=1,Tabelle589711143136[[#This Row],[Potenzial pos. max MW]]&lt;&gt;""),Tabelle589711143136[[#This Row],[Potenzial pos. max MW]],"")</f>
        <v/>
      </c>
      <c r="AG3" s="34"/>
      <c r="AH3" s="67"/>
      <c r="AI3" s="36"/>
      <c r="AJ3" s="36"/>
      <c r="AK3" s="77"/>
      <c r="AL3" s="36"/>
      <c r="AM3" s="35"/>
      <c r="AN3" s="34"/>
      <c r="AO3" s="36"/>
      <c r="AP3" s="34"/>
      <c r="AQ3" s="33"/>
      <c r="AR3" s="33"/>
      <c r="AS3" s="33"/>
      <c r="AU3" s="33">
        <v>4</v>
      </c>
      <c r="AV3" s="33"/>
      <c r="AW3" s="33"/>
      <c r="AX3" s="33"/>
      <c r="AY3" s="33"/>
      <c r="AZ3" s="33"/>
      <c r="BA3" s="33"/>
      <c r="BB3" s="33"/>
      <c r="BC3" s="33"/>
      <c r="BD3" s="33">
        <f>8*7</f>
        <v>56</v>
      </c>
      <c r="BF3" s="33">
        <v>40</v>
      </c>
      <c r="BG3" s="19"/>
      <c r="BH3" s="19"/>
      <c r="BI3" s="34"/>
      <c r="BJ3" s="37"/>
      <c r="BK3" s="37"/>
      <c r="BL3" s="37"/>
      <c r="BM3" s="37"/>
      <c r="BN3" s="37"/>
      <c r="BO3" s="37"/>
      <c r="BP3" s="37"/>
      <c r="BQ3" s="33"/>
      <c r="BR3" s="33"/>
      <c r="BS3" s="33"/>
      <c r="BT3" s="1" t="s">
        <v>1149</v>
      </c>
      <c r="BU3" s="1" t="s">
        <v>916</v>
      </c>
      <c r="BV3" s="33"/>
      <c r="BW3" s="33"/>
      <c r="BX3" s="33">
        <v>202</v>
      </c>
      <c r="BY3" s="33"/>
      <c r="BZ3" s="33"/>
      <c r="CA3" s="33">
        <v>202</v>
      </c>
      <c r="CB3" s="33"/>
      <c r="CC3" s="38">
        <v>205</v>
      </c>
      <c r="CD3" s="33"/>
      <c r="CE3" s="33"/>
      <c r="CF3" s="33"/>
      <c r="CG3" s="38"/>
      <c r="CH3" s="38"/>
      <c r="CI3" s="33"/>
      <c r="CJ3" s="38"/>
      <c r="CK3" s="38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</row>
    <row r="4" spans="1:101" s="1" customFormat="1" x14ac:dyDescent="0.25">
      <c r="A4" s="1" t="s">
        <v>84</v>
      </c>
      <c r="B4" s="1" t="s">
        <v>129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4"/>
      <c r="AA4" s="34"/>
      <c r="AB4" s="34"/>
      <c r="AC4" s="34"/>
      <c r="AD4" s="34" t="str">
        <f>IF(AND(Tabelle589711143136[[#This Row],[Lastverschiebung]]=1,Tabelle589711143136[[#This Row],[Potenzial pos. min MW]]&lt;&gt;""),Tabelle589711143136[[#This Row],[Potenzial pos. min MW]],"")</f>
        <v/>
      </c>
      <c r="AE4" s="34" t="str">
        <f>IF(AND(Tabelle589711143136[[#This Row],[Lastverschiebung]]=1,Tabelle589711143136[[#This Row],[Potenzial pos. MW Durchschnitt]]&lt;&gt;""),Tabelle589711143136[[#This Row],[Potenzial pos. MW Durchschnitt]],"")</f>
        <v/>
      </c>
      <c r="AF4" s="34" t="str">
        <f>IF(AND(Tabelle589711143136[[#This Row],[Lastverschiebung]]=1,Tabelle589711143136[[#This Row],[Potenzial pos. max MW]]&lt;&gt;""),Tabelle589711143136[[#This Row],[Potenzial pos. max MW]],"")</f>
        <v/>
      </c>
      <c r="AG4" s="34"/>
      <c r="AH4" s="67"/>
      <c r="AI4" s="36"/>
      <c r="AJ4" s="36"/>
      <c r="AK4" s="77"/>
      <c r="AL4" s="36"/>
      <c r="AM4" s="35"/>
      <c r="AN4" s="34"/>
      <c r="AO4" s="36"/>
      <c r="AP4" s="34"/>
      <c r="AQ4" s="33"/>
      <c r="AR4" s="33"/>
      <c r="AS4" s="33"/>
      <c r="AU4" s="33">
        <v>4</v>
      </c>
      <c r="AV4" s="33"/>
      <c r="AW4" s="33"/>
      <c r="AX4" s="33"/>
      <c r="AY4" s="33"/>
      <c r="AZ4" s="33"/>
      <c r="BA4" s="33"/>
      <c r="BB4" s="33"/>
      <c r="BC4" s="33"/>
      <c r="BD4" s="33">
        <f>8*7</f>
        <v>56</v>
      </c>
      <c r="BF4" s="33">
        <v>40</v>
      </c>
      <c r="BG4" s="19"/>
      <c r="BH4" s="19"/>
      <c r="BI4" s="34"/>
      <c r="BJ4" s="37"/>
      <c r="BK4" s="37"/>
      <c r="BL4" s="37"/>
      <c r="BM4" s="37"/>
      <c r="BN4" s="37"/>
      <c r="BO4" s="37"/>
      <c r="BP4" s="37"/>
      <c r="BQ4" s="33"/>
      <c r="BR4" s="33"/>
      <c r="BS4" s="33"/>
      <c r="BT4" s="1" t="s">
        <v>1149</v>
      </c>
      <c r="BU4" s="1" t="s">
        <v>916</v>
      </c>
      <c r="BV4" s="33"/>
      <c r="BW4" s="33"/>
      <c r="BX4" s="33">
        <v>202</v>
      </c>
      <c r="BY4" s="33"/>
      <c r="BZ4" s="33"/>
      <c r="CA4" s="33">
        <v>202</v>
      </c>
      <c r="CB4" s="33"/>
      <c r="CC4" s="38">
        <v>205</v>
      </c>
      <c r="CD4" s="33"/>
      <c r="CE4" s="33"/>
      <c r="CF4" s="33"/>
      <c r="CG4" s="38"/>
      <c r="CH4" s="38"/>
      <c r="CI4" s="33"/>
      <c r="CJ4" s="38"/>
      <c r="CK4" s="38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</row>
    <row r="5" spans="1:101" x14ac:dyDescent="0.25">
      <c r="A5" s="1" t="s">
        <v>77</v>
      </c>
      <c r="B5" s="1" t="s">
        <v>129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/>
      <c r="AA5" s="19"/>
      <c r="AB5" s="19"/>
      <c r="AC5" s="19">
        <f>Tabelle589711143136[[#This Row],[Stromverbrauch in TWh REF]]/Tabelle589711143136[[#This Row],[Vollbenutzungsstunden h/a]]*10^6</f>
        <v>255.71428571428572</v>
      </c>
      <c r="AD5" s="19" t="str">
        <f>IF(AND(Tabelle589711143136[[#This Row],[Lastverschiebung]]=1,Tabelle589711143136[[#This Row],[Potenzial pos. min MW]]&lt;&gt;""),Tabelle589711143136[[#This Row],[Potenzial pos. min MW]],"")</f>
        <v/>
      </c>
      <c r="AE5" s="19">
        <f>IF(AND(Tabelle589711143136[[#This Row],[Lastverschiebung]]=1,Tabelle589711143136[[#This Row],[Potenzial pos. MW Durchschnitt]]&lt;&gt;""),Tabelle589711143136[[#This Row],[Potenzial pos. MW Durchschnitt]],"")</f>
        <v>180</v>
      </c>
      <c r="AF5" s="19" t="str">
        <f>IF(AND(Tabelle589711143136[[#This Row],[Lastverschiebung]]=1,Tabelle589711143136[[#This Row],[Potenzial pos. max MW]]&lt;&gt;""),Tabelle589711143136[[#This Row],[Potenzial pos. max MW]],"")</f>
        <v/>
      </c>
      <c r="AG5" s="19"/>
      <c r="AH5" s="67">
        <f>1-Tabelle589711143136[[#This Row],[flexibilisierbarer Anteil]]</f>
        <v>0</v>
      </c>
      <c r="AI5" s="67">
        <v>1</v>
      </c>
      <c r="AJ5" s="9"/>
      <c r="AK5" s="49">
        <v>5600</v>
      </c>
      <c r="AL5" s="67">
        <v>0.65</v>
      </c>
      <c r="AM5" s="20"/>
      <c r="AN5" s="19"/>
      <c r="AO5" s="9"/>
      <c r="AP5" s="19"/>
      <c r="AQ5" s="68"/>
      <c r="AR5" s="68"/>
      <c r="AS5" s="68"/>
      <c r="AT5" s="1">
        <v>2</v>
      </c>
      <c r="AU5" s="1"/>
      <c r="AV5" s="1"/>
      <c r="AW5" s="1"/>
      <c r="AX5" s="1">
        <v>2</v>
      </c>
      <c r="AY5" s="1"/>
      <c r="AZ5" s="1"/>
      <c r="BA5" s="1">
        <v>4</v>
      </c>
      <c r="BB5" s="1"/>
      <c r="BC5" s="1"/>
      <c r="BD5" s="1"/>
      <c r="BE5" s="1">
        <v>24</v>
      </c>
      <c r="BF5" s="1"/>
      <c r="BG5" s="19">
        <v>1</v>
      </c>
      <c r="BH5" s="19">
        <v>20</v>
      </c>
      <c r="BI5" s="19"/>
      <c r="BJ5" s="8">
        <v>0</v>
      </c>
      <c r="BK5" s="8">
        <v>10</v>
      </c>
      <c r="BL5" s="8"/>
      <c r="BM5" s="8"/>
      <c r="BN5" s="8"/>
      <c r="BO5" s="37">
        <v>0</v>
      </c>
      <c r="BP5" s="37">
        <v>1</v>
      </c>
      <c r="BQ5" s="1"/>
      <c r="BR5" s="1"/>
      <c r="BS5" s="1">
        <v>0</v>
      </c>
      <c r="BT5" s="1"/>
      <c r="BU5" s="1" t="s">
        <v>916</v>
      </c>
      <c r="BV5" s="33">
        <v>17</v>
      </c>
      <c r="BW5" s="33">
        <v>17</v>
      </c>
      <c r="BX5" s="33">
        <v>46</v>
      </c>
      <c r="BY5" s="33"/>
      <c r="BZ5" s="33"/>
      <c r="CA5" s="33">
        <v>46</v>
      </c>
      <c r="CB5" s="33">
        <v>46</v>
      </c>
      <c r="CC5" s="38">
        <v>205</v>
      </c>
      <c r="CD5" s="1"/>
      <c r="CE5" s="33">
        <v>46</v>
      </c>
      <c r="CF5" s="33">
        <v>46</v>
      </c>
      <c r="CG5" s="13">
        <v>18</v>
      </c>
      <c r="CH5" s="13"/>
      <c r="CI5" s="1"/>
      <c r="CJ5" s="13"/>
      <c r="CK5" s="13"/>
      <c r="CL5" s="33">
        <v>23</v>
      </c>
      <c r="CM5" s="33">
        <v>23</v>
      </c>
      <c r="CN5" s="1"/>
      <c r="CO5" s="33">
        <v>23</v>
      </c>
      <c r="CP5" s="33">
        <v>23</v>
      </c>
      <c r="CQ5" s="33">
        <v>30</v>
      </c>
      <c r="CR5" s="33">
        <v>30</v>
      </c>
      <c r="CS5" s="33">
        <v>30</v>
      </c>
      <c r="CT5" s="1"/>
      <c r="CU5" s="33">
        <v>117</v>
      </c>
      <c r="CV5" s="1"/>
      <c r="CW5" s="1"/>
    </row>
    <row r="6" spans="1:101" x14ac:dyDescent="0.25">
      <c r="A6" s="1" t="s">
        <v>77</v>
      </c>
      <c r="B6" s="1" t="s">
        <v>129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/>
      <c r="AB6" s="19"/>
      <c r="AC6" s="19"/>
      <c r="AD6" s="19">
        <f>IF(AND(Tabelle589711143136[[#This Row],[Lastverschiebung]]=1,Tabelle589711143136[[#This Row],[Potenzial pos. min MW]]&lt;&gt;""),Tabelle589711143136[[#This Row],[Potenzial pos. min MW]],"")</f>
        <v>48.362807262569831</v>
      </c>
      <c r="AE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F6" s="19">
        <f>IF(AND(Tabelle589711143136[[#This Row],[Lastverschiebung]]=1,Tabelle589711143136[[#This Row],[Potenzial pos. max MW]]&lt;&gt;""),Tabelle589711143136[[#This Row],[Potenzial pos. max MW]],"")</f>
        <v>196.59393854748603</v>
      </c>
      <c r="AG6" s="19"/>
      <c r="AH6" s="67"/>
      <c r="AI6" s="67"/>
      <c r="AJ6" s="9"/>
      <c r="AK6" s="49"/>
      <c r="AL6" s="67"/>
      <c r="AM6" s="20"/>
      <c r="AN6" s="19"/>
      <c r="AO6" s="9"/>
      <c r="AP6" s="19"/>
      <c r="AQ6" s="68"/>
      <c r="AR6" s="68"/>
      <c r="AS6" s="68"/>
      <c r="AT6" s="1">
        <v>2</v>
      </c>
      <c r="AU6" s="1"/>
      <c r="AV6" s="1"/>
      <c r="AW6" s="1"/>
      <c r="AX6" s="1"/>
      <c r="AY6" s="1"/>
      <c r="AZ6" s="1"/>
      <c r="BA6" s="1">
        <v>4</v>
      </c>
      <c r="BB6" s="1"/>
      <c r="BC6" s="1"/>
      <c r="BD6" s="1">
        <f>8*7</f>
        <v>56</v>
      </c>
      <c r="BE6" s="1">
        <v>24</v>
      </c>
      <c r="BF6" s="1"/>
      <c r="BG6" s="19"/>
      <c r="BH6" s="19"/>
      <c r="BI6" s="19"/>
      <c r="BJ6" s="8"/>
      <c r="BK6" s="8"/>
      <c r="BL6" s="8"/>
      <c r="BM6" s="8"/>
      <c r="BN6" s="8"/>
      <c r="BO6" s="37"/>
      <c r="BP6" s="37"/>
      <c r="BQ6" s="1"/>
      <c r="BR6" s="1"/>
      <c r="BS6" s="1">
        <v>0</v>
      </c>
      <c r="BT6" s="1"/>
      <c r="BU6" s="1" t="s">
        <v>916</v>
      </c>
      <c r="BV6" s="33"/>
      <c r="BW6" s="33"/>
      <c r="BX6" s="33">
        <v>202</v>
      </c>
      <c r="BY6" s="33"/>
      <c r="BZ6" s="33"/>
      <c r="CA6" s="33">
        <v>202</v>
      </c>
      <c r="CB6" s="33"/>
      <c r="CC6" s="38">
        <v>205</v>
      </c>
      <c r="CD6" s="1"/>
      <c r="CE6" s="33"/>
      <c r="CF6" s="33"/>
      <c r="CG6" s="13"/>
      <c r="CH6" s="13"/>
      <c r="CI6" s="1"/>
      <c r="CJ6" s="13"/>
      <c r="CK6" s="13"/>
      <c r="CL6" s="33"/>
      <c r="CM6" s="33"/>
      <c r="CN6" s="1"/>
      <c r="CO6" s="33"/>
      <c r="CP6" s="33"/>
      <c r="CQ6" s="33"/>
      <c r="CR6" s="33"/>
      <c r="CS6" s="33"/>
      <c r="CT6" s="1"/>
      <c r="CU6" s="33">
        <v>117</v>
      </c>
      <c r="CV6" s="1"/>
      <c r="CW6" s="1"/>
    </row>
    <row r="7" spans="1:101" x14ac:dyDescent="0.25">
      <c r="A7" s="1" t="s">
        <v>77</v>
      </c>
      <c r="B7" s="1" t="s">
        <v>129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/>
      <c r="AB7" s="19"/>
      <c r="AC7" s="19"/>
      <c r="AD7" s="19">
        <f>IF(AND(Tabelle589711143136[[#This Row],[Lastverschiebung]]=1,Tabelle589711143136[[#This Row],[Potenzial pos. min MW]]&lt;&gt;""),Tabelle589711143136[[#This Row],[Potenzial pos. min MW]],"")</f>
        <v>48.362807262569831</v>
      </c>
      <c r="AE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F7" s="19">
        <f>IF(AND(Tabelle589711143136[[#This Row],[Lastverschiebung]]=1,Tabelle589711143136[[#This Row],[Potenzial pos. max MW]]&lt;&gt;""),Tabelle589711143136[[#This Row],[Potenzial pos. max MW]],"")</f>
        <v>196.59393854748603</v>
      </c>
      <c r="AG7" s="19"/>
      <c r="AH7" s="67"/>
      <c r="AI7" s="67"/>
      <c r="AJ7" s="9"/>
      <c r="AK7" s="49"/>
      <c r="AL7" s="67"/>
      <c r="AM7" s="20"/>
      <c r="AN7" s="19"/>
      <c r="AO7" s="9"/>
      <c r="AP7" s="19"/>
      <c r="AQ7" s="68"/>
      <c r="AR7" s="68"/>
      <c r="AS7" s="68"/>
      <c r="AT7" s="1">
        <v>2</v>
      </c>
      <c r="AU7" s="1"/>
      <c r="AV7" s="1"/>
      <c r="AW7" s="1"/>
      <c r="AX7" s="1"/>
      <c r="AY7" s="1"/>
      <c r="AZ7" s="1"/>
      <c r="BA7" s="1">
        <v>4</v>
      </c>
      <c r="BB7" s="1"/>
      <c r="BC7" s="1"/>
      <c r="BD7" s="1">
        <f>8*7</f>
        <v>56</v>
      </c>
      <c r="BE7" s="1">
        <v>24</v>
      </c>
      <c r="BF7" s="1"/>
      <c r="BG7" s="19"/>
      <c r="BH7" s="19"/>
      <c r="BI7" s="19"/>
      <c r="BJ7" s="8"/>
      <c r="BK7" s="8"/>
      <c r="BL7" s="8"/>
      <c r="BM7" s="8"/>
      <c r="BN7" s="8"/>
      <c r="BO7" s="37"/>
      <c r="BP7" s="37"/>
      <c r="BQ7" s="1"/>
      <c r="BR7" s="1"/>
      <c r="BS7" s="1">
        <v>0</v>
      </c>
      <c r="BT7" s="1"/>
      <c r="BU7" s="1" t="s">
        <v>916</v>
      </c>
      <c r="BV7" s="33"/>
      <c r="BW7" s="33"/>
      <c r="BX7" s="33">
        <v>202</v>
      </c>
      <c r="BY7" s="33"/>
      <c r="BZ7" s="33"/>
      <c r="CA7" s="33">
        <v>202</v>
      </c>
      <c r="CB7" s="33"/>
      <c r="CC7" s="38">
        <v>205</v>
      </c>
      <c r="CD7" s="1"/>
      <c r="CE7" s="33"/>
      <c r="CF7" s="33"/>
      <c r="CG7" s="13"/>
      <c r="CH7" s="13"/>
      <c r="CI7" s="1"/>
      <c r="CJ7" s="13"/>
      <c r="CK7" s="13"/>
      <c r="CL7" s="33"/>
      <c r="CM7" s="33"/>
      <c r="CN7" s="1"/>
      <c r="CO7" s="33"/>
      <c r="CP7" s="33"/>
      <c r="CQ7" s="33"/>
      <c r="CR7" s="33"/>
      <c r="CS7" s="33"/>
      <c r="CT7" s="1"/>
      <c r="CU7" s="33">
        <v>117</v>
      </c>
      <c r="CV7" s="1"/>
      <c r="CW7" s="1"/>
    </row>
    <row r="8" spans="1:101" x14ac:dyDescent="0.25">
      <c r="A8" s="1" t="s">
        <v>1032</v>
      </c>
      <c r="B8" s="1" t="s">
        <v>129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/>
      <c r="AA8" s="19"/>
      <c r="AB8" s="19"/>
      <c r="AC8" s="19">
        <f>Tabelle589711143136[[#This Row],[Stromverbrauch in TWh REF]]/Tabelle589711143136[[#This Row],[Vollbenutzungsstunden h/a]]*10^6</f>
        <v>232.51017639077341</v>
      </c>
      <c r="AD8" s="19" t="str">
        <f>IF(AND(Tabelle589711143136[[#This Row],[Lastverschiebung]]=1,Tabelle589711143136[[#This Row],[Potenzial pos. min MW]]&lt;&gt;""),Tabelle589711143136[[#This Row],[Potenzial pos. min MW]],"")</f>
        <v/>
      </c>
      <c r="AE8" s="19" t="str">
        <f>IF(AND(Tabelle589711143136[[#This Row],[Lastverschiebung]]=1,Tabelle589711143136[[#This Row],[Potenzial pos. MW Durchschnitt]]&lt;&gt;""),Tabelle589711143136[[#This Row],[Potenzial pos. MW Durchschnitt]],"")</f>
        <v/>
      </c>
      <c r="AF8" s="19" t="str">
        <f>IF(AND(Tabelle589711143136[[#This Row],[Lastverschiebung]]=1,Tabelle589711143136[[#This Row],[Potenzial pos. max MW]]&lt;&gt;""),Tabelle589711143136[[#This Row],[Potenzial pos. max MW]],"")</f>
        <v/>
      </c>
      <c r="AG8" s="19"/>
      <c r="AH8" s="67">
        <f>1-Tabelle589711143136[[#This Row],[flexibilisierbarer Anteil]]</f>
        <v>0.30000000000000004</v>
      </c>
      <c r="AI8" s="67">
        <v>0.7</v>
      </c>
      <c r="AJ8" s="9"/>
      <c r="AK8" s="49">
        <v>7370</v>
      </c>
      <c r="AL8" s="67">
        <v>0.84</v>
      </c>
      <c r="AM8" s="20"/>
      <c r="AN8" s="19"/>
      <c r="AO8" s="9"/>
      <c r="AP8" s="19"/>
      <c r="AQ8" s="68"/>
      <c r="AR8" s="68"/>
      <c r="AS8" s="68"/>
      <c r="AT8" s="1"/>
      <c r="AU8" s="1">
        <v>4</v>
      </c>
      <c r="AV8" s="1"/>
      <c r="AW8" s="1"/>
      <c r="AX8" s="1"/>
      <c r="AY8" s="1"/>
      <c r="AZ8" s="1"/>
      <c r="BA8" s="1"/>
      <c r="BB8" s="1"/>
      <c r="BC8" s="1"/>
      <c r="BD8" s="1"/>
      <c r="BE8" s="1"/>
      <c r="BF8" s="1">
        <v>40</v>
      </c>
      <c r="BG8" s="19">
        <v>1</v>
      </c>
      <c r="BH8" s="19">
        <v>20</v>
      </c>
      <c r="BI8" s="19"/>
      <c r="BJ8" s="8"/>
      <c r="BK8" s="8"/>
      <c r="BL8" s="8">
        <v>30</v>
      </c>
      <c r="BM8" s="8">
        <v>310</v>
      </c>
      <c r="BN8" s="8"/>
      <c r="BO8" s="37">
        <v>0</v>
      </c>
      <c r="BP8" s="37">
        <v>1</v>
      </c>
      <c r="BQ8" s="1"/>
      <c r="BR8" s="1"/>
      <c r="BS8" s="1">
        <v>130</v>
      </c>
      <c r="BT8" s="1" t="s">
        <v>887</v>
      </c>
      <c r="BU8" s="1" t="s">
        <v>916</v>
      </c>
      <c r="BV8" s="1">
        <v>18</v>
      </c>
      <c r="BW8" s="1">
        <v>18</v>
      </c>
      <c r="BX8" s="33">
        <v>46</v>
      </c>
      <c r="BY8" s="33"/>
      <c r="BZ8" s="33"/>
      <c r="CA8" s="33">
        <v>46</v>
      </c>
      <c r="CB8" s="33">
        <v>46</v>
      </c>
      <c r="CC8" s="38">
        <v>205</v>
      </c>
      <c r="CD8" s="1"/>
      <c r="CE8" s="33">
        <v>46</v>
      </c>
      <c r="CF8" s="33">
        <v>46</v>
      </c>
      <c r="CG8" s="13">
        <v>18</v>
      </c>
      <c r="CH8" s="13"/>
      <c r="CI8" s="1"/>
      <c r="CJ8" s="13"/>
      <c r="CK8" s="13"/>
      <c r="CL8" s="33">
        <v>23</v>
      </c>
      <c r="CM8" s="33"/>
      <c r="CN8" s="1"/>
      <c r="CO8" s="33">
        <v>23</v>
      </c>
      <c r="CP8" s="33">
        <v>23</v>
      </c>
      <c r="CQ8" s="33">
        <v>30</v>
      </c>
      <c r="CR8" s="33">
        <v>30</v>
      </c>
      <c r="CS8" s="33">
        <v>30</v>
      </c>
      <c r="CT8" s="1"/>
      <c r="CU8" s="33">
        <v>117</v>
      </c>
      <c r="CV8" s="1"/>
      <c r="CW8" s="1"/>
    </row>
    <row r="9" spans="1:101" x14ac:dyDescent="0.25">
      <c r="A9" s="1" t="s">
        <v>1033</v>
      </c>
      <c r="B9" s="1" t="s">
        <v>129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/>
      <c r="V9" s="19"/>
      <c r="W9" s="19"/>
      <c r="X9" s="19">
        <v>500</v>
      </c>
      <c r="Y9" s="19"/>
      <c r="Z9" s="19"/>
      <c r="AA9" s="19"/>
      <c r="AB9" s="19"/>
      <c r="AC9" s="19">
        <f>Tabelle589711143136[[#This Row],[Stromverbrauch in TWh REF]]/Tabelle589711143136[[#This Row],[Vollbenutzungsstunden h/a]]*10^6</f>
        <v>852.34735413839883</v>
      </c>
      <c r="AD9" s="19" t="str">
        <f>IF(AND(Tabelle589711143136[[#This Row],[Lastverschiebung]]=1,Tabelle589711143136[[#This Row],[Potenzial pos. min MW]]&lt;&gt;""),Tabelle589711143136[[#This Row],[Potenzial pos. min MW]],"")</f>
        <v/>
      </c>
      <c r="AE9" s="19" t="str">
        <f>IF(AND(Tabelle589711143136[[#This Row],[Lastverschiebung]]=1,Tabelle589711143136[[#This Row],[Potenzial pos. MW Durchschnitt]]&lt;&gt;""),Tabelle589711143136[[#This Row],[Potenzial pos. MW Durchschnitt]],"")</f>
        <v/>
      </c>
      <c r="AF9" s="19" t="str">
        <f>IF(AND(Tabelle589711143136[[#This Row],[Lastverschiebung]]=1,Tabelle589711143136[[#This Row],[Potenzial pos. max MW]]&lt;&gt;""),Tabelle589711143136[[#This Row],[Potenzial pos. max MW]],"")</f>
        <v/>
      </c>
      <c r="AG9" s="19"/>
      <c r="AH9" s="67">
        <f>1-Tabelle589711143136[[#This Row],[flexibilisierbarer Anteil]]</f>
        <v>0.4</v>
      </c>
      <c r="AI9" s="67">
        <v>0.6</v>
      </c>
      <c r="AJ9" s="9"/>
      <c r="AK9" s="49">
        <v>7370</v>
      </c>
      <c r="AL9" s="67">
        <v>0.84</v>
      </c>
      <c r="AM9" s="20"/>
      <c r="AN9" s="19"/>
      <c r="AO9" s="9"/>
      <c r="AP9" s="19"/>
      <c r="AQ9" s="68"/>
      <c r="AR9" s="68"/>
      <c r="AS9" s="68"/>
      <c r="AT9" s="1"/>
      <c r="AU9" s="1">
        <v>4</v>
      </c>
      <c r="AV9" s="1"/>
      <c r="AW9" s="1"/>
      <c r="AX9" s="1"/>
      <c r="AY9" s="1"/>
      <c r="AZ9" s="1"/>
      <c r="BA9" s="1"/>
      <c r="BB9" s="1"/>
      <c r="BC9" s="1"/>
      <c r="BD9" s="1"/>
      <c r="BE9" s="1"/>
      <c r="BF9" s="1">
        <v>40</v>
      </c>
      <c r="BG9" s="19">
        <v>1</v>
      </c>
      <c r="BH9" s="19">
        <v>20</v>
      </c>
      <c r="BI9" s="19"/>
      <c r="BJ9" s="8"/>
      <c r="BK9" s="8"/>
      <c r="BL9" s="8">
        <v>30</v>
      </c>
      <c r="BM9" s="8">
        <v>310</v>
      </c>
      <c r="BN9" s="8"/>
      <c r="BO9" s="37">
        <v>0</v>
      </c>
      <c r="BP9" s="37">
        <v>1</v>
      </c>
      <c r="BQ9" s="1"/>
      <c r="BR9" s="1"/>
      <c r="BS9" s="1"/>
      <c r="BT9" s="1" t="s">
        <v>887</v>
      </c>
      <c r="BU9" s="1" t="s">
        <v>916</v>
      </c>
      <c r="BV9" s="1">
        <v>18</v>
      </c>
      <c r="BW9" s="1">
        <v>18</v>
      </c>
      <c r="BX9" s="33">
        <v>46</v>
      </c>
      <c r="BY9" s="33"/>
      <c r="BZ9" s="33"/>
      <c r="CA9" s="33">
        <v>46</v>
      </c>
      <c r="CB9" s="33">
        <v>46</v>
      </c>
      <c r="CC9" s="38">
        <v>205</v>
      </c>
      <c r="CD9" s="1"/>
      <c r="CE9" s="33">
        <v>46</v>
      </c>
      <c r="CF9" s="33">
        <v>46</v>
      </c>
      <c r="CG9" s="13">
        <v>18</v>
      </c>
      <c r="CH9" s="13"/>
      <c r="CI9" s="1"/>
      <c r="CJ9" s="13"/>
      <c r="CK9" s="13"/>
      <c r="CL9" s="33">
        <v>23</v>
      </c>
      <c r="CM9" s="33"/>
      <c r="CN9" s="1"/>
      <c r="CO9" s="33">
        <v>23</v>
      </c>
      <c r="CP9" s="33">
        <v>23</v>
      </c>
      <c r="CQ9" s="33">
        <v>30</v>
      </c>
      <c r="CR9" s="33">
        <v>30</v>
      </c>
      <c r="CS9" s="33">
        <v>30</v>
      </c>
      <c r="CT9" s="1"/>
      <c r="CU9" s="1"/>
      <c r="CV9" s="1"/>
      <c r="CW9" s="1"/>
    </row>
    <row r="10" spans="1:101" x14ac:dyDescent="0.25">
      <c r="A10" s="1" t="s">
        <v>1033</v>
      </c>
      <c r="B10" s="1" t="s">
        <v>129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/>
      <c r="AB10" s="19"/>
      <c r="AC10" s="19"/>
      <c r="AD10" s="19" t="str">
        <f>IF(AND(Tabelle589711143136[[#This Row],[Lastverschiebung]]=1,Tabelle589711143136[[#This Row],[Potenzial pos. min MW]]&lt;&gt;""),Tabelle589711143136[[#This Row],[Potenzial pos. min MW]],"")</f>
        <v/>
      </c>
      <c r="AE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F10" s="19" t="str">
        <f>IF(AND(Tabelle589711143136[[#This Row],[Lastverschiebung]]=1,Tabelle589711143136[[#This Row],[Potenzial pos. max MW]]&lt;&gt;""),Tabelle589711143136[[#This Row],[Potenzial pos. max MW]],"")</f>
        <v/>
      </c>
      <c r="AG10" s="19"/>
      <c r="AH10" s="67"/>
      <c r="AI10" s="67"/>
      <c r="AJ10" s="9"/>
      <c r="AK10" s="49"/>
      <c r="AL10" s="67"/>
      <c r="AM10" s="20"/>
      <c r="AN10" s="19"/>
      <c r="AO10" s="9"/>
      <c r="AP10" s="19"/>
      <c r="AQ10" s="68"/>
      <c r="AR10" s="68"/>
      <c r="AS10" s="68"/>
      <c r="AT10" s="1"/>
      <c r="AU10" s="1">
        <v>4</v>
      </c>
      <c r="AV10" s="1"/>
      <c r="AW10" s="1"/>
      <c r="AX10" s="1"/>
      <c r="AY10" s="1"/>
      <c r="AZ10" s="1"/>
      <c r="BA10" s="1"/>
      <c r="BB10" s="1"/>
      <c r="BC10" s="1"/>
      <c r="BD10" s="1">
        <f>8*7</f>
        <v>56</v>
      </c>
      <c r="BE10" s="1"/>
      <c r="BF10" s="1">
        <v>40</v>
      </c>
      <c r="BG10" s="19"/>
      <c r="BH10" s="19"/>
      <c r="BI10" s="19"/>
      <c r="BJ10" s="8"/>
      <c r="BK10" s="8"/>
      <c r="BL10" s="8"/>
      <c r="BM10" s="8"/>
      <c r="BN10" s="8"/>
      <c r="BO10" s="37"/>
      <c r="BP10" s="37"/>
      <c r="BQ10" s="1"/>
      <c r="BR10" s="1"/>
      <c r="BS10" s="1"/>
      <c r="BT10" s="1"/>
      <c r="BU10" s="1" t="s">
        <v>916</v>
      </c>
      <c r="BV10" s="1"/>
      <c r="BW10" s="1"/>
      <c r="BX10" s="33">
        <v>202</v>
      </c>
      <c r="BY10" s="33"/>
      <c r="BZ10" s="33"/>
      <c r="CA10" s="33">
        <v>202</v>
      </c>
      <c r="CB10" s="33"/>
      <c r="CC10" s="38">
        <v>205</v>
      </c>
      <c r="CD10" s="1"/>
      <c r="CE10" s="33"/>
      <c r="CF10" s="33"/>
      <c r="CG10" s="13"/>
      <c r="CH10" s="13"/>
      <c r="CI10" s="1"/>
      <c r="CJ10" s="13"/>
      <c r="CK10" s="13"/>
      <c r="CL10" s="33"/>
      <c r="CM10" s="33"/>
      <c r="CN10" s="1"/>
      <c r="CO10" s="33"/>
      <c r="CP10" s="33"/>
      <c r="CQ10" s="33"/>
      <c r="CR10" s="33"/>
      <c r="CS10" s="33"/>
      <c r="CT10" s="1"/>
      <c r="CU10" s="1"/>
      <c r="CV10" s="1"/>
      <c r="CW10" s="1"/>
    </row>
    <row r="11" spans="1:101" x14ac:dyDescent="0.25">
      <c r="A11" s="1" t="s">
        <v>1033</v>
      </c>
      <c r="B11" s="1" t="s">
        <v>129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/>
      <c r="AB11" s="19"/>
      <c r="AC11" s="19"/>
      <c r="AD11" s="19" t="str">
        <f>IF(AND(Tabelle589711143136[[#This Row],[Lastverschiebung]]=1,Tabelle589711143136[[#This Row],[Potenzial pos. min MW]]&lt;&gt;""),Tabelle589711143136[[#This Row],[Potenzial pos. min MW]],"")</f>
        <v/>
      </c>
      <c r="AE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F11" s="19" t="str">
        <f>IF(AND(Tabelle589711143136[[#This Row],[Lastverschiebung]]=1,Tabelle589711143136[[#This Row],[Potenzial pos. max MW]]&lt;&gt;""),Tabelle589711143136[[#This Row],[Potenzial pos. max MW]],"")</f>
        <v/>
      </c>
      <c r="AG11" s="19"/>
      <c r="AH11" s="67"/>
      <c r="AI11" s="67"/>
      <c r="AJ11" s="9"/>
      <c r="AK11" s="49"/>
      <c r="AL11" s="67"/>
      <c r="AM11" s="20"/>
      <c r="AN11" s="19"/>
      <c r="AO11" s="9"/>
      <c r="AP11" s="19"/>
      <c r="AQ11" s="68"/>
      <c r="AR11" s="68"/>
      <c r="AS11" s="68"/>
      <c r="AT11" s="1"/>
      <c r="AU11" s="1">
        <v>4</v>
      </c>
      <c r="AV11" s="1"/>
      <c r="AW11" s="1"/>
      <c r="AX11" s="1"/>
      <c r="AY11" s="1"/>
      <c r="AZ11" s="1"/>
      <c r="BA11" s="1"/>
      <c r="BB11" s="1"/>
      <c r="BC11" s="1"/>
      <c r="BD11" s="1">
        <f>8*7</f>
        <v>56</v>
      </c>
      <c r="BE11" s="1"/>
      <c r="BF11" s="1">
        <v>40</v>
      </c>
      <c r="BG11" s="19"/>
      <c r="BH11" s="19"/>
      <c r="BI11" s="19"/>
      <c r="BJ11" s="8"/>
      <c r="BK11" s="8"/>
      <c r="BL11" s="8"/>
      <c r="BM11" s="8"/>
      <c r="BN11" s="8"/>
      <c r="BO11" s="37"/>
      <c r="BP11" s="37"/>
      <c r="BQ11" s="1"/>
      <c r="BR11" s="1"/>
      <c r="BS11" s="1"/>
      <c r="BT11" s="1"/>
      <c r="BU11" s="1" t="s">
        <v>916</v>
      </c>
      <c r="BV11" s="1"/>
      <c r="BW11" s="1"/>
      <c r="BX11" s="33">
        <v>202</v>
      </c>
      <c r="BY11" s="33"/>
      <c r="BZ11" s="33"/>
      <c r="CA11" s="33">
        <v>202</v>
      </c>
      <c r="CB11" s="33"/>
      <c r="CC11" s="38">
        <v>205</v>
      </c>
      <c r="CD11" s="1"/>
      <c r="CE11" s="33"/>
      <c r="CF11" s="33"/>
      <c r="CG11" s="13"/>
      <c r="CH11" s="13"/>
      <c r="CI11" s="1"/>
      <c r="CJ11" s="13"/>
      <c r="CK11" s="13"/>
      <c r="CL11" s="33"/>
      <c r="CM11" s="33"/>
      <c r="CN11" s="1"/>
      <c r="CO11" s="33"/>
      <c r="CP11" s="33"/>
      <c r="CQ11" s="33"/>
      <c r="CR11" s="33"/>
      <c r="CS11" s="33"/>
      <c r="CT11" s="1"/>
      <c r="CU11" s="1"/>
      <c r="CV11" s="1"/>
      <c r="CW11" s="1"/>
    </row>
    <row r="12" spans="1:101" x14ac:dyDescent="0.25">
      <c r="A12" s="1" t="s">
        <v>54</v>
      </c>
      <c r="B12" s="1" t="s">
        <v>129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/>
      <c r="V12" s="19"/>
      <c r="W12" s="19"/>
      <c r="X12" s="19">
        <v>200</v>
      </c>
      <c r="Y12" s="19"/>
      <c r="Z12" s="19"/>
      <c r="AA12" s="19"/>
      <c r="AB12" s="19"/>
      <c r="AC12" s="19">
        <f>Tabelle589711143136[[#This Row],[Stromverbrauch in TWh REF]]/Tabelle589711143136[[#This Row],[Vollbenutzungsstunden h/a]]*10^6</f>
        <v>982.87331917905169</v>
      </c>
      <c r="AD12" s="19" t="str">
        <f>IF(AND(Tabelle589711143136[[#This Row],[Lastverschiebung]]=1,Tabelle589711143136[[#This Row],[Potenzial pos. min MW]]&lt;&gt;""),Tabelle589711143136[[#This Row],[Potenzial pos. min MW]],"")</f>
        <v/>
      </c>
      <c r="AE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F12" s="19" t="str">
        <f>IF(AND(Tabelle589711143136[[#This Row],[Lastverschiebung]]=1,Tabelle589711143136[[#This Row],[Potenzial pos. max MW]]&lt;&gt;""),Tabelle589711143136[[#This Row],[Potenzial pos. max MW]],"")</f>
        <v/>
      </c>
      <c r="AG12" s="19"/>
      <c r="AH12" s="67">
        <f>1-Tabelle589711143136[[#This Row],[flexibilisierbarer Anteil]]</f>
        <v>0.75</v>
      </c>
      <c r="AI12" s="67">
        <v>0.25</v>
      </c>
      <c r="AJ12" s="9"/>
      <c r="AK12" s="49">
        <v>7065</v>
      </c>
      <c r="AL12" s="67">
        <f>AVERAGE(80%,85%)</f>
        <v>0.82499999999999996</v>
      </c>
      <c r="AM12" s="20"/>
      <c r="AN12" s="19"/>
      <c r="AO12" s="9"/>
      <c r="AP12" s="19"/>
      <c r="AQ12" s="68"/>
      <c r="AR12" s="68"/>
      <c r="AS12" s="68"/>
      <c r="AT12" s="1"/>
      <c r="AU12" s="1">
        <v>4</v>
      </c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>
        <v>40</v>
      </c>
      <c r="BG12" s="19">
        <v>1</v>
      </c>
      <c r="BH12" s="19">
        <v>20</v>
      </c>
      <c r="BI12" s="19"/>
      <c r="BJ12" s="8"/>
      <c r="BK12" s="8"/>
      <c r="BL12" s="8">
        <v>350</v>
      </c>
      <c r="BM12" s="8">
        <v>1500</v>
      </c>
      <c r="BN12" s="8"/>
      <c r="BO12" s="37">
        <v>0</v>
      </c>
      <c r="BP12" s="37">
        <v>1</v>
      </c>
      <c r="BQ12" s="1"/>
      <c r="BR12" s="1"/>
      <c r="BS12" s="1">
        <v>350</v>
      </c>
      <c r="BT12" s="1"/>
      <c r="BU12" s="1" t="s">
        <v>916</v>
      </c>
      <c r="BV12" s="1">
        <v>18</v>
      </c>
      <c r="BW12" s="1">
        <v>18</v>
      </c>
      <c r="BX12" s="33">
        <v>46</v>
      </c>
      <c r="BY12" s="33"/>
      <c r="BZ12" s="33"/>
      <c r="CA12" s="33">
        <v>46</v>
      </c>
      <c r="CB12" s="33">
        <v>46</v>
      </c>
      <c r="CC12" s="38">
        <v>205</v>
      </c>
      <c r="CD12" s="1"/>
      <c r="CE12" s="33">
        <v>46</v>
      </c>
      <c r="CF12" s="33">
        <v>46</v>
      </c>
      <c r="CG12" s="13">
        <v>18</v>
      </c>
      <c r="CH12" s="13"/>
      <c r="CI12" s="1"/>
      <c r="CJ12" s="13"/>
      <c r="CK12" s="13"/>
      <c r="CL12" s="33">
        <v>23</v>
      </c>
      <c r="CM12" s="33"/>
      <c r="CN12" s="1"/>
      <c r="CO12" s="33">
        <v>23</v>
      </c>
      <c r="CP12" s="33">
        <v>23</v>
      </c>
      <c r="CQ12" s="33">
        <v>30</v>
      </c>
      <c r="CR12" s="33">
        <v>30</v>
      </c>
      <c r="CS12" s="33">
        <v>30</v>
      </c>
      <c r="CT12" s="1"/>
      <c r="CU12" s="33">
        <v>117</v>
      </c>
      <c r="CV12" s="1"/>
      <c r="CW12" s="1"/>
    </row>
    <row r="13" spans="1:101" x14ac:dyDescent="0.25">
      <c r="A13" s="1" t="s">
        <v>54</v>
      </c>
      <c r="B13" s="1" t="s">
        <v>129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/>
      <c r="AB13" s="19"/>
      <c r="AC13" s="19"/>
      <c r="AD13" s="19" t="str">
        <f>IF(AND(Tabelle589711143136[[#This Row],[Lastverschiebung]]=1,Tabelle589711143136[[#This Row],[Potenzial pos. min MW]]&lt;&gt;""),Tabelle589711143136[[#This Row],[Potenzial pos. min MW]],"")</f>
        <v/>
      </c>
      <c r="AE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F13" s="19" t="str">
        <f>IF(AND(Tabelle589711143136[[#This Row],[Lastverschiebung]]=1,Tabelle589711143136[[#This Row],[Potenzial pos. max MW]]&lt;&gt;""),Tabelle589711143136[[#This Row],[Potenzial pos. max MW]],"")</f>
        <v/>
      </c>
      <c r="AG13" s="19"/>
      <c r="AH13" s="67"/>
      <c r="AI13" s="67"/>
      <c r="AJ13" s="9"/>
      <c r="AK13" s="49"/>
      <c r="AL13" s="72" t="str">
        <f>IF(Tabelle589711143136[[#This Row],[Vollbenutzungsstunden h/a]]&lt;&gt;"",Tabelle589711143136[[#This Row],[Vollbenutzungsstunden h/a]]/8760,"")</f>
        <v/>
      </c>
      <c r="AM13" s="20"/>
      <c r="AN13" s="19"/>
      <c r="AO13" s="9"/>
      <c r="AP13" s="19"/>
      <c r="AQ13" s="68"/>
      <c r="AR13" s="68"/>
      <c r="AS13" s="68"/>
      <c r="AT13" s="1"/>
      <c r="AU13" s="1">
        <v>4</v>
      </c>
      <c r="AV13" s="1"/>
      <c r="AW13" s="1"/>
      <c r="AX13" s="1"/>
      <c r="AY13" s="1"/>
      <c r="AZ13" s="1"/>
      <c r="BA13" s="1"/>
      <c r="BB13" s="1"/>
      <c r="BC13" s="1"/>
      <c r="BD13" s="1">
        <f>8*7</f>
        <v>56</v>
      </c>
      <c r="BE13" s="1"/>
      <c r="BF13" s="1">
        <v>40</v>
      </c>
      <c r="BG13" s="19"/>
      <c r="BH13" s="19"/>
      <c r="BI13" s="19"/>
      <c r="BJ13" s="8"/>
      <c r="BK13" s="8"/>
      <c r="BL13" s="8"/>
      <c r="BM13" s="8"/>
      <c r="BN13" s="8"/>
      <c r="BO13" s="37"/>
      <c r="BP13" s="37"/>
      <c r="BQ13" s="1"/>
      <c r="BR13" s="1"/>
      <c r="BS13" s="1"/>
      <c r="BT13" s="1"/>
      <c r="BU13" s="1" t="s">
        <v>916</v>
      </c>
      <c r="BV13" s="1"/>
      <c r="BW13" s="1"/>
      <c r="BX13" s="33">
        <v>202</v>
      </c>
      <c r="BY13" s="33"/>
      <c r="BZ13" s="33"/>
      <c r="CA13" s="33">
        <v>202</v>
      </c>
      <c r="CB13" s="33"/>
      <c r="CC13" s="38">
        <v>205</v>
      </c>
      <c r="CD13" s="1"/>
      <c r="CE13" s="33"/>
      <c r="CF13" s="33"/>
      <c r="CG13" s="13"/>
      <c r="CH13" s="13"/>
      <c r="CI13" s="1"/>
      <c r="CJ13" s="13"/>
      <c r="CK13" s="13"/>
      <c r="CL13" s="33"/>
      <c r="CM13" s="33"/>
      <c r="CN13" s="1"/>
      <c r="CO13" s="33"/>
      <c r="CP13" s="33"/>
      <c r="CQ13" s="33"/>
      <c r="CR13" s="33"/>
      <c r="CS13" s="33"/>
      <c r="CT13" s="1"/>
      <c r="CU13" s="1"/>
      <c r="CV13" s="1"/>
      <c r="CW13" s="1"/>
    </row>
    <row r="14" spans="1:101" x14ac:dyDescent="0.25">
      <c r="A14" s="1" t="s">
        <v>54</v>
      </c>
      <c r="B14" s="1" t="s">
        <v>129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/>
      <c r="AB14" s="19"/>
      <c r="AC14" s="19"/>
      <c r="AD14" s="19" t="str">
        <f>IF(AND(Tabelle589711143136[[#This Row],[Lastverschiebung]]=1,Tabelle589711143136[[#This Row],[Potenzial pos. min MW]]&lt;&gt;""),Tabelle589711143136[[#This Row],[Potenzial pos. min MW]],"")</f>
        <v/>
      </c>
      <c r="AE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F14" s="19" t="str">
        <f>IF(AND(Tabelle589711143136[[#This Row],[Lastverschiebung]]=1,Tabelle589711143136[[#This Row],[Potenzial pos. max MW]]&lt;&gt;""),Tabelle589711143136[[#This Row],[Potenzial pos. max MW]],"")</f>
        <v/>
      </c>
      <c r="AG14" s="19"/>
      <c r="AH14" s="67"/>
      <c r="AI14" s="67"/>
      <c r="AJ14" s="9"/>
      <c r="AK14" s="49"/>
      <c r="AL14" s="72" t="str">
        <f>IF(Tabelle589711143136[[#This Row],[Vollbenutzungsstunden h/a]]&lt;&gt;"",Tabelle589711143136[[#This Row],[Vollbenutzungsstunden h/a]]/8760,"")</f>
        <v/>
      </c>
      <c r="AM14" s="20"/>
      <c r="AN14" s="19"/>
      <c r="AO14" s="9"/>
      <c r="AP14" s="19"/>
      <c r="AQ14" s="68"/>
      <c r="AR14" s="68"/>
      <c r="AS14" s="68"/>
      <c r="AT14" s="1"/>
      <c r="AU14" s="1">
        <v>4</v>
      </c>
      <c r="AV14" s="1"/>
      <c r="AW14" s="1"/>
      <c r="AX14" s="1"/>
      <c r="AY14" s="1"/>
      <c r="AZ14" s="1"/>
      <c r="BA14" s="1"/>
      <c r="BB14" s="1"/>
      <c r="BC14" s="1"/>
      <c r="BD14" s="1">
        <f>8*7</f>
        <v>56</v>
      </c>
      <c r="BE14" s="1"/>
      <c r="BF14" s="1">
        <v>40</v>
      </c>
      <c r="BG14" s="19"/>
      <c r="BH14" s="19"/>
      <c r="BI14" s="19"/>
      <c r="BJ14" s="8"/>
      <c r="BK14" s="8"/>
      <c r="BL14" s="8"/>
      <c r="BM14" s="8"/>
      <c r="BN14" s="8"/>
      <c r="BO14" s="37"/>
      <c r="BP14" s="37"/>
      <c r="BQ14" s="1"/>
      <c r="BR14" s="1"/>
      <c r="BS14" s="1"/>
      <c r="BT14" s="1"/>
      <c r="BU14" s="1" t="s">
        <v>916</v>
      </c>
      <c r="BV14" s="1"/>
      <c r="BW14" s="1"/>
      <c r="BX14" s="33">
        <v>202</v>
      </c>
      <c r="BY14" s="33"/>
      <c r="BZ14" s="33"/>
      <c r="CA14" s="33">
        <v>202</v>
      </c>
      <c r="CB14" s="33"/>
      <c r="CC14" s="38">
        <v>205</v>
      </c>
      <c r="CD14" s="1"/>
      <c r="CE14" s="33"/>
      <c r="CF14" s="33"/>
      <c r="CG14" s="13"/>
      <c r="CH14" s="13"/>
      <c r="CI14" s="1"/>
      <c r="CJ14" s="13"/>
      <c r="CK14" s="13"/>
      <c r="CL14" s="33"/>
      <c r="CM14" s="33"/>
      <c r="CN14" s="1"/>
      <c r="CO14" s="33"/>
      <c r="CP14" s="33"/>
      <c r="CQ14" s="33"/>
      <c r="CR14" s="33"/>
      <c r="CS14" s="33"/>
      <c r="CT14" s="1"/>
      <c r="CU14" s="1"/>
      <c r="CV14" s="1"/>
      <c r="CW14" s="1"/>
    </row>
    <row r="15" spans="1:101" x14ac:dyDescent="0.25">
      <c r="A15" s="1" t="s">
        <v>886</v>
      </c>
      <c r="B15" s="1" t="s">
        <v>129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/>
      <c r="AA15" s="19"/>
      <c r="AB15" s="19"/>
      <c r="AC15" s="19">
        <f>Tabelle589711143136[[#This Row],[Stromverbrauch in TWh REF]]/Tabelle589711143136[[#This Row],[Vollbenutzungsstunden h/a]]*10^6</f>
        <v>261.24807692307689</v>
      </c>
      <c r="AD15" s="19" t="str">
        <f>IF(AND(Tabelle589711143136[[#This Row],[Lastverschiebung]]=1,Tabelle589711143136[[#This Row],[Potenzial pos. min MW]]&lt;&gt;""),Tabelle589711143136[[#This Row],[Potenzial pos. min MW]],"")</f>
        <v/>
      </c>
      <c r="AE15" s="19">
        <f>IF(AND(Tabelle589711143136[[#This Row],[Lastverschiebung]]=1,Tabelle589711143136[[#This Row],[Potenzial pos. MW Durchschnitt]]&lt;&gt;""),Tabelle589711143136[[#This Row],[Potenzial pos. MW Durchschnitt]],"")</f>
        <v>270</v>
      </c>
      <c r="AF15" s="19" t="str">
        <f>IF(AND(Tabelle589711143136[[#This Row],[Lastverschiebung]]=1,Tabelle589711143136[[#This Row],[Potenzial pos. max MW]]&lt;&gt;""),Tabelle589711143136[[#This Row],[Potenzial pos. max MW]],"")</f>
        <v/>
      </c>
      <c r="AG15" s="19"/>
      <c r="AH15" s="67">
        <f>1-Tabelle589711143136[[#This Row],[flexibilisierbarer Anteil]]</f>
        <v>0</v>
      </c>
      <c r="AI15" s="67">
        <v>1</v>
      </c>
      <c r="AJ15" s="9"/>
      <c r="AK15" s="49">
        <v>5200</v>
      </c>
      <c r="AL15" s="72">
        <f>IF(Tabelle589711143136[[#This Row],[Vollbenutzungsstunden h/a]]&lt;&gt;"",Tabelle589711143136[[#This Row],[Vollbenutzungsstunden h/a]]/8760,"")</f>
        <v>0.59360730593607303</v>
      </c>
      <c r="AM15" s="20"/>
      <c r="AN15" s="19"/>
      <c r="AO15" s="9"/>
      <c r="AP15" s="19"/>
      <c r="AQ15" s="68"/>
      <c r="AR15" s="68"/>
      <c r="AS15" s="68"/>
      <c r="AT15" s="1">
        <v>3</v>
      </c>
      <c r="AU15" s="1"/>
      <c r="AV15" s="1"/>
      <c r="AW15" s="1"/>
      <c r="AX15" s="1">
        <v>3</v>
      </c>
      <c r="AY15" s="1"/>
      <c r="AZ15" s="1"/>
      <c r="BA15" s="1">
        <v>24</v>
      </c>
      <c r="BB15" s="1"/>
      <c r="BC15" s="1" t="s">
        <v>893</v>
      </c>
      <c r="BD15" s="1"/>
      <c r="BE15" s="1">
        <v>40</v>
      </c>
      <c r="BF15" s="1"/>
      <c r="BG15" s="19">
        <v>40</v>
      </c>
      <c r="BH15" s="19">
        <v>1200</v>
      </c>
      <c r="BI15" s="19"/>
      <c r="BJ15" s="8"/>
      <c r="BK15" s="8">
        <v>6</v>
      </c>
      <c r="BL15" s="8"/>
      <c r="BM15" s="8"/>
      <c r="BN15" s="8"/>
      <c r="BO15" s="37">
        <v>0</v>
      </c>
      <c r="BP15" s="37">
        <v>1</v>
      </c>
      <c r="BQ15" s="1"/>
      <c r="BR15" s="1"/>
      <c r="BS15" s="1">
        <v>0</v>
      </c>
      <c r="BT15" s="1" t="s">
        <v>888</v>
      </c>
      <c r="BU15" s="1" t="s">
        <v>916</v>
      </c>
      <c r="BV15" s="1">
        <v>19</v>
      </c>
      <c r="BW15" s="1">
        <v>19</v>
      </c>
      <c r="BX15" s="33">
        <v>46</v>
      </c>
      <c r="BY15" s="33"/>
      <c r="BZ15" s="33"/>
      <c r="CA15" s="33">
        <v>46</v>
      </c>
      <c r="CB15" s="33">
        <v>46</v>
      </c>
      <c r="CC15" s="38">
        <v>205</v>
      </c>
      <c r="CD15" s="1"/>
      <c r="CE15" s="33">
        <v>46</v>
      </c>
      <c r="CF15" s="33">
        <v>46</v>
      </c>
      <c r="CG15" s="13"/>
      <c r="CH15" s="13"/>
      <c r="CI15" s="1"/>
      <c r="CJ15" s="13"/>
      <c r="CK15" s="13"/>
      <c r="CL15" s="33">
        <v>23</v>
      </c>
      <c r="CM15" s="33">
        <v>23</v>
      </c>
      <c r="CN15" s="1"/>
      <c r="CO15" s="33">
        <v>23</v>
      </c>
      <c r="CP15" s="33">
        <v>23</v>
      </c>
      <c r="CQ15" s="33">
        <v>30</v>
      </c>
      <c r="CR15" s="33">
        <v>30</v>
      </c>
      <c r="CS15" s="33">
        <v>30</v>
      </c>
      <c r="CT15" s="1"/>
      <c r="CU15" s="33">
        <v>117</v>
      </c>
      <c r="CV15" s="1"/>
      <c r="CW15" s="1"/>
    </row>
    <row r="16" spans="1:101" x14ac:dyDescent="0.25">
      <c r="A16" s="1" t="s">
        <v>886</v>
      </c>
      <c r="B16" s="1" t="s">
        <v>129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/>
      <c r="AB16" s="19"/>
      <c r="AC16" s="19"/>
      <c r="AD16" s="19">
        <f>IF(AND(Tabelle589711143136[[#This Row],[Lastverschiebung]]=1,Tabelle589711143136[[#This Row],[Potenzial pos. min MW]]&lt;&gt;""),Tabelle589711143136[[#This Row],[Potenzial pos. min MW]],"")</f>
        <v>170.88452620188593</v>
      </c>
      <c r="AE16" s="19">
        <f>IF(AND(Tabelle589711143136[[#This Row],[Lastverschiebung]]=1,Tabelle589711143136[[#This Row],[Potenzial pos. MW Durchschnitt]]&lt;&gt;""),Tabelle589711143136[[#This Row],[Potenzial pos. MW Durchschnitt]],"")</f>
        <v>180</v>
      </c>
      <c r="AF16" s="19">
        <f>IF(AND(Tabelle589711143136[[#This Row],[Lastverschiebung]]=1,Tabelle589711143136[[#This Row],[Potenzial pos. max MW]]&lt;&gt;""),Tabelle589711143136[[#This Row],[Potenzial pos. max MW]],"")</f>
        <v>206.78435616014843</v>
      </c>
      <c r="AG16" s="19"/>
      <c r="AH16" s="67"/>
      <c r="AI16" s="67"/>
      <c r="AJ16" s="9"/>
      <c r="AK16" s="49"/>
      <c r="AL16" s="72" t="str">
        <f>IF(Tabelle589711143136[[#This Row],[Vollbenutzungsstunden h/a]]&lt;&gt;"",Tabelle589711143136[[#This Row],[Vollbenutzungsstunden h/a]]/8760,"")</f>
        <v/>
      </c>
      <c r="AM16" s="20"/>
      <c r="AN16" s="19"/>
      <c r="AO16" s="9"/>
      <c r="AP16" s="19"/>
      <c r="AQ16" s="68"/>
      <c r="AR16" s="68"/>
      <c r="AS16" s="68"/>
      <c r="AT16" s="1">
        <v>3</v>
      </c>
      <c r="AU16" s="1"/>
      <c r="AV16" s="1"/>
      <c r="AW16" s="1"/>
      <c r="AX16" s="1"/>
      <c r="AY16" s="1"/>
      <c r="AZ16" s="1"/>
      <c r="BA16" s="1">
        <v>24</v>
      </c>
      <c r="BB16" s="1"/>
      <c r="BC16" s="1"/>
      <c r="BD16" s="1">
        <f>8*7</f>
        <v>56</v>
      </c>
      <c r="BE16" s="1">
        <v>40</v>
      </c>
      <c r="BF16" s="1"/>
      <c r="BG16" s="19"/>
      <c r="BH16" s="19"/>
      <c r="BI16" s="19"/>
      <c r="BJ16" s="8"/>
      <c r="BK16" s="8"/>
      <c r="BL16" s="8"/>
      <c r="BM16" s="8"/>
      <c r="BN16" s="8"/>
      <c r="BO16" s="37"/>
      <c r="BP16" s="37"/>
      <c r="BQ16" s="1"/>
      <c r="BR16" s="1"/>
      <c r="BS16" s="1">
        <v>0</v>
      </c>
      <c r="BT16" s="1"/>
      <c r="BU16" s="1" t="s">
        <v>916</v>
      </c>
      <c r="BV16" s="1"/>
      <c r="BW16" s="1"/>
      <c r="BX16" s="33">
        <v>202</v>
      </c>
      <c r="BY16" s="33"/>
      <c r="BZ16" s="33"/>
      <c r="CA16" s="33">
        <v>202</v>
      </c>
      <c r="CB16" s="33"/>
      <c r="CC16" s="38">
        <v>205</v>
      </c>
      <c r="CD16" s="1"/>
      <c r="CE16" s="33"/>
      <c r="CF16" s="33"/>
      <c r="CG16" s="13"/>
      <c r="CH16" s="13"/>
      <c r="CI16" s="1"/>
      <c r="CJ16" s="13"/>
      <c r="CK16" s="13"/>
      <c r="CL16" s="33"/>
      <c r="CM16" s="33"/>
      <c r="CN16" s="1"/>
      <c r="CO16" s="33"/>
      <c r="CP16" s="33"/>
      <c r="CQ16" s="33"/>
      <c r="CR16" s="33"/>
      <c r="CS16" s="33"/>
      <c r="CT16" s="1"/>
      <c r="CU16" s="33">
        <v>117</v>
      </c>
      <c r="CV16" s="1"/>
      <c r="CW16" s="1"/>
    </row>
    <row r="17" spans="1:101" x14ac:dyDescent="0.25">
      <c r="A17" s="1" t="s">
        <v>886</v>
      </c>
      <c r="B17" s="1" t="s">
        <v>129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/>
      <c r="AB17" s="19"/>
      <c r="AC17" s="19"/>
      <c r="AD17" s="19">
        <f>IF(AND(Tabelle589711143136[[#This Row],[Lastverschiebung]]=1,Tabelle589711143136[[#This Row],[Potenzial pos. min MW]]&lt;&gt;""),Tabelle589711143136[[#This Row],[Potenzial pos. min MW]],"")</f>
        <v>170.88452620188593</v>
      </c>
      <c r="AE17" s="19">
        <f>IF(AND(Tabelle589711143136[[#This Row],[Lastverschiebung]]=1,Tabelle589711143136[[#This Row],[Potenzial pos. MW Durchschnitt]]&lt;&gt;""),Tabelle589711143136[[#This Row],[Potenzial pos. MW Durchschnitt]],"")</f>
        <v>180</v>
      </c>
      <c r="AF17" s="19">
        <f>IF(AND(Tabelle589711143136[[#This Row],[Lastverschiebung]]=1,Tabelle589711143136[[#This Row],[Potenzial pos. max MW]]&lt;&gt;""),Tabelle589711143136[[#This Row],[Potenzial pos. max MW]],"")</f>
        <v>206.78435616014843</v>
      </c>
      <c r="AG17" s="19"/>
      <c r="AH17" s="67"/>
      <c r="AI17" s="67"/>
      <c r="AJ17" s="9"/>
      <c r="AK17" s="49"/>
      <c r="AL17" s="72" t="str">
        <f>IF(Tabelle589711143136[[#This Row],[Vollbenutzungsstunden h/a]]&lt;&gt;"",Tabelle589711143136[[#This Row],[Vollbenutzungsstunden h/a]]/8760,"")</f>
        <v/>
      </c>
      <c r="AM17" s="20"/>
      <c r="AN17" s="19"/>
      <c r="AO17" s="9"/>
      <c r="AP17" s="19"/>
      <c r="AQ17" s="68"/>
      <c r="AR17" s="68"/>
      <c r="AS17" s="68"/>
      <c r="AT17" s="1">
        <v>3</v>
      </c>
      <c r="AU17" s="1"/>
      <c r="AV17" s="1"/>
      <c r="AW17" s="1"/>
      <c r="AX17" s="1"/>
      <c r="AY17" s="1"/>
      <c r="AZ17" s="1"/>
      <c r="BA17" s="1">
        <v>24</v>
      </c>
      <c r="BB17" s="1"/>
      <c r="BC17" s="1"/>
      <c r="BD17" s="1">
        <f>8*7</f>
        <v>56</v>
      </c>
      <c r="BE17" s="1">
        <v>40</v>
      </c>
      <c r="BF17" s="1"/>
      <c r="BG17" s="19"/>
      <c r="BH17" s="19"/>
      <c r="BI17" s="19"/>
      <c r="BJ17" s="8"/>
      <c r="BK17" s="8"/>
      <c r="BL17" s="8"/>
      <c r="BM17" s="8"/>
      <c r="BN17" s="8"/>
      <c r="BO17" s="37"/>
      <c r="BP17" s="37"/>
      <c r="BQ17" s="1"/>
      <c r="BR17" s="1"/>
      <c r="BS17" s="1">
        <v>0</v>
      </c>
      <c r="BT17" s="1"/>
      <c r="BU17" s="1" t="s">
        <v>916</v>
      </c>
      <c r="BV17" s="1"/>
      <c r="BW17" s="1"/>
      <c r="BX17" s="33">
        <v>202</v>
      </c>
      <c r="BY17" s="33"/>
      <c r="BZ17" s="33"/>
      <c r="CA17" s="33">
        <v>202</v>
      </c>
      <c r="CB17" s="33"/>
      <c r="CC17" s="38">
        <v>205</v>
      </c>
      <c r="CD17" s="1"/>
      <c r="CE17" s="33"/>
      <c r="CF17" s="33"/>
      <c r="CG17" s="13"/>
      <c r="CH17" s="13"/>
      <c r="CI17" s="1"/>
      <c r="CJ17" s="13"/>
      <c r="CK17" s="13"/>
      <c r="CL17" s="33"/>
      <c r="CM17" s="33"/>
      <c r="CN17" s="1"/>
      <c r="CO17" s="33"/>
      <c r="CP17" s="33"/>
      <c r="CQ17" s="33"/>
      <c r="CR17" s="33"/>
      <c r="CS17" s="33"/>
      <c r="CT17" s="1"/>
      <c r="CU17" s="33">
        <v>117</v>
      </c>
      <c r="CV17" s="1"/>
      <c r="CW17" s="1"/>
    </row>
    <row r="18" spans="1:101" x14ac:dyDescent="0.25">
      <c r="A18" s="69" t="s">
        <v>394</v>
      </c>
      <c r="B18" s="69" t="s">
        <v>130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19"/>
      <c r="Y18" s="19"/>
      <c r="Z18" s="19"/>
      <c r="AA18" s="70"/>
      <c r="AB18" s="19"/>
      <c r="AC18" s="70">
        <f>Tabelle589711143136[[#This Row],[Stromverbrauch in TWh REF]]/Tabelle589711143136[[#This Row],[Vollbenutzungsstunden h/a]]*10^6</f>
        <v>1962.4754420432223</v>
      </c>
      <c r="AD18" s="70" t="str">
        <f>IF(AND(Tabelle589711143136[[#This Row],[Lastverschiebung]]=1,Tabelle589711143136[[#This Row],[Potenzial pos. min MW]]&lt;&gt;""),Tabelle589711143136[[#This Row],[Potenzial pos. min MW]],"")</f>
        <v/>
      </c>
      <c r="AE18" s="70">
        <f>IF(AND(Tabelle589711143136[[#This Row],[Lastverschiebung]]=1,Tabelle589711143136[[#This Row],[Potenzial pos. MW Durchschnitt]]&lt;&gt;""),Tabelle589711143136[[#This Row],[Potenzial pos. MW Durchschnitt]],"")</f>
        <v>1400</v>
      </c>
      <c r="AF18" s="70" t="str">
        <f>IF(AND(Tabelle589711143136[[#This Row],[Lastverschiebung]]=1,Tabelle589711143136[[#This Row],[Potenzial pos. max MW]]&lt;&gt;""),Tabelle589711143136[[#This Row],[Potenzial pos. max MW]],"")</f>
        <v/>
      </c>
      <c r="AG18" s="70"/>
      <c r="AH18" s="67"/>
      <c r="AI18" s="72">
        <v>0.71</v>
      </c>
      <c r="AJ18" s="73"/>
      <c r="AK18" s="78">
        <v>5090</v>
      </c>
      <c r="AL18" s="72">
        <f>IF(Tabelle589711143136[[#This Row],[Vollbenutzungsstunden h/a]]&lt;&gt;"",Tabelle589711143136[[#This Row],[Vollbenutzungsstunden h/a]]/8760,"")</f>
        <v>0.58105022831050224</v>
      </c>
      <c r="AM18" s="71"/>
      <c r="AN18" s="70"/>
      <c r="AO18" s="73"/>
      <c r="AP18" s="70"/>
      <c r="AQ18" s="74"/>
      <c r="AR18" s="74"/>
      <c r="AS18" s="74"/>
      <c r="AT18" s="69">
        <v>1</v>
      </c>
      <c r="AU18" s="69"/>
      <c r="AV18" s="69"/>
      <c r="AW18" s="69"/>
      <c r="AX18" s="69">
        <v>1</v>
      </c>
      <c r="AY18" s="69"/>
      <c r="AZ18" s="69"/>
      <c r="BA18" s="69">
        <v>1</v>
      </c>
      <c r="BB18" s="69"/>
      <c r="BC18" s="1" t="s">
        <v>894</v>
      </c>
      <c r="BD18" s="69">
        <f>8*7</f>
        <v>56</v>
      </c>
      <c r="BE18" s="69"/>
      <c r="BF18" s="69"/>
      <c r="BG18" s="19">
        <v>40</v>
      </c>
      <c r="BH18" s="19">
        <v>1200</v>
      </c>
      <c r="BI18" s="70"/>
      <c r="BJ18" s="75"/>
      <c r="BK18" s="75"/>
      <c r="BL18" s="75"/>
      <c r="BM18" s="75"/>
      <c r="BN18" s="75"/>
      <c r="BO18" s="75">
        <v>25</v>
      </c>
      <c r="BP18" s="75">
        <v>90</v>
      </c>
      <c r="BQ18" s="69"/>
      <c r="BR18" s="69"/>
      <c r="BS18" s="1">
        <v>0</v>
      </c>
      <c r="BT18" s="69"/>
      <c r="BU18" s="1" t="s">
        <v>916</v>
      </c>
      <c r="BV18" s="69">
        <v>23</v>
      </c>
      <c r="BW18" s="69">
        <v>23</v>
      </c>
      <c r="BX18" s="69"/>
      <c r="BY18" s="69"/>
      <c r="BZ18" s="69"/>
      <c r="CA18" s="69">
        <v>197</v>
      </c>
      <c r="CB18" s="69">
        <v>197</v>
      </c>
      <c r="CC18" s="38">
        <v>206</v>
      </c>
      <c r="CD18" s="69"/>
      <c r="CE18" s="76">
        <v>197</v>
      </c>
      <c r="CF18" s="76">
        <v>197</v>
      </c>
      <c r="CG18" s="76"/>
      <c r="CH18" s="76"/>
      <c r="CI18" s="69"/>
      <c r="CJ18" s="76"/>
      <c r="CK18" s="76"/>
      <c r="CL18" s="33">
        <v>23</v>
      </c>
      <c r="CM18" s="33">
        <v>23</v>
      </c>
      <c r="CN18" s="69"/>
      <c r="CO18" s="33">
        <v>23</v>
      </c>
      <c r="CP18" s="33">
        <v>23</v>
      </c>
      <c r="CQ18" s="33">
        <v>30</v>
      </c>
      <c r="CR18" s="33">
        <v>30</v>
      </c>
      <c r="CS18" s="33">
        <v>30</v>
      </c>
      <c r="CT18" s="69"/>
      <c r="CU18" s="33">
        <v>117</v>
      </c>
      <c r="CV18" s="69"/>
      <c r="CW18" s="69"/>
    </row>
    <row r="19" spans="1:101" x14ac:dyDescent="0.25">
      <c r="A19" s="69" t="s">
        <v>394</v>
      </c>
      <c r="B19" s="69" t="s">
        <v>130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19"/>
      <c r="AA19" s="70"/>
      <c r="AB19" s="19"/>
      <c r="AC19" s="70"/>
      <c r="AD19" s="70">
        <f>IF(AND(Tabelle589711143136[[#This Row],[Lastverschiebung]]=1,Tabelle589711143136[[#This Row],[Potenzial pos. min MW]]&lt;&gt;""),Tabelle589711143136[[#This Row],[Potenzial pos. min MW]],"")</f>
        <v>1331.4646110721792</v>
      </c>
      <c r="AE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F19" s="70">
        <f>IF(AND(Tabelle589711143136[[#This Row],[Lastverschiebung]]=1,Tabelle589711143136[[#This Row],[Potenzial pos. max MW]]&lt;&gt;""),Tabelle589711143136[[#This Row],[Potenzial pos. max MW]],"")</f>
        <v>1471.6187806587245</v>
      </c>
      <c r="AG19" s="70"/>
      <c r="AH19" s="67"/>
      <c r="AI19" s="72"/>
      <c r="AJ19" s="73"/>
      <c r="AK19" s="78"/>
      <c r="AL19" s="72" t="str">
        <f>IF(Tabelle589711143136[[#This Row],[Vollbenutzungsstunden h/a]]&lt;&gt;"",Tabelle589711143136[[#This Row],[Vollbenutzungsstunden h/a]]/8760,"")</f>
        <v/>
      </c>
      <c r="AM19" s="71"/>
      <c r="AN19" s="70"/>
      <c r="AO19" s="73"/>
      <c r="AP19" s="70"/>
      <c r="AQ19" s="74"/>
      <c r="AR19" s="74"/>
      <c r="AS19" s="74"/>
      <c r="AT19" s="69">
        <v>1</v>
      </c>
      <c r="AU19" s="69"/>
      <c r="AV19" s="69"/>
      <c r="AW19" s="69"/>
      <c r="AX19" s="69"/>
      <c r="AY19" s="69"/>
      <c r="AZ19" s="69"/>
      <c r="BA19" s="69">
        <v>1</v>
      </c>
      <c r="BB19" s="69"/>
      <c r="BC19" s="1"/>
      <c r="BD19" s="69">
        <f>8*7</f>
        <v>56</v>
      </c>
      <c r="BE19" s="69"/>
      <c r="BF19" s="69"/>
      <c r="BG19" s="19"/>
      <c r="BH19" s="19"/>
      <c r="BI19" s="70"/>
      <c r="BJ19" s="75"/>
      <c r="BK19" s="75"/>
      <c r="BL19" s="75"/>
      <c r="BM19" s="75"/>
      <c r="BN19" s="75"/>
      <c r="BO19" s="75"/>
      <c r="BP19" s="75"/>
      <c r="BQ19" s="69"/>
      <c r="BR19" s="69"/>
      <c r="BS19" s="1">
        <v>0</v>
      </c>
      <c r="BT19" s="69"/>
      <c r="BU19" s="1" t="s">
        <v>916</v>
      </c>
      <c r="BV19" s="69"/>
      <c r="BW19" s="69"/>
      <c r="BX19" s="69"/>
      <c r="BY19" s="69"/>
      <c r="BZ19" s="69">
        <v>203</v>
      </c>
      <c r="CA19" s="69">
        <v>203</v>
      </c>
      <c r="CB19" s="69"/>
      <c r="CC19" s="38">
        <v>206</v>
      </c>
      <c r="CD19" s="69"/>
      <c r="CE19" s="76"/>
      <c r="CF19" s="76"/>
      <c r="CG19" s="76"/>
      <c r="CH19" s="76"/>
      <c r="CI19" s="69"/>
      <c r="CJ19" s="76"/>
      <c r="CK19" s="76"/>
      <c r="CL19" s="33"/>
      <c r="CM19" s="33"/>
      <c r="CN19" s="69"/>
      <c r="CO19" s="33"/>
      <c r="CP19" s="33"/>
      <c r="CQ19" s="33"/>
      <c r="CR19" s="33"/>
      <c r="CS19" s="33"/>
      <c r="CT19" s="69"/>
      <c r="CU19" s="33">
        <v>117</v>
      </c>
      <c r="CV19" s="69"/>
      <c r="CW19" s="69"/>
    </row>
    <row r="20" spans="1:101" x14ac:dyDescent="0.25">
      <c r="A20" s="69" t="s">
        <v>394</v>
      </c>
      <c r="B20" s="69" t="s">
        <v>130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19"/>
      <c r="AA20" s="70"/>
      <c r="AB20" s="19"/>
      <c r="AC20" s="70"/>
      <c r="AD20" s="70">
        <f>IF(AND(Tabelle589711143136[[#This Row],[Lastverschiebung]]=1,Tabelle589711143136[[#This Row],[Potenzial pos. min MW]]&lt;&gt;""),Tabelle589711143136[[#This Row],[Potenzial pos. min MW]],"")</f>
        <v>1261.3875262789068</v>
      </c>
      <c r="AE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F20" s="70">
        <f>IF(AND(Tabelle589711143136[[#This Row],[Lastverschiebung]]=1,Tabelle589711143136[[#This Row],[Potenzial pos. max MW]]&lt;&gt;""),Tabelle589711143136[[#This Row],[Potenzial pos. max MW]],"")</f>
        <v>1541.6958654519972</v>
      </c>
      <c r="AG20" s="70"/>
      <c r="AH20" s="67"/>
      <c r="AI20" s="72"/>
      <c r="AJ20" s="73"/>
      <c r="AK20" s="78"/>
      <c r="AL20" s="72" t="str">
        <f>IF(Tabelle589711143136[[#This Row],[Vollbenutzungsstunden h/a]]&lt;&gt;"",Tabelle589711143136[[#This Row],[Vollbenutzungsstunden h/a]]/8760,"")</f>
        <v/>
      </c>
      <c r="AM20" s="71"/>
      <c r="AN20" s="70"/>
      <c r="AO20" s="73"/>
      <c r="AP20" s="70"/>
      <c r="AQ20" s="74"/>
      <c r="AR20" s="74"/>
      <c r="AS20" s="74"/>
      <c r="AT20" s="69">
        <v>1</v>
      </c>
      <c r="AU20" s="69"/>
      <c r="AV20" s="69"/>
      <c r="AW20" s="69"/>
      <c r="AX20" s="69"/>
      <c r="AY20" s="69"/>
      <c r="AZ20" s="69"/>
      <c r="BA20" s="69">
        <v>1</v>
      </c>
      <c r="BB20" s="69"/>
      <c r="BC20" s="1"/>
      <c r="BD20" s="69">
        <f>8*7</f>
        <v>56</v>
      </c>
      <c r="BE20" s="69"/>
      <c r="BF20" s="69"/>
      <c r="BG20" s="19"/>
      <c r="BH20" s="19"/>
      <c r="BI20" s="70"/>
      <c r="BJ20" s="75"/>
      <c r="BK20" s="75"/>
      <c r="BL20" s="75"/>
      <c r="BM20" s="75"/>
      <c r="BN20" s="75"/>
      <c r="BO20" s="75"/>
      <c r="BP20" s="75"/>
      <c r="BQ20" s="69"/>
      <c r="BR20" s="69"/>
      <c r="BS20" s="1">
        <v>0</v>
      </c>
      <c r="BT20" s="69"/>
      <c r="BU20" s="1" t="s">
        <v>916</v>
      </c>
      <c r="BV20" s="69"/>
      <c r="BW20" s="69"/>
      <c r="BX20" s="69"/>
      <c r="BY20" s="69"/>
      <c r="BZ20" s="69">
        <v>203</v>
      </c>
      <c r="CA20" s="69">
        <v>203</v>
      </c>
      <c r="CB20" s="69"/>
      <c r="CC20" s="38">
        <v>206</v>
      </c>
      <c r="CD20" s="69"/>
      <c r="CE20" s="76"/>
      <c r="CF20" s="76"/>
      <c r="CG20" s="76"/>
      <c r="CH20" s="76"/>
      <c r="CI20" s="69"/>
      <c r="CJ20" s="76"/>
      <c r="CK20" s="76"/>
      <c r="CL20" s="33"/>
      <c r="CM20" s="33"/>
      <c r="CN20" s="69"/>
      <c r="CO20" s="33"/>
      <c r="CP20" s="33"/>
      <c r="CQ20" s="33"/>
      <c r="CR20" s="33"/>
      <c r="CS20" s="33"/>
      <c r="CT20" s="69"/>
      <c r="CU20" s="33">
        <v>117</v>
      </c>
      <c r="CV20" s="69"/>
      <c r="CW20" s="69"/>
    </row>
    <row r="21" spans="1:101" x14ac:dyDescent="0.25">
      <c r="A21" s="69" t="s">
        <v>138</v>
      </c>
      <c r="B21" s="69" t="s">
        <v>142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19"/>
      <c r="Y21" s="19"/>
      <c r="Z21" s="19"/>
      <c r="AA21" s="70"/>
      <c r="AB21" s="19"/>
      <c r="AC21" s="70">
        <f>Tabelle589711143136[[#This Row],[Stromverbrauch in TWh REF]]/Tabelle589711143136[[#This Row],[Vollbenutzungsstunden h/a]]*10^6</f>
        <v>12187.096774193549</v>
      </c>
      <c r="AD21" s="70" t="str">
        <f>IF(AND(Tabelle589711143136[[#This Row],[Lastverschiebung]]=1,Tabelle589711143136[[#This Row],[Potenzial pos. min MW]]&lt;&gt;""),Tabelle589711143136[[#This Row],[Potenzial pos. min MW]],"")</f>
        <v/>
      </c>
      <c r="AE21" s="70">
        <f>IF(AND(Tabelle589711143136[[#This Row],[Lastverschiebung]]=1,Tabelle589711143136[[#This Row],[Potenzial pos. MW Durchschnitt]]&lt;&gt;""),Tabelle589711143136[[#This Row],[Potenzial pos. MW Durchschnitt]],"")</f>
        <v>3400</v>
      </c>
      <c r="AF21" s="70" t="str">
        <f>IF(AND(Tabelle589711143136[[#This Row],[Lastverschiebung]]=1,Tabelle589711143136[[#This Row],[Potenzial pos. max MW]]&lt;&gt;""),Tabelle589711143136[[#This Row],[Potenzial pos. max MW]],"")</f>
        <v/>
      </c>
      <c r="AG21" s="70"/>
      <c r="AH21" s="67"/>
      <c r="AI21" s="72">
        <v>0.25</v>
      </c>
      <c r="AJ21" s="73"/>
      <c r="AK21" s="78">
        <v>1550</v>
      </c>
      <c r="AL21" s="72">
        <f>IF(Tabelle589711143136[[#This Row],[Vollbenutzungsstunden h/a]]&lt;&gt;"",Tabelle589711143136[[#This Row],[Vollbenutzungsstunden h/a]]/8760,"")</f>
        <v>0.1769406392694064</v>
      </c>
      <c r="AM21" s="71"/>
      <c r="AN21" s="70"/>
      <c r="AO21" s="73"/>
      <c r="AP21" s="70"/>
      <c r="AQ21" s="74"/>
      <c r="AR21" s="74"/>
      <c r="AS21" s="74"/>
      <c r="AT21" s="69">
        <v>12</v>
      </c>
      <c r="AU21" s="69"/>
      <c r="AV21" s="69"/>
      <c r="AW21" s="69"/>
      <c r="AX21" s="69">
        <v>12</v>
      </c>
      <c r="AY21" s="69"/>
      <c r="AZ21" s="69"/>
      <c r="BA21" s="69">
        <v>12</v>
      </c>
      <c r="BB21" s="69"/>
      <c r="BC21" s="1" t="s">
        <v>893</v>
      </c>
      <c r="BD21" s="69">
        <f t="shared" ref="BD21:BD26" si="0">12*7</f>
        <v>84</v>
      </c>
      <c r="BE21" s="69"/>
      <c r="BF21" s="69"/>
      <c r="BG21" s="19">
        <v>40</v>
      </c>
      <c r="BH21" s="19">
        <v>1200</v>
      </c>
      <c r="BI21" s="70"/>
      <c r="BJ21" s="75"/>
      <c r="BK21" s="75"/>
      <c r="BL21" s="75"/>
      <c r="BM21" s="75"/>
      <c r="BN21" s="75"/>
      <c r="BO21" s="75">
        <v>25</v>
      </c>
      <c r="BP21" s="75">
        <v>90</v>
      </c>
      <c r="BQ21" s="69"/>
      <c r="BR21" s="69"/>
      <c r="BS21" s="1">
        <v>0</v>
      </c>
      <c r="BT21" s="1" t="s">
        <v>918</v>
      </c>
      <c r="BU21" s="1" t="s">
        <v>916</v>
      </c>
      <c r="BV21" s="69">
        <v>23</v>
      </c>
      <c r="BW21" s="69">
        <v>23</v>
      </c>
      <c r="BX21" s="69"/>
      <c r="BY21" s="69"/>
      <c r="BZ21" s="69"/>
      <c r="CA21" s="1" t="s">
        <v>901</v>
      </c>
      <c r="CB21" s="69">
        <v>197</v>
      </c>
      <c r="CC21" s="38">
        <v>206</v>
      </c>
      <c r="CD21" s="69"/>
      <c r="CE21" s="1" t="s">
        <v>901</v>
      </c>
      <c r="CF21" s="1" t="s">
        <v>901</v>
      </c>
      <c r="CG21" s="76"/>
      <c r="CH21" s="76"/>
      <c r="CI21" s="69"/>
      <c r="CJ21" s="76"/>
      <c r="CK21" s="76"/>
      <c r="CL21" s="33">
        <v>23</v>
      </c>
      <c r="CM21" s="33">
        <v>23</v>
      </c>
      <c r="CN21" s="69"/>
      <c r="CO21" s="33">
        <v>23</v>
      </c>
      <c r="CP21" s="33">
        <v>23</v>
      </c>
      <c r="CQ21" s="33">
        <v>30</v>
      </c>
      <c r="CR21" s="33">
        <v>30</v>
      </c>
      <c r="CS21" s="33">
        <v>30</v>
      </c>
      <c r="CT21" s="69"/>
      <c r="CU21" s="33">
        <v>117</v>
      </c>
      <c r="CV21" s="69">
        <v>204</v>
      </c>
      <c r="CW21" s="69"/>
    </row>
    <row r="22" spans="1:101" x14ac:dyDescent="0.25">
      <c r="A22" s="69" t="s">
        <v>138</v>
      </c>
      <c r="B22" s="69" t="s">
        <v>142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19"/>
      <c r="AA22" s="70"/>
      <c r="AB22" s="19"/>
      <c r="AC22" s="70"/>
      <c r="AD22" s="70">
        <f>IF(AND(Tabelle589711143136[[#This Row],[Lastverschiebung]]=1,Tabelle589711143136[[#This Row],[Potenzial pos. min MW]]&lt;&gt;""),Tabelle589711143136[[#This Row],[Potenzial pos. min MW]],"")</f>
        <v>2550.4499735309687</v>
      </c>
      <c r="AE22" s="70">
        <f>IF(AND(Tabelle589711143136[[#This Row],[Lastverschiebung]]=1,Tabelle589711143136[[#This Row],[Potenzial pos. MW Durchschnitt]]&lt;&gt;""),Tabelle589711143136[[#This Row],[Potenzial pos. MW Durchschnitt]],"")</f>
        <v>3400</v>
      </c>
      <c r="AF22" s="70">
        <f>IF(AND(Tabelle589711143136[[#This Row],[Lastverschiebung]]=1,Tabelle589711143136[[#This Row],[Potenzial pos. max MW]]&lt;&gt;""),Tabelle589711143136[[#This Row],[Potenzial pos. max MW]],"")</f>
        <v>2991.4240338803597</v>
      </c>
      <c r="AG22" s="70"/>
      <c r="AH22" s="67"/>
      <c r="AI22" s="72"/>
      <c r="AJ22" s="73"/>
      <c r="AK22" s="78"/>
      <c r="AL22" s="72" t="str">
        <f>IF(Tabelle589711143136[[#This Row],[Vollbenutzungsstunden h/a]]&lt;&gt;"",Tabelle589711143136[[#This Row],[Vollbenutzungsstunden h/a]]/8760,"")</f>
        <v/>
      </c>
      <c r="AM22" s="71"/>
      <c r="AN22" s="70"/>
      <c r="AO22" s="73"/>
      <c r="AP22" s="70"/>
      <c r="AQ22" s="74"/>
      <c r="AR22" s="74"/>
      <c r="AS22" s="74"/>
      <c r="AT22" s="69">
        <v>12</v>
      </c>
      <c r="AU22" s="69"/>
      <c r="AV22" s="69"/>
      <c r="AW22" s="69"/>
      <c r="AX22" s="69"/>
      <c r="AY22" s="69"/>
      <c r="AZ22" s="69"/>
      <c r="BA22" s="69">
        <v>12</v>
      </c>
      <c r="BB22" s="69"/>
      <c r="BC22" s="1"/>
      <c r="BD22" s="69">
        <f t="shared" si="0"/>
        <v>84</v>
      </c>
      <c r="BE22" s="69"/>
      <c r="BF22" s="69"/>
      <c r="BG22" s="19"/>
      <c r="BH22" s="19"/>
      <c r="BI22" s="70"/>
      <c r="BJ22" s="75"/>
      <c r="BK22" s="75"/>
      <c r="BL22" s="75"/>
      <c r="BM22" s="75"/>
      <c r="BN22" s="75"/>
      <c r="BO22" s="75"/>
      <c r="BP22" s="75"/>
      <c r="BQ22" s="69"/>
      <c r="BR22" s="69"/>
      <c r="BS22" s="1">
        <v>0</v>
      </c>
      <c r="BT22" s="1" t="s">
        <v>918</v>
      </c>
      <c r="BU22" s="1" t="s">
        <v>916</v>
      </c>
      <c r="BV22" s="69"/>
      <c r="BW22" s="69"/>
      <c r="BX22" s="69"/>
      <c r="BY22" s="69"/>
      <c r="BZ22" s="69">
        <v>203</v>
      </c>
      <c r="CA22" s="69">
        <v>203</v>
      </c>
      <c r="CB22" s="69"/>
      <c r="CC22" s="38">
        <v>206</v>
      </c>
      <c r="CD22" s="69"/>
      <c r="CE22" s="1"/>
      <c r="CF22" s="1"/>
      <c r="CG22" s="76"/>
      <c r="CH22" s="76"/>
      <c r="CI22" s="69"/>
      <c r="CJ22" s="76"/>
      <c r="CK22" s="76"/>
      <c r="CL22" s="33"/>
      <c r="CM22" s="33"/>
      <c r="CN22" s="69"/>
      <c r="CO22" s="33"/>
      <c r="CP22" s="33"/>
      <c r="CQ22" s="33"/>
      <c r="CR22" s="33"/>
      <c r="CS22" s="33"/>
      <c r="CT22" s="69"/>
      <c r="CU22" s="33">
        <v>117</v>
      </c>
      <c r="CV22" s="69">
        <v>204</v>
      </c>
      <c r="CW22" s="69"/>
    </row>
    <row r="23" spans="1:101" x14ac:dyDescent="0.25">
      <c r="A23" s="69" t="s">
        <v>138</v>
      </c>
      <c r="B23" s="69" t="s">
        <v>142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19"/>
      <c r="AA23" s="70"/>
      <c r="AB23" s="19"/>
      <c r="AC23" s="70"/>
      <c r="AD23" s="70">
        <f>IF(AND(Tabelle589711143136[[#This Row],[Lastverschiebung]]=1,Tabelle589711143136[[#This Row],[Potenzial pos. min MW]]&lt;&gt;""),Tabelle589711143136[[#This Row],[Potenzial pos. min MW]],"")</f>
        <v>1699.1000529380624</v>
      </c>
      <c r="AE23" s="70">
        <f>IF(AND(Tabelle589711143136[[#This Row],[Lastverschiebung]]=1,Tabelle589711143136[[#This Row],[Potenzial pos. MW Durchschnitt]]&lt;&gt;""),Tabelle589711143136[[#This Row],[Potenzial pos. MW Durchschnitt]],"")</f>
        <v>3400</v>
      </c>
      <c r="AF23" s="70">
        <f>IF(AND(Tabelle589711143136[[#This Row],[Lastverschiebung]]=1,Tabelle589711143136[[#This Row],[Potenzial pos. max MW]]&lt;&gt;""),Tabelle589711143136[[#This Row],[Potenzial pos. max MW]],"")</f>
        <v>2550.4499735309687</v>
      </c>
      <c r="AG23" s="70"/>
      <c r="AH23" s="67"/>
      <c r="AI23" s="72"/>
      <c r="AJ23" s="73"/>
      <c r="AK23" s="78"/>
      <c r="AL23" s="72" t="str">
        <f>IF(Tabelle589711143136[[#This Row],[Vollbenutzungsstunden h/a]]&lt;&gt;"",Tabelle589711143136[[#This Row],[Vollbenutzungsstunden h/a]]/8760,"")</f>
        <v/>
      </c>
      <c r="AM23" s="71"/>
      <c r="AN23" s="70"/>
      <c r="AO23" s="73"/>
      <c r="AP23" s="70"/>
      <c r="AQ23" s="74"/>
      <c r="AR23" s="74"/>
      <c r="AS23" s="74"/>
      <c r="AT23" s="69">
        <v>12</v>
      </c>
      <c r="AU23" s="69"/>
      <c r="AV23" s="69"/>
      <c r="AW23" s="69"/>
      <c r="AX23" s="69"/>
      <c r="AY23" s="69"/>
      <c r="AZ23" s="69"/>
      <c r="BA23" s="69">
        <v>12</v>
      </c>
      <c r="BB23" s="69"/>
      <c r="BC23" s="1"/>
      <c r="BD23" s="69">
        <f t="shared" si="0"/>
        <v>84</v>
      </c>
      <c r="BE23" s="69"/>
      <c r="BF23" s="69"/>
      <c r="BG23" s="19"/>
      <c r="BH23" s="19"/>
      <c r="BI23" s="70"/>
      <c r="BJ23" s="75"/>
      <c r="BK23" s="75"/>
      <c r="BL23" s="75"/>
      <c r="BM23" s="75"/>
      <c r="BN23" s="75"/>
      <c r="BO23" s="75"/>
      <c r="BP23" s="75"/>
      <c r="BQ23" s="69"/>
      <c r="BR23" s="69"/>
      <c r="BS23" s="1">
        <v>0</v>
      </c>
      <c r="BT23" s="1" t="s">
        <v>918</v>
      </c>
      <c r="BU23" s="1" t="s">
        <v>916</v>
      </c>
      <c r="BV23" s="69"/>
      <c r="BW23" s="69"/>
      <c r="BX23" s="69"/>
      <c r="BY23" s="69"/>
      <c r="BZ23" s="69">
        <v>203</v>
      </c>
      <c r="CA23" s="69">
        <v>203</v>
      </c>
      <c r="CB23" s="69"/>
      <c r="CC23" s="38">
        <v>206</v>
      </c>
      <c r="CD23" s="69"/>
      <c r="CE23" s="1"/>
      <c r="CF23" s="1"/>
      <c r="CG23" s="76"/>
      <c r="CH23" s="76"/>
      <c r="CI23" s="69"/>
      <c r="CJ23" s="76"/>
      <c r="CK23" s="76"/>
      <c r="CL23" s="33"/>
      <c r="CM23" s="33"/>
      <c r="CN23" s="69"/>
      <c r="CO23" s="33"/>
      <c r="CP23" s="33"/>
      <c r="CQ23" s="33"/>
      <c r="CR23" s="33"/>
      <c r="CS23" s="33"/>
      <c r="CT23" s="69"/>
      <c r="CU23" s="33">
        <v>117</v>
      </c>
      <c r="CV23" s="69">
        <v>204</v>
      </c>
      <c r="CW23" s="69"/>
    </row>
    <row r="24" spans="1:101" x14ac:dyDescent="0.25">
      <c r="A24" s="69" t="s">
        <v>140</v>
      </c>
      <c r="B24" s="69" t="s">
        <v>889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19"/>
      <c r="Y24" s="19"/>
      <c r="Z24" s="19"/>
      <c r="AA24" s="70"/>
      <c r="AB24" s="19"/>
      <c r="AC24" s="70">
        <f>Tabelle589711143136[[#This Row],[Stromverbrauch in TWh REF]]/Tabelle589711143136[[#This Row],[Vollbenutzungsstunden h/a]]*10^6</f>
        <v>11000</v>
      </c>
      <c r="AD24" s="70" t="str">
        <f>IF(AND(Tabelle589711143136[[#This Row],[Lastverschiebung]]=1,Tabelle589711143136[[#This Row],[Potenzial pos. min MW]]&lt;&gt;""),Tabelle589711143136[[#This Row],[Potenzial pos. min MW]],"")</f>
        <v/>
      </c>
      <c r="AE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F24" s="70" t="str">
        <f>IF(AND(Tabelle589711143136[[#This Row],[Lastverschiebung]]=1,Tabelle589711143136[[#This Row],[Potenzial pos. max MW]]&lt;&gt;""),Tabelle589711143136[[#This Row],[Potenzial pos. max MW]],"")</f>
        <v/>
      </c>
      <c r="AG24" s="70"/>
      <c r="AH24" s="67">
        <f>1-Tabelle589711143136[[#This Row],[flexibilisierbarer Anteil]]</f>
        <v>0</v>
      </c>
      <c r="AI24" s="72">
        <v>1</v>
      </c>
      <c r="AJ24" s="73"/>
      <c r="AK24" s="78">
        <v>1200</v>
      </c>
      <c r="AL24" s="72">
        <f>IF(Tabelle589711143136[[#This Row],[Vollbenutzungsstunden h/a]]&lt;&gt;"",Tabelle589711143136[[#This Row],[Vollbenutzungsstunden h/a]]/8760,"")</f>
        <v>0.13698630136986301</v>
      </c>
      <c r="AM24" s="71"/>
      <c r="AN24" s="70"/>
      <c r="AO24" s="73"/>
      <c r="AP24" s="70"/>
      <c r="AQ24" s="74"/>
      <c r="AR24" s="74"/>
      <c r="AS24" s="74"/>
      <c r="AT24" s="69">
        <v>12</v>
      </c>
      <c r="AU24" s="69"/>
      <c r="AV24" s="69"/>
      <c r="AW24" s="69"/>
      <c r="AX24" s="69">
        <v>12</v>
      </c>
      <c r="AY24" s="69"/>
      <c r="AZ24" s="69"/>
      <c r="BA24" s="69">
        <v>12</v>
      </c>
      <c r="BB24" s="69"/>
      <c r="BC24" s="1" t="s">
        <v>895</v>
      </c>
      <c r="BD24" s="69">
        <f t="shared" si="0"/>
        <v>84</v>
      </c>
      <c r="BE24" s="69"/>
      <c r="BF24" s="69"/>
      <c r="BG24" s="19">
        <v>40</v>
      </c>
      <c r="BH24" s="19">
        <v>1200</v>
      </c>
      <c r="BI24" s="70"/>
      <c r="BJ24" s="75"/>
      <c r="BK24" s="75"/>
      <c r="BL24" s="75"/>
      <c r="BM24" s="75"/>
      <c r="BN24" s="75"/>
      <c r="BO24" s="75">
        <v>25</v>
      </c>
      <c r="BP24" s="75">
        <v>90</v>
      </c>
      <c r="BQ24" s="69"/>
      <c r="BR24" s="69"/>
      <c r="BS24" s="1">
        <v>0</v>
      </c>
      <c r="BT24" s="1" t="s">
        <v>920</v>
      </c>
      <c r="BU24" s="1" t="s">
        <v>916</v>
      </c>
      <c r="BV24" s="69">
        <v>23</v>
      </c>
      <c r="BW24" s="69">
        <v>23</v>
      </c>
      <c r="BX24" s="69"/>
      <c r="BY24" s="69"/>
      <c r="BZ24" s="69"/>
      <c r="CA24" s="1" t="s">
        <v>902</v>
      </c>
      <c r="CB24" s="69">
        <v>197</v>
      </c>
      <c r="CC24" s="38">
        <v>206</v>
      </c>
      <c r="CD24" s="69"/>
      <c r="CE24" s="76">
        <v>197</v>
      </c>
      <c r="CF24" s="76">
        <v>197</v>
      </c>
      <c r="CG24" s="76"/>
      <c r="CH24" s="76"/>
      <c r="CI24" s="69"/>
      <c r="CJ24" s="76"/>
      <c r="CK24" s="76"/>
      <c r="CL24" s="33">
        <v>23</v>
      </c>
      <c r="CM24" s="33">
        <v>23</v>
      </c>
      <c r="CN24" s="69"/>
      <c r="CO24" s="33">
        <v>23</v>
      </c>
      <c r="CP24" s="33">
        <v>23</v>
      </c>
      <c r="CQ24" s="33">
        <v>30</v>
      </c>
      <c r="CR24" s="33">
        <v>30</v>
      </c>
      <c r="CS24" s="33">
        <v>30</v>
      </c>
      <c r="CT24" s="69"/>
      <c r="CU24" s="33">
        <v>117</v>
      </c>
      <c r="CV24" s="69">
        <v>66</v>
      </c>
      <c r="CW24" s="69"/>
    </row>
    <row r="25" spans="1:101" x14ac:dyDescent="0.25">
      <c r="A25" s="69" t="s">
        <v>140</v>
      </c>
      <c r="B25" s="69" t="s">
        <v>889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19"/>
      <c r="AA25" s="70"/>
      <c r="AB25" s="19"/>
      <c r="AC25" s="70"/>
      <c r="AD25" s="70">
        <f>IF(AND(Tabelle589711143136[[#This Row],[Lastverschiebung]]=1,Tabelle589711143136[[#This Row],[Potenzial pos. min MW]]&lt;&gt;""),Tabelle589711143136[[#This Row],[Potenzial pos. min MW]],"")</f>
        <v>0</v>
      </c>
      <c r="AE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F25" s="70">
        <f>IF(AND(Tabelle589711143136[[#This Row],[Lastverschiebung]]=1,Tabelle589711143136[[#This Row],[Potenzial pos. max MW]]&lt;&gt;""),Tabelle589711143136[[#This Row],[Potenzial pos. max MW]],"")</f>
        <v>5075</v>
      </c>
      <c r="AG25" s="70"/>
      <c r="AH25" s="67"/>
      <c r="AI25" s="72"/>
      <c r="AJ25" s="73"/>
      <c r="AK25" s="78"/>
      <c r="AL25" s="72" t="str">
        <f>IF(Tabelle589711143136[[#This Row],[Vollbenutzungsstunden h/a]]&lt;&gt;"",Tabelle589711143136[[#This Row],[Vollbenutzungsstunden h/a]]/8760,"")</f>
        <v/>
      </c>
      <c r="AM25" s="71"/>
      <c r="AN25" s="70"/>
      <c r="AO25" s="73"/>
      <c r="AP25" s="70"/>
      <c r="AQ25" s="74"/>
      <c r="AR25" s="74"/>
      <c r="AS25" s="74"/>
      <c r="AT25" s="69">
        <v>12</v>
      </c>
      <c r="AU25" s="69"/>
      <c r="AV25" s="69"/>
      <c r="AW25" s="69"/>
      <c r="AX25" s="69"/>
      <c r="AY25" s="69"/>
      <c r="AZ25" s="69"/>
      <c r="BA25" s="69">
        <v>12</v>
      </c>
      <c r="BB25" s="69"/>
      <c r="BC25" s="1"/>
      <c r="BD25" s="69">
        <f t="shared" si="0"/>
        <v>84</v>
      </c>
      <c r="BE25" s="69"/>
      <c r="BF25" s="69"/>
      <c r="BG25" s="19"/>
      <c r="BH25" s="19"/>
      <c r="BI25" s="70"/>
      <c r="BJ25" s="75"/>
      <c r="BK25" s="75"/>
      <c r="BL25" s="75"/>
      <c r="BM25" s="75"/>
      <c r="BN25" s="75"/>
      <c r="BO25" s="75"/>
      <c r="BP25" s="75"/>
      <c r="BQ25" s="69"/>
      <c r="BR25" s="69"/>
      <c r="BS25" s="1">
        <v>0</v>
      </c>
      <c r="BT25" s="69"/>
      <c r="BU25" s="1" t="s">
        <v>916</v>
      </c>
      <c r="BV25" s="69"/>
      <c r="BW25" s="69"/>
      <c r="BX25" s="69"/>
      <c r="BY25" s="69">
        <v>203</v>
      </c>
      <c r="BZ25" s="69"/>
      <c r="CA25" s="69">
        <v>203</v>
      </c>
      <c r="CB25" s="69"/>
      <c r="CC25" s="38">
        <v>206</v>
      </c>
      <c r="CD25" s="69"/>
      <c r="CE25" s="76"/>
      <c r="CF25" s="76"/>
      <c r="CG25" s="76"/>
      <c r="CH25" s="76"/>
      <c r="CI25" s="69"/>
      <c r="CJ25" s="76"/>
      <c r="CK25" s="76"/>
      <c r="CL25" s="33"/>
      <c r="CM25" s="33"/>
      <c r="CN25" s="69"/>
      <c r="CO25" s="33"/>
      <c r="CP25" s="33"/>
      <c r="CQ25" s="33"/>
      <c r="CR25" s="33"/>
      <c r="CS25" s="33"/>
      <c r="CT25" s="69"/>
      <c r="CU25" s="33">
        <v>117</v>
      </c>
      <c r="CV25" s="69"/>
      <c r="CW25" s="69"/>
    </row>
    <row r="26" spans="1:101" x14ac:dyDescent="0.25">
      <c r="A26" s="69" t="s">
        <v>140</v>
      </c>
      <c r="B26" s="69" t="s">
        <v>889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19"/>
      <c r="AA26" s="70"/>
      <c r="AB26" s="19"/>
      <c r="AC26" s="70"/>
      <c r="AD26" s="70">
        <f>IF(AND(Tabelle589711143136[[#This Row],[Lastverschiebung]]=1,Tabelle589711143136[[#This Row],[Potenzial pos. min MW]]&lt;&gt;""),Tabelle589711143136[[#This Row],[Potenzial pos. min MW]],"")</f>
        <v>0</v>
      </c>
      <c r="AE26" s="70">
        <f>IF(AND(Tabelle589711143136[[#This Row],[Lastverschiebung]]=1,Tabelle589711143136[[#This Row],[Potenzial pos. MW Durchschnitt]]&lt;&gt;""),Tabelle589711143136[[#This Row],[Potenzial pos. MW Durchschnitt]],"")</f>
        <v>0</v>
      </c>
      <c r="AF26" s="70">
        <f>IF(AND(Tabelle589711143136[[#This Row],[Lastverschiebung]]=1,Tabelle589711143136[[#This Row],[Potenzial pos. max MW]]&lt;&gt;""),Tabelle589711143136[[#This Row],[Potenzial pos. max MW]],"")</f>
        <v>0</v>
      </c>
      <c r="AG26" s="70"/>
      <c r="AH26" s="67"/>
      <c r="AI26" s="72"/>
      <c r="AJ26" s="73"/>
      <c r="AK26" s="78"/>
      <c r="AL26" s="72" t="str">
        <f>IF(Tabelle589711143136[[#This Row],[Vollbenutzungsstunden h/a]]&lt;&gt;"",Tabelle589711143136[[#This Row],[Vollbenutzungsstunden h/a]]/8760,"")</f>
        <v/>
      </c>
      <c r="AM26" s="71"/>
      <c r="AN26" s="70"/>
      <c r="AO26" s="73"/>
      <c r="AP26" s="70"/>
      <c r="AQ26" s="74"/>
      <c r="AR26" s="74"/>
      <c r="AS26" s="74"/>
      <c r="AT26" s="69">
        <v>12</v>
      </c>
      <c r="AU26" s="69"/>
      <c r="AV26" s="69"/>
      <c r="AW26" s="69"/>
      <c r="AX26" s="69"/>
      <c r="AY26" s="69"/>
      <c r="AZ26" s="69"/>
      <c r="BA26" s="69">
        <v>12</v>
      </c>
      <c r="BB26" s="69"/>
      <c r="BC26" s="1"/>
      <c r="BD26" s="69">
        <f t="shared" si="0"/>
        <v>84</v>
      </c>
      <c r="BE26" s="69"/>
      <c r="BF26" s="69"/>
      <c r="BG26" s="19"/>
      <c r="BH26" s="19"/>
      <c r="BI26" s="70"/>
      <c r="BJ26" s="75"/>
      <c r="BK26" s="75"/>
      <c r="BL26" s="75"/>
      <c r="BM26" s="75"/>
      <c r="BN26" s="75"/>
      <c r="BO26" s="75"/>
      <c r="BP26" s="75"/>
      <c r="BQ26" s="69"/>
      <c r="BR26" s="69"/>
      <c r="BS26" s="1">
        <v>0</v>
      </c>
      <c r="BT26" s="69"/>
      <c r="BU26" s="1" t="s">
        <v>916</v>
      </c>
      <c r="BV26" s="69"/>
      <c r="BW26" s="69"/>
      <c r="BX26" s="69"/>
      <c r="BY26" s="69">
        <v>203</v>
      </c>
      <c r="BZ26" s="69"/>
      <c r="CA26" s="69">
        <v>203</v>
      </c>
      <c r="CB26" s="69"/>
      <c r="CC26" s="38">
        <v>206</v>
      </c>
      <c r="CD26" s="69"/>
      <c r="CE26" s="76"/>
      <c r="CF26" s="76"/>
      <c r="CG26" s="76"/>
      <c r="CH26" s="76"/>
      <c r="CI26" s="69"/>
      <c r="CJ26" s="76"/>
      <c r="CK26" s="76"/>
      <c r="CL26" s="33"/>
      <c r="CM26" s="33"/>
      <c r="CN26" s="69"/>
      <c r="CO26" s="33"/>
      <c r="CP26" s="33"/>
      <c r="CQ26" s="33"/>
      <c r="CR26" s="33"/>
      <c r="CS26" s="33"/>
      <c r="CT26" s="69"/>
      <c r="CU26" s="33">
        <v>117</v>
      </c>
      <c r="CV26" s="69"/>
      <c r="CW26" s="69"/>
    </row>
    <row r="27" spans="1:101" x14ac:dyDescent="0.25">
      <c r="A27" s="69" t="s">
        <v>213</v>
      </c>
      <c r="B27" s="69" t="s">
        <v>130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19"/>
      <c r="Y27" s="19"/>
      <c r="Z27" s="19"/>
      <c r="AA27" s="70"/>
      <c r="AB27" s="19"/>
      <c r="AC27" s="70">
        <f>Tabelle589711143136[[#This Row],[Stromverbrauch in TWh REF]]/Tabelle589711143136[[#This Row],[Vollbenutzungsstunden h/a]]*10^6</f>
        <v>1722.0454545454545</v>
      </c>
      <c r="AD27" s="70" t="str">
        <f>IF(AND(Tabelle589711143136[[#This Row],[Lastverschiebung]]=1,Tabelle589711143136[[#This Row],[Potenzial pos. min MW]]&lt;&gt;""),Tabelle589711143136[[#This Row],[Potenzial pos. min MW]],"")</f>
        <v/>
      </c>
      <c r="AE27" s="70">
        <f>IF(AND(Tabelle589711143136[[#This Row],[Lastverschiebung]]=1,Tabelle589711143136[[#This Row],[Potenzial pos. MW Durchschnitt]]&lt;&gt;""),Tabelle589711143136[[#This Row],[Potenzial pos. MW Durchschnitt]],"")</f>
        <v>870</v>
      </c>
      <c r="AF27" s="70" t="str">
        <f>IF(AND(Tabelle589711143136[[#This Row],[Lastverschiebung]]=1,Tabelle589711143136[[#This Row],[Potenzial pos. max MW]]&lt;&gt;""),Tabelle589711143136[[#This Row],[Potenzial pos. max MW]],"")</f>
        <v/>
      </c>
      <c r="AG27" s="70"/>
      <c r="AH27" s="67"/>
      <c r="AI27" s="72">
        <v>0.5</v>
      </c>
      <c r="AJ27" s="73"/>
      <c r="AK27" s="78">
        <v>4400</v>
      </c>
      <c r="AL27" s="72">
        <f>IF(Tabelle589711143136[[#This Row],[Vollbenutzungsstunden h/a]]&lt;&gt;"",Tabelle589711143136[[#This Row],[Vollbenutzungsstunden h/a]]/8760,"")</f>
        <v>0.50228310502283102</v>
      </c>
      <c r="AM27" s="71"/>
      <c r="AN27" s="70"/>
      <c r="AO27" s="73"/>
      <c r="AP27" s="70"/>
      <c r="AQ27" s="74"/>
      <c r="AR27" s="74"/>
      <c r="AS27" s="74"/>
      <c r="AT27" s="69">
        <v>1</v>
      </c>
      <c r="AU27" s="69"/>
      <c r="AV27" s="69"/>
      <c r="AW27" s="69"/>
      <c r="AX27" s="69">
        <v>1</v>
      </c>
      <c r="AY27" s="69"/>
      <c r="AZ27" s="69"/>
      <c r="BA27" s="69">
        <v>1</v>
      </c>
      <c r="BB27" s="69"/>
      <c r="BC27" s="1" t="s">
        <v>895</v>
      </c>
      <c r="BD27" s="69">
        <f t="shared" ref="BD27:BD32" si="1">8*7</f>
        <v>56</v>
      </c>
      <c r="BE27" s="69"/>
      <c r="BF27" s="69"/>
      <c r="BG27" s="19">
        <v>40</v>
      </c>
      <c r="BH27" s="19">
        <v>1200</v>
      </c>
      <c r="BI27" s="70"/>
      <c r="BJ27" s="75"/>
      <c r="BK27" s="75"/>
      <c r="BL27" s="75"/>
      <c r="BM27" s="75"/>
      <c r="BN27" s="75"/>
      <c r="BO27" s="75">
        <v>25</v>
      </c>
      <c r="BP27" s="75">
        <v>90</v>
      </c>
      <c r="BQ27" s="69"/>
      <c r="BR27" s="69"/>
      <c r="BS27" s="1">
        <v>0</v>
      </c>
      <c r="BT27" s="69"/>
      <c r="BU27" s="1" t="s">
        <v>916</v>
      </c>
      <c r="BV27" s="69">
        <v>23</v>
      </c>
      <c r="BW27" s="69">
        <v>23</v>
      </c>
      <c r="BX27" s="69"/>
      <c r="BY27" s="69"/>
      <c r="BZ27" s="69"/>
      <c r="CA27" s="1" t="s">
        <v>903</v>
      </c>
      <c r="CB27" s="69">
        <v>197</v>
      </c>
      <c r="CC27" s="38">
        <v>206</v>
      </c>
      <c r="CD27" s="69"/>
      <c r="CE27" s="76">
        <v>197</v>
      </c>
      <c r="CF27" s="76">
        <v>197</v>
      </c>
      <c r="CG27" s="76"/>
      <c r="CH27" s="76"/>
      <c r="CI27" s="69"/>
      <c r="CJ27" s="76"/>
      <c r="CK27" s="76"/>
      <c r="CL27" s="33">
        <v>23</v>
      </c>
      <c r="CM27" s="33">
        <v>23</v>
      </c>
      <c r="CN27" s="69"/>
      <c r="CO27" s="33">
        <v>23</v>
      </c>
      <c r="CP27" s="33">
        <v>23</v>
      </c>
      <c r="CQ27" s="33">
        <v>30</v>
      </c>
      <c r="CR27" s="33">
        <v>30</v>
      </c>
      <c r="CS27" s="33">
        <v>30</v>
      </c>
      <c r="CT27" s="69"/>
      <c r="CU27" s="33">
        <v>117</v>
      </c>
      <c r="CV27" s="69"/>
      <c r="CW27" s="69"/>
    </row>
    <row r="28" spans="1:101" x14ac:dyDescent="0.25">
      <c r="A28" s="69" t="s">
        <v>213</v>
      </c>
      <c r="B28" s="69" t="s">
        <v>130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19"/>
      <c r="AA28" s="70"/>
      <c r="AB28" s="19"/>
      <c r="AC28" s="70"/>
      <c r="AD28" s="70">
        <f>IF(AND(Tabelle589711143136[[#This Row],[Lastverschiebung]]=1,Tabelle589711143136[[#This Row],[Potenzial pos. min MW]]&lt;&gt;""),Tabelle589711143136[[#This Row],[Potenzial pos. min MW]],"")</f>
        <v>870.34446350798476</v>
      </c>
      <c r="AE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F28" s="70">
        <f>IF(AND(Tabelle589711143136[[#This Row],[Lastverschiebung]]=1,Tabelle589711143136[[#This Row],[Potenzial pos. max MW]]&lt;&gt;""),Tabelle589711143136[[#This Row],[Potenzial pos. max MW]],"")</f>
        <v>1305.516695261977</v>
      </c>
      <c r="AG28" s="70"/>
      <c r="AH28" s="67"/>
      <c r="AI28" s="72"/>
      <c r="AJ28" s="73"/>
      <c r="AK28" s="78"/>
      <c r="AL28" s="72" t="str">
        <f>IF(Tabelle589711143136[[#This Row],[Vollbenutzungsstunden h/a]]&lt;&gt;"",Tabelle589711143136[[#This Row],[Vollbenutzungsstunden h/a]]/8760,"")</f>
        <v/>
      </c>
      <c r="AM28" s="71"/>
      <c r="AN28" s="70"/>
      <c r="AO28" s="73"/>
      <c r="AP28" s="70"/>
      <c r="AQ28" s="74"/>
      <c r="AR28" s="74"/>
      <c r="AS28" s="74"/>
      <c r="AT28" s="69">
        <v>1</v>
      </c>
      <c r="AU28" s="69"/>
      <c r="AV28" s="69"/>
      <c r="AW28" s="69"/>
      <c r="AX28" s="69"/>
      <c r="AY28" s="69"/>
      <c r="AZ28" s="69"/>
      <c r="BA28" s="69">
        <v>1</v>
      </c>
      <c r="BB28" s="69"/>
      <c r="BC28" s="1"/>
      <c r="BD28" s="69">
        <f t="shared" si="1"/>
        <v>56</v>
      </c>
      <c r="BE28" s="69"/>
      <c r="BF28" s="69"/>
      <c r="BG28" s="19"/>
      <c r="BH28" s="19"/>
      <c r="BI28" s="70"/>
      <c r="BJ28" s="75"/>
      <c r="BK28" s="75"/>
      <c r="BL28" s="75"/>
      <c r="BM28" s="75"/>
      <c r="BN28" s="75"/>
      <c r="BO28" s="75"/>
      <c r="BP28" s="75"/>
      <c r="BQ28" s="69"/>
      <c r="BR28" s="69"/>
      <c r="BS28" s="1">
        <v>0</v>
      </c>
      <c r="BT28" s="69"/>
      <c r="BU28" s="1" t="s">
        <v>916</v>
      </c>
      <c r="BV28" s="69"/>
      <c r="BW28" s="69"/>
      <c r="BX28" s="69"/>
      <c r="BY28" s="69"/>
      <c r="BZ28" s="69">
        <v>203</v>
      </c>
      <c r="CA28" s="69">
        <v>203</v>
      </c>
      <c r="CB28" s="69"/>
      <c r="CC28" s="38">
        <v>206</v>
      </c>
      <c r="CD28" s="69"/>
      <c r="CE28" s="76"/>
      <c r="CF28" s="76"/>
      <c r="CG28" s="76"/>
      <c r="CH28" s="76"/>
      <c r="CI28" s="69"/>
      <c r="CJ28" s="76"/>
      <c r="CK28" s="76"/>
      <c r="CL28" s="33"/>
      <c r="CM28" s="33"/>
      <c r="CN28" s="69"/>
      <c r="CO28" s="33"/>
      <c r="CP28" s="33"/>
      <c r="CQ28" s="33"/>
      <c r="CR28" s="33"/>
      <c r="CS28" s="33"/>
      <c r="CT28" s="69"/>
      <c r="CU28" s="33">
        <v>117</v>
      </c>
      <c r="CV28" s="69"/>
      <c r="CW28" s="69"/>
    </row>
    <row r="29" spans="1:101" x14ac:dyDescent="0.25">
      <c r="A29" s="69" t="s">
        <v>213</v>
      </c>
      <c r="B29" s="69" t="s">
        <v>130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19"/>
      <c r="AA29" s="70"/>
      <c r="AB29" s="19"/>
      <c r="AC29" s="70"/>
      <c r="AD29" s="70">
        <f>IF(AND(Tabelle589711143136[[#This Row],[Lastverschiebung]]=1,Tabelle589711143136[[#This Row],[Potenzial pos. min MW]]&lt;&gt;""),Tabelle589711143136[[#This Row],[Potenzial pos. min MW]],"")</f>
        <v>870.34446350798476</v>
      </c>
      <c r="AE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F29" s="70">
        <f>IF(AND(Tabelle589711143136[[#This Row],[Lastverschiebung]]=1,Tabelle589711143136[[#This Row],[Potenzial pos. max MW]]&lt;&gt;""),Tabelle589711143136[[#This Row],[Potenzial pos. max MW]],"")</f>
        <v>1739.540715322687</v>
      </c>
      <c r="AG29" s="70"/>
      <c r="AH29" s="67"/>
      <c r="AI29" s="72"/>
      <c r="AJ29" s="73"/>
      <c r="AK29" s="78"/>
      <c r="AL29" s="72" t="str">
        <f>IF(Tabelle589711143136[[#This Row],[Vollbenutzungsstunden h/a]]&lt;&gt;"",Tabelle589711143136[[#This Row],[Vollbenutzungsstunden h/a]]/8760,"")</f>
        <v/>
      </c>
      <c r="AM29" s="71"/>
      <c r="AN29" s="70"/>
      <c r="AO29" s="73"/>
      <c r="AP29" s="70"/>
      <c r="AQ29" s="74"/>
      <c r="AR29" s="74"/>
      <c r="AS29" s="74"/>
      <c r="AT29" s="69">
        <v>1</v>
      </c>
      <c r="AU29" s="69"/>
      <c r="AV29" s="69"/>
      <c r="AW29" s="69"/>
      <c r="AX29" s="69"/>
      <c r="AY29" s="69"/>
      <c r="AZ29" s="69"/>
      <c r="BA29" s="69">
        <v>1</v>
      </c>
      <c r="BB29" s="69"/>
      <c r="BC29" s="1"/>
      <c r="BD29" s="69">
        <f t="shared" si="1"/>
        <v>56</v>
      </c>
      <c r="BE29" s="69"/>
      <c r="BF29" s="69"/>
      <c r="BG29" s="19"/>
      <c r="BH29" s="19"/>
      <c r="BI29" s="70"/>
      <c r="BJ29" s="75"/>
      <c r="BK29" s="75"/>
      <c r="BL29" s="75"/>
      <c r="BM29" s="75"/>
      <c r="BN29" s="75"/>
      <c r="BO29" s="75"/>
      <c r="BP29" s="75"/>
      <c r="BQ29" s="69"/>
      <c r="BR29" s="69"/>
      <c r="BS29" s="1">
        <v>0</v>
      </c>
      <c r="BT29" s="69"/>
      <c r="BU29" s="1" t="s">
        <v>916</v>
      </c>
      <c r="BV29" s="69"/>
      <c r="BW29" s="69"/>
      <c r="BX29" s="69"/>
      <c r="BY29" s="69"/>
      <c r="BZ29" s="69">
        <v>203</v>
      </c>
      <c r="CA29" s="69">
        <v>203</v>
      </c>
      <c r="CB29" s="69"/>
      <c r="CC29" s="38">
        <v>206</v>
      </c>
      <c r="CD29" s="69"/>
      <c r="CE29" s="76"/>
      <c r="CF29" s="76"/>
      <c r="CG29" s="76"/>
      <c r="CH29" s="76"/>
      <c r="CI29" s="69"/>
      <c r="CJ29" s="76"/>
      <c r="CK29" s="76"/>
      <c r="CL29" s="33"/>
      <c r="CM29" s="33"/>
      <c r="CN29" s="69"/>
      <c r="CO29" s="33"/>
      <c r="CP29" s="33"/>
      <c r="CQ29" s="33"/>
      <c r="CR29" s="33"/>
      <c r="CS29" s="33"/>
      <c r="CT29" s="69"/>
      <c r="CU29" s="33">
        <v>117</v>
      </c>
      <c r="CV29" s="69"/>
      <c r="CW29" s="69"/>
    </row>
    <row r="30" spans="1:101" x14ac:dyDescent="0.25">
      <c r="A30" s="69" t="s">
        <v>367</v>
      </c>
      <c r="B30" s="69" t="s">
        <v>130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19"/>
      <c r="Y30" s="19"/>
      <c r="Z30" s="19"/>
      <c r="AA30" s="70"/>
      <c r="AB30" s="19"/>
      <c r="AC30" s="70">
        <f>Tabelle589711143136[[#This Row],[Stromverbrauch in TWh REF]]/Tabelle589711143136[[#This Row],[Vollbenutzungsstunden h/a]]*10^6</f>
        <v>6110.3921568627447</v>
      </c>
      <c r="AD30" s="70" t="str">
        <f>IF(AND(Tabelle589711143136[[#This Row],[Lastverschiebung]]=1,Tabelle589711143136[[#This Row],[Potenzial pos. min MW]]&lt;&gt;""),Tabelle589711143136[[#This Row],[Potenzial pos. min MW]],"")</f>
        <v/>
      </c>
      <c r="AE30" s="70">
        <f>IF(AND(Tabelle589711143136[[#This Row],[Lastverschiebung]]=1,Tabelle589711143136[[#This Row],[Potenzial pos. MW Durchschnitt]]&lt;&gt;""),Tabelle589711143136[[#This Row],[Potenzial pos. MW Durchschnitt]],"")</f>
        <v>4600</v>
      </c>
      <c r="AF30" s="70" t="str">
        <f>IF(AND(Tabelle589711143136[[#This Row],[Lastverschiebung]]=1,Tabelle589711143136[[#This Row],[Potenzial pos. max MW]]&lt;&gt;""),Tabelle589711143136[[#This Row],[Potenzial pos. max MW]],"")</f>
        <v/>
      </c>
      <c r="AG30" s="70"/>
      <c r="AH30" s="67"/>
      <c r="AI30" s="72">
        <v>0.75</v>
      </c>
      <c r="AJ30" s="73"/>
      <c r="AK30" s="78">
        <v>510</v>
      </c>
      <c r="AL30" s="72">
        <f>IF(Tabelle589711143136[[#This Row],[Vollbenutzungsstunden h/a]]&lt;&gt;"",Tabelle589711143136[[#This Row],[Vollbenutzungsstunden h/a]]/8760,"")</f>
        <v>5.8219178082191778E-2</v>
      </c>
      <c r="AM30" s="71"/>
      <c r="AN30" s="70"/>
      <c r="AO30" s="73"/>
      <c r="AP30" s="70"/>
      <c r="AQ30" s="74"/>
      <c r="AR30" s="74"/>
      <c r="AS30" s="74"/>
      <c r="AT30" s="69">
        <v>1</v>
      </c>
      <c r="AU30" s="69"/>
      <c r="AV30" s="69"/>
      <c r="AW30" s="69"/>
      <c r="AX30" s="69">
        <v>1</v>
      </c>
      <c r="AY30" s="69"/>
      <c r="AZ30" s="69"/>
      <c r="BA30" s="69">
        <v>1</v>
      </c>
      <c r="BB30" s="69"/>
      <c r="BC30" s="1" t="s">
        <v>895</v>
      </c>
      <c r="BD30" s="69">
        <f t="shared" si="1"/>
        <v>56</v>
      </c>
      <c r="BE30" s="69"/>
      <c r="BF30" s="69"/>
      <c r="BG30" s="19">
        <v>40</v>
      </c>
      <c r="BH30" s="19">
        <v>1200</v>
      </c>
      <c r="BI30" s="70"/>
      <c r="BJ30" s="75"/>
      <c r="BK30" s="75"/>
      <c r="BL30" s="75"/>
      <c r="BM30" s="75"/>
      <c r="BN30" s="75"/>
      <c r="BO30" s="75">
        <v>25</v>
      </c>
      <c r="BP30" s="75">
        <v>90</v>
      </c>
      <c r="BQ30" s="69"/>
      <c r="BR30" s="69"/>
      <c r="BS30" s="1">
        <v>0</v>
      </c>
      <c r="BT30" s="69"/>
      <c r="BU30" s="1" t="s">
        <v>916</v>
      </c>
      <c r="BV30" s="69">
        <v>23</v>
      </c>
      <c r="BW30" s="69">
        <v>23</v>
      </c>
      <c r="BX30" s="69"/>
      <c r="BY30" s="69"/>
      <c r="BZ30" s="69"/>
      <c r="CA30" s="69">
        <v>197</v>
      </c>
      <c r="CB30" s="69">
        <v>197</v>
      </c>
      <c r="CC30" s="38">
        <v>206</v>
      </c>
      <c r="CD30" s="69"/>
      <c r="CE30" s="76">
        <v>197</v>
      </c>
      <c r="CF30" s="76">
        <v>197</v>
      </c>
      <c r="CG30" s="76"/>
      <c r="CH30" s="76"/>
      <c r="CI30" s="69"/>
      <c r="CJ30" s="76"/>
      <c r="CK30" s="76"/>
      <c r="CL30" s="33">
        <v>23</v>
      </c>
      <c r="CM30" s="33">
        <v>23</v>
      </c>
      <c r="CN30" s="69"/>
      <c r="CO30" s="33">
        <v>23</v>
      </c>
      <c r="CP30" s="33">
        <v>23</v>
      </c>
      <c r="CQ30" s="33">
        <v>30</v>
      </c>
      <c r="CR30" s="33">
        <v>30</v>
      </c>
      <c r="CS30" s="33">
        <v>30</v>
      </c>
      <c r="CT30" s="69"/>
      <c r="CU30" s="33">
        <v>117</v>
      </c>
      <c r="CV30" s="69"/>
      <c r="CW30" s="69"/>
    </row>
    <row r="31" spans="1:101" x14ac:dyDescent="0.25">
      <c r="A31" s="69" t="s">
        <v>367</v>
      </c>
      <c r="B31" s="69" t="s">
        <v>130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19"/>
      <c r="AA31" s="70"/>
      <c r="AB31" s="19"/>
      <c r="AC31" s="70"/>
      <c r="AD31" s="70">
        <f>IF(AND(Tabelle589711143136[[#This Row],[Lastverschiebung]]=1,Tabelle589711143136[[#This Row],[Potenzial pos. min MW]]&lt;&gt;""),Tabelle589711143136[[#This Row],[Potenzial pos. min MW]],"")</f>
        <v>4605.4616051086223</v>
      </c>
      <c r="AE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F31" s="70">
        <f>IF(AND(Tabelle589711143136[[#This Row],[Lastverschiebung]]=1,Tabelle589711143136[[#This Row],[Potenzial pos. max MW]]&lt;&gt;""),Tabelle589711143136[[#This Row],[Potenzial pos. max MW]],"")</f>
        <v>9196.162115329078</v>
      </c>
      <c r="AG31" s="70"/>
      <c r="AH31" s="67"/>
      <c r="AI31" s="72"/>
      <c r="AJ31" s="73"/>
      <c r="AK31" s="78"/>
      <c r="AL31" s="72" t="str">
        <f>IF(Tabelle589711143136[[#This Row],[Vollbenutzungsstunden h/a]]&lt;&gt;"",Tabelle589711143136[[#This Row],[Vollbenutzungsstunden h/a]]/8760,"")</f>
        <v/>
      </c>
      <c r="AM31" s="71"/>
      <c r="AN31" s="70"/>
      <c r="AO31" s="73"/>
      <c r="AP31" s="70"/>
      <c r="AQ31" s="74"/>
      <c r="AR31" s="74"/>
      <c r="AS31" s="74"/>
      <c r="AT31" s="69">
        <v>1</v>
      </c>
      <c r="AU31" s="69"/>
      <c r="AV31" s="69"/>
      <c r="AW31" s="69"/>
      <c r="AX31" s="69"/>
      <c r="AY31" s="69"/>
      <c r="AZ31" s="69"/>
      <c r="BA31" s="69">
        <v>1</v>
      </c>
      <c r="BB31" s="69"/>
      <c r="BC31" s="1"/>
      <c r="BD31" s="69">
        <f t="shared" si="1"/>
        <v>56</v>
      </c>
      <c r="BE31" s="69"/>
      <c r="BF31" s="69"/>
      <c r="BG31" s="19"/>
      <c r="BH31" s="19"/>
      <c r="BI31" s="70"/>
      <c r="BJ31" s="75"/>
      <c r="BK31" s="75"/>
      <c r="BL31" s="75"/>
      <c r="BM31" s="75"/>
      <c r="BN31" s="75"/>
      <c r="BO31" s="75"/>
      <c r="BP31" s="75"/>
      <c r="BQ31" s="69"/>
      <c r="BR31" s="69"/>
      <c r="BS31" s="1">
        <v>0</v>
      </c>
      <c r="BT31" s="69"/>
      <c r="BU31" s="1" t="s">
        <v>916</v>
      </c>
      <c r="BV31" s="69"/>
      <c r="BW31" s="69"/>
      <c r="BX31" s="69"/>
      <c r="BY31" s="69"/>
      <c r="BZ31" s="69">
        <v>203</v>
      </c>
      <c r="CA31" s="69">
        <v>203</v>
      </c>
      <c r="CB31" s="69"/>
      <c r="CC31" s="38">
        <v>206</v>
      </c>
      <c r="CD31" s="69"/>
      <c r="CE31" s="76"/>
      <c r="CF31" s="76"/>
      <c r="CG31" s="76"/>
      <c r="CH31" s="76"/>
      <c r="CI31" s="69"/>
      <c r="CJ31" s="76"/>
      <c r="CK31" s="76"/>
      <c r="CL31" s="33"/>
      <c r="CM31" s="33"/>
      <c r="CN31" s="69"/>
      <c r="CO31" s="33"/>
      <c r="CP31" s="33"/>
      <c r="CQ31" s="33"/>
      <c r="CR31" s="33"/>
      <c r="CS31" s="33"/>
      <c r="CT31" s="69"/>
      <c r="CU31" s="33">
        <v>117</v>
      </c>
      <c r="CV31" s="69"/>
      <c r="CW31" s="69"/>
    </row>
    <row r="32" spans="1:101" x14ac:dyDescent="0.25">
      <c r="A32" s="69" t="s">
        <v>367</v>
      </c>
      <c r="B32" s="69" t="s">
        <v>130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19"/>
      <c r="AA32" s="70"/>
      <c r="AB32" s="19"/>
      <c r="AC32" s="70"/>
      <c r="AD32" s="70">
        <f>IF(AND(Tabelle589711143136[[#This Row],[Lastverschiebung]]=1,Tabelle589711143136[[#This Row],[Potenzial pos. min MW]]&lt;&gt;""),Tabelle589711143136[[#This Row],[Potenzial pos. min MW]],"")</f>
        <v>4605.4616051086223</v>
      </c>
      <c r="AE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F32" s="70">
        <f>IF(AND(Tabelle589711143136[[#This Row],[Lastverschiebung]]=1,Tabelle589711143136[[#This Row],[Potenzial pos. max MW]]&lt;&gt;""),Tabelle589711143136[[#This Row],[Potenzial pos. max MW]],"")</f>
        <v>13801.623720437699</v>
      </c>
      <c r="AG32" s="70"/>
      <c r="AH32" s="67"/>
      <c r="AI32" s="72"/>
      <c r="AJ32" s="73"/>
      <c r="AK32" s="78"/>
      <c r="AL32" s="72" t="str">
        <f>IF(Tabelle589711143136[[#This Row],[Vollbenutzungsstunden h/a]]&lt;&gt;"",Tabelle589711143136[[#This Row],[Vollbenutzungsstunden h/a]]/8760,"")</f>
        <v/>
      </c>
      <c r="AM32" s="71"/>
      <c r="AN32" s="70"/>
      <c r="AO32" s="73"/>
      <c r="AP32" s="70"/>
      <c r="AQ32" s="74"/>
      <c r="AR32" s="74"/>
      <c r="AS32" s="74"/>
      <c r="AT32" s="69">
        <v>1</v>
      </c>
      <c r="AU32" s="69"/>
      <c r="AV32" s="69"/>
      <c r="AW32" s="69"/>
      <c r="AX32" s="69"/>
      <c r="AY32" s="69"/>
      <c r="AZ32" s="69"/>
      <c r="BA32" s="69">
        <v>1</v>
      </c>
      <c r="BB32" s="69"/>
      <c r="BC32" s="1"/>
      <c r="BD32" s="69">
        <f t="shared" si="1"/>
        <v>56</v>
      </c>
      <c r="BE32" s="69"/>
      <c r="BF32" s="69"/>
      <c r="BG32" s="19"/>
      <c r="BH32" s="19"/>
      <c r="BI32" s="70"/>
      <c r="BJ32" s="75"/>
      <c r="BK32" s="75"/>
      <c r="BL32" s="75"/>
      <c r="BM32" s="75"/>
      <c r="BN32" s="75"/>
      <c r="BO32" s="75"/>
      <c r="BP32" s="75"/>
      <c r="BQ32" s="69"/>
      <c r="BR32" s="69"/>
      <c r="BS32" s="1">
        <v>0</v>
      </c>
      <c r="BT32" s="69"/>
      <c r="BU32" s="1" t="s">
        <v>916</v>
      </c>
      <c r="BV32" s="69"/>
      <c r="BW32" s="69"/>
      <c r="BX32" s="69"/>
      <c r="BY32" s="69"/>
      <c r="BZ32" s="69">
        <v>203</v>
      </c>
      <c r="CA32" s="69">
        <v>203</v>
      </c>
      <c r="CB32" s="69"/>
      <c r="CC32" s="38">
        <v>206</v>
      </c>
      <c r="CD32" s="69"/>
      <c r="CE32" s="76"/>
      <c r="CF32" s="76"/>
      <c r="CG32" s="76"/>
      <c r="CH32" s="76"/>
      <c r="CI32" s="69"/>
      <c r="CJ32" s="76"/>
      <c r="CK32" s="76"/>
      <c r="CL32" s="33"/>
      <c r="CM32" s="33"/>
      <c r="CN32" s="69"/>
      <c r="CO32" s="33"/>
      <c r="CP32" s="33"/>
      <c r="CQ32" s="33"/>
      <c r="CR32" s="33"/>
      <c r="CS32" s="33"/>
      <c r="CT32" s="69"/>
      <c r="CU32" s="33">
        <v>117</v>
      </c>
      <c r="CV32" s="69"/>
      <c r="CW32" s="69"/>
    </row>
    <row r="33" spans="1:101" x14ac:dyDescent="0.25">
      <c r="A33" s="69" t="s">
        <v>137</v>
      </c>
      <c r="B33" s="69" t="s">
        <v>889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19"/>
      <c r="Y33" s="19"/>
      <c r="Z33" s="19"/>
      <c r="AA33" s="70"/>
      <c r="AB33" s="19"/>
      <c r="AC33" s="70">
        <f>Tabelle589711143136[[#This Row],[Stromverbrauch in TWh REF]]/Tabelle589711143136[[#This Row],[Vollbenutzungsstunden h/a]]*10^6</f>
        <v>1769.9999999999998</v>
      </c>
      <c r="AD33" s="70" t="str">
        <f>IF(AND(Tabelle589711143136[[#This Row],[Lastverschiebung]]=1,Tabelle589711143136[[#This Row],[Potenzial pos. min MW]]&lt;&gt;""),Tabelle589711143136[[#This Row],[Potenzial pos. min MW]],"")</f>
        <v/>
      </c>
      <c r="AE33" s="70">
        <f>IF(AND(Tabelle589711143136[[#This Row],[Lastverschiebung]]=1,Tabelle589711143136[[#This Row],[Potenzial pos. MW Durchschnitt]]&lt;&gt;""),Tabelle589711143136[[#This Row],[Potenzial pos. MW Durchschnitt]],"")</f>
        <v>2000</v>
      </c>
      <c r="AF33" s="70" t="str">
        <f>IF(AND(Tabelle589711143136[[#This Row],[Lastverschiebung]]=1,Tabelle589711143136[[#This Row],[Potenzial pos. max MW]]&lt;&gt;""),Tabelle589711143136[[#This Row],[Potenzial pos. max MW]],"")</f>
        <v/>
      </c>
      <c r="AG33" s="70">
        <v>0</v>
      </c>
      <c r="AH33" s="67">
        <f>1-Tabelle589711143136[[#This Row],[flexibilisierbarer Anteil]]</f>
        <v>0</v>
      </c>
      <c r="AI33" s="72">
        <v>1</v>
      </c>
      <c r="AJ33" s="73"/>
      <c r="AK33" s="78">
        <v>1800</v>
      </c>
      <c r="AL33" s="72">
        <f>IF(Tabelle589711143136[[#This Row],[Vollbenutzungsstunden h/a]]&lt;&gt;"",Tabelle589711143136[[#This Row],[Vollbenutzungsstunden h/a]]/8760,"")</f>
        <v>0.20547945205479451</v>
      </c>
      <c r="AM33" s="71">
        <f>Tabelle589711143136[[#This Row],[Durchschnittsauslastung]]*Tabelle589711143136[[#This Row],[installierte Leistung MW]]</f>
        <v>363.69863013698625</v>
      </c>
      <c r="AN33" s="70"/>
      <c r="AO33" s="73"/>
      <c r="AP33" s="70">
        <v>1770</v>
      </c>
      <c r="AQ33" s="74"/>
      <c r="AR33" s="74"/>
      <c r="AS33" s="74"/>
      <c r="AT33" s="69">
        <v>12</v>
      </c>
      <c r="AU33" s="69"/>
      <c r="AV33" s="69"/>
      <c r="AW33" s="69"/>
      <c r="AX33" s="69">
        <v>12</v>
      </c>
      <c r="AY33" s="69"/>
      <c r="AZ33" s="69"/>
      <c r="BA33" s="69">
        <v>12</v>
      </c>
      <c r="BB33" s="69"/>
      <c r="BC33" s="1" t="s">
        <v>895</v>
      </c>
      <c r="BD33" s="69">
        <f>12*7</f>
        <v>84</v>
      </c>
      <c r="BE33" s="69"/>
      <c r="BF33" s="69"/>
      <c r="BG33" s="19">
        <v>40</v>
      </c>
      <c r="BH33" s="19">
        <v>1200</v>
      </c>
      <c r="BI33" s="70"/>
      <c r="BJ33" s="75"/>
      <c r="BK33" s="75"/>
      <c r="BL33" s="75"/>
      <c r="BM33" s="75"/>
      <c r="BN33" s="75"/>
      <c r="BO33" s="75">
        <v>25</v>
      </c>
      <c r="BP33" s="75">
        <v>90</v>
      </c>
      <c r="BQ33" s="69"/>
      <c r="BR33" s="69"/>
      <c r="BS33" s="1">
        <v>0</v>
      </c>
      <c r="BT33" s="69"/>
      <c r="BU33" s="1" t="s">
        <v>916</v>
      </c>
      <c r="BV33" s="69">
        <v>23</v>
      </c>
      <c r="BW33" s="69">
        <v>23</v>
      </c>
      <c r="BX33" s="69"/>
      <c r="BY33" s="69"/>
      <c r="BZ33" s="69"/>
      <c r="CA33" s="1" t="s">
        <v>904</v>
      </c>
      <c r="CB33" s="1" t="s">
        <v>904</v>
      </c>
      <c r="CC33" s="38">
        <v>206</v>
      </c>
      <c r="CD33" s="69"/>
      <c r="CE33" s="76">
        <v>197</v>
      </c>
      <c r="CF33" s="76">
        <v>197</v>
      </c>
      <c r="CG33" s="76"/>
      <c r="CH33" s="76"/>
      <c r="CI33" s="69"/>
      <c r="CJ33" s="1" t="s">
        <v>900</v>
      </c>
      <c r="CK33" s="76"/>
      <c r="CL33" s="33">
        <v>23</v>
      </c>
      <c r="CM33" s="33">
        <v>23</v>
      </c>
      <c r="CN33" s="69"/>
      <c r="CO33" s="33">
        <v>23</v>
      </c>
      <c r="CP33" s="33">
        <v>23</v>
      </c>
      <c r="CQ33" s="33">
        <v>30</v>
      </c>
      <c r="CR33" s="33">
        <v>30</v>
      </c>
      <c r="CS33" s="33">
        <v>30</v>
      </c>
      <c r="CT33" s="69"/>
      <c r="CU33" s="33">
        <v>117</v>
      </c>
      <c r="CV33" s="69"/>
      <c r="CW33" s="69"/>
    </row>
    <row r="34" spans="1:101" x14ac:dyDescent="0.25">
      <c r="A34" s="69" t="s">
        <v>137</v>
      </c>
      <c r="B34" s="69" t="s">
        <v>889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19"/>
      <c r="AA34" s="70"/>
      <c r="AB34" s="19"/>
      <c r="AC34" s="70"/>
      <c r="AD34" s="70">
        <f>IF(AND(Tabelle589711143136[[#This Row],[Lastverschiebung]]=1,Tabelle589711143136[[#This Row],[Potenzial pos. min MW]]&lt;&gt;""),Tabelle589711143136[[#This Row],[Potenzial pos. min MW]],"")</f>
        <v>7576.8989328311363</v>
      </c>
      <c r="AE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F34" s="70">
        <f>IF(AND(Tabelle589711143136[[#This Row],[Lastverschiebung]]=1,Tabelle589711143136[[#This Row],[Potenzial pos. max MW]]&lt;&gt;""),Tabelle589711143136[[#This Row],[Potenzial pos. max MW]],"")</f>
        <v>16001.255492780916</v>
      </c>
      <c r="AG34" s="70"/>
      <c r="AH34" s="67"/>
      <c r="AI34" s="72"/>
      <c r="AJ34" s="73"/>
      <c r="AK34" s="78"/>
      <c r="AL34" s="72" t="str">
        <f>IF(Tabelle589711143136[[#This Row],[Vollbenutzungsstunden h/a]]&lt;&gt;"",Tabelle589711143136[[#This Row],[Vollbenutzungsstunden h/a]]/8760,"")</f>
        <v/>
      </c>
      <c r="AM34" s="71"/>
      <c r="AN34" s="70"/>
      <c r="AO34" s="73"/>
      <c r="AP34" s="70"/>
      <c r="AQ34" s="74"/>
      <c r="AR34" s="74"/>
      <c r="AS34" s="74"/>
      <c r="AT34" s="69">
        <v>12</v>
      </c>
      <c r="AU34" s="69"/>
      <c r="AV34" s="69"/>
      <c r="AW34" s="69"/>
      <c r="AX34" s="69"/>
      <c r="AY34" s="69"/>
      <c r="AZ34" s="69"/>
      <c r="BA34" s="69">
        <v>12</v>
      </c>
      <c r="BB34" s="69"/>
      <c r="BC34" s="1"/>
      <c r="BD34" s="69">
        <f>12*7</f>
        <v>84</v>
      </c>
      <c r="BE34" s="69"/>
      <c r="BF34" s="69"/>
      <c r="BG34" s="19"/>
      <c r="BH34" s="19"/>
      <c r="BI34" s="70"/>
      <c r="BJ34" s="75"/>
      <c r="BK34" s="75"/>
      <c r="BL34" s="75"/>
      <c r="BM34" s="75"/>
      <c r="BN34" s="75"/>
      <c r="BO34" s="75"/>
      <c r="BP34" s="75"/>
      <c r="BQ34" s="69"/>
      <c r="BR34" s="69"/>
      <c r="BS34" s="1">
        <v>0</v>
      </c>
      <c r="BT34" s="69"/>
      <c r="BU34" s="1" t="s">
        <v>916</v>
      </c>
      <c r="BV34" s="69"/>
      <c r="BW34" s="69"/>
      <c r="BX34" s="69"/>
      <c r="BY34" s="69">
        <v>203</v>
      </c>
      <c r="BZ34" s="69"/>
      <c r="CA34" s="69">
        <v>203</v>
      </c>
      <c r="CB34" s="1"/>
      <c r="CC34" s="38">
        <v>206</v>
      </c>
      <c r="CD34" s="69"/>
      <c r="CE34" s="76"/>
      <c r="CF34" s="76"/>
      <c r="CG34" s="76"/>
      <c r="CH34" s="76"/>
      <c r="CI34" s="69"/>
      <c r="CJ34" s="1"/>
      <c r="CK34" s="76"/>
      <c r="CL34" s="33"/>
      <c r="CM34" s="33"/>
      <c r="CN34" s="69"/>
      <c r="CO34" s="33"/>
      <c r="CP34" s="33"/>
      <c r="CQ34" s="33"/>
      <c r="CR34" s="33"/>
      <c r="CS34" s="33"/>
      <c r="CT34" s="69"/>
      <c r="CU34" s="33">
        <v>117</v>
      </c>
      <c r="CV34" s="69"/>
      <c r="CW34" s="69"/>
    </row>
    <row r="35" spans="1:101" x14ac:dyDescent="0.25">
      <c r="A35" s="69" t="s">
        <v>137</v>
      </c>
      <c r="B35" s="69" t="s">
        <v>889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19"/>
      <c r="AA35" s="70"/>
      <c r="AB35" s="19"/>
      <c r="AC35" s="70"/>
      <c r="AD35" s="70">
        <f>IF(AND(Tabelle589711143136[[#This Row],[Lastverschiebung]]=1,Tabelle589711143136[[#This Row],[Potenzial pos. min MW]]&lt;&gt;""),Tabelle589711143136[[#This Row],[Potenzial pos. min MW]],"")</f>
        <v>12799.748901443816</v>
      </c>
      <c r="AE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F35" s="70">
        <f>IF(AND(Tabelle589711143136[[#This Row],[Lastverschiebung]]=1,Tabelle589711143136[[#This Row],[Potenzial pos. max MW]]&lt;&gt;""),Tabelle589711143136[[#This Row],[Potenzial pos. max MW]],"")</f>
        <v>26666.666666666668</v>
      </c>
      <c r="AG35" s="70"/>
      <c r="AH35" s="67"/>
      <c r="AI35" s="72"/>
      <c r="AJ35" s="73"/>
      <c r="AK35" s="78"/>
      <c r="AL35" s="72" t="str">
        <f>IF(Tabelle589711143136[[#This Row],[Vollbenutzungsstunden h/a]]&lt;&gt;"",Tabelle589711143136[[#This Row],[Vollbenutzungsstunden h/a]]/8760,"")</f>
        <v/>
      </c>
      <c r="AM35" s="71"/>
      <c r="AN35" s="70"/>
      <c r="AO35" s="73"/>
      <c r="AP35" s="70"/>
      <c r="AQ35" s="74"/>
      <c r="AR35" s="74"/>
      <c r="AS35" s="74"/>
      <c r="AT35" s="69">
        <v>12</v>
      </c>
      <c r="AU35" s="69"/>
      <c r="AV35" s="69"/>
      <c r="AW35" s="69"/>
      <c r="AX35" s="69"/>
      <c r="AY35" s="69"/>
      <c r="AZ35" s="69"/>
      <c r="BA35" s="69">
        <v>12</v>
      </c>
      <c r="BB35" s="69"/>
      <c r="BC35" s="1"/>
      <c r="BD35" s="69">
        <f>12*7</f>
        <v>84</v>
      </c>
      <c r="BE35" s="69"/>
      <c r="BF35" s="69"/>
      <c r="BG35" s="19"/>
      <c r="BH35" s="19"/>
      <c r="BI35" s="70"/>
      <c r="BJ35" s="75"/>
      <c r="BK35" s="75"/>
      <c r="BL35" s="75"/>
      <c r="BM35" s="75"/>
      <c r="BN35" s="75"/>
      <c r="BO35" s="75"/>
      <c r="BP35" s="75"/>
      <c r="BQ35" s="69"/>
      <c r="BR35" s="69"/>
      <c r="BS35" s="1">
        <v>0</v>
      </c>
      <c r="BT35" s="69"/>
      <c r="BU35" s="1" t="s">
        <v>916</v>
      </c>
      <c r="BV35" s="69"/>
      <c r="BW35" s="69"/>
      <c r="BX35" s="69"/>
      <c r="BY35" s="69">
        <v>203</v>
      </c>
      <c r="BZ35" s="69"/>
      <c r="CA35" s="69">
        <v>203</v>
      </c>
      <c r="CB35" s="1"/>
      <c r="CC35" s="38">
        <v>206</v>
      </c>
      <c r="CD35" s="69"/>
      <c r="CE35" s="76"/>
      <c r="CF35" s="76"/>
      <c r="CG35" s="76"/>
      <c r="CH35" s="76"/>
      <c r="CI35" s="69"/>
      <c r="CJ35" s="1"/>
      <c r="CK35" s="76"/>
      <c r="CL35" s="33"/>
      <c r="CM35" s="33"/>
      <c r="CN35" s="69"/>
      <c r="CO35" s="33"/>
      <c r="CP35" s="33"/>
      <c r="CQ35" s="33"/>
      <c r="CR35" s="33"/>
      <c r="CS35" s="33"/>
      <c r="CT35" s="69"/>
      <c r="CU35" s="33">
        <v>117</v>
      </c>
      <c r="CV35" s="69"/>
      <c r="CW35" s="69"/>
    </row>
    <row r="36" spans="1:101" x14ac:dyDescent="0.25">
      <c r="A36" s="69" t="s">
        <v>840</v>
      </c>
      <c r="B36" s="69" t="s">
        <v>890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70"/>
      <c r="X36" s="70"/>
      <c r="Y36" s="70"/>
      <c r="Z36" s="19"/>
      <c r="AA36" s="70"/>
      <c r="AB36" s="19"/>
      <c r="AC36" s="70"/>
      <c r="AD36" s="70" t="str">
        <f>IF(AND(Tabelle589711143136[[#This Row],[Lastverschiebung]]=1,Tabelle589711143136[[#This Row],[Potenzial pos. min MW]]&lt;&gt;""),Tabelle589711143136[[#This Row],[Potenzial pos. min MW]],"")</f>
        <v/>
      </c>
      <c r="AE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F36" s="70" t="str">
        <f>IF(AND(Tabelle589711143136[[#This Row],[Lastverschiebung]]=1,Tabelle589711143136[[#This Row],[Potenzial pos. max MW]]&lt;&gt;""),Tabelle589711143136[[#This Row],[Potenzial pos. max MW]],"")</f>
        <v/>
      </c>
      <c r="AG36" s="70"/>
      <c r="AH36" s="72"/>
      <c r="AI36" s="72"/>
      <c r="AJ36" s="73"/>
      <c r="AK36" s="78"/>
      <c r="AL36" s="72" t="str">
        <f>IF(Tabelle589711143136[[#This Row],[Vollbenutzungsstunden h/a]]&lt;&gt;"",Tabelle589711143136[[#This Row],[Vollbenutzungsstunden h/a]]/8760,"")</f>
        <v/>
      </c>
      <c r="AM36" s="71"/>
      <c r="AN36" s="70"/>
      <c r="AO36" s="73"/>
      <c r="AP36" s="70"/>
      <c r="AQ36" s="74"/>
      <c r="AR36" s="74"/>
      <c r="AS36" s="74"/>
      <c r="AT36" s="69">
        <v>24</v>
      </c>
      <c r="AU36" s="69"/>
      <c r="AV36" s="69"/>
      <c r="AW36" s="69"/>
      <c r="AX36" s="69">
        <v>24</v>
      </c>
      <c r="AY36" s="69"/>
      <c r="AZ36" s="69"/>
      <c r="BA36" s="69">
        <v>24</v>
      </c>
      <c r="BB36" s="69"/>
      <c r="BC36" s="1" t="s">
        <v>893</v>
      </c>
      <c r="BD36" s="69">
        <f>12*7</f>
        <v>84</v>
      </c>
      <c r="BE36" s="69"/>
      <c r="BF36" s="69"/>
      <c r="BG36" s="19">
        <v>40</v>
      </c>
      <c r="BH36" s="19">
        <v>1200</v>
      </c>
      <c r="BI36" s="70"/>
      <c r="BJ36" s="75"/>
      <c r="BK36" s="75"/>
      <c r="BL36" s="75"/>
      <c r="BM36" s="75"/>
      <c r="BN36" s="75"/>
      <c r="BO36" s="75">
        <v>25</v>
      </c>
      <c r="BP36" s="75">
        <v>90</v>
      </c>
      <c r="BQ36" s="69"/>
      <c r="BR36" s="69"/>
      <c r="BS36" s="1">
        <v>0</v>
      </c>
      <c r="BT36" s="69"/>
      <c r="BU36" s="1" t="s">
        <v>916</v>
      </c>
      <c r="BV36" s="69">
        <v>23</v>
      </c>
      <c r="BW36" s="69">
        <v>23</v>
      </c>
      <c r="BX36" s="69"/>
      <c r="BY36" s="69"/>
      <c r="BZ36" s="69"/>
      <c r="CA36" s="69"/>
      <c r="CB36" s="69"/>
      <c r="CC36" s="38"/>
      <c r="CD36" s="69"/>
      <c r="CE36" s="76"/>
      <c r="CF36" s="76"/>
      <c r="CG36" s="76"/>
      <c r="CH36" s="76"/>
      <c r="CI36" s="69"/>
      <c r="CJ36" s="76"/>
      <c r="CK36" s="76"/>
      <c r="CL36" s="33">
        <v>23</v>
      </c>
      <c r="CM36" s="33">
        <v>23</v>
      </c>
      <c r="CN36" s="69"/>
      <c r="CO36" s="33">
        <v>23</v>
      </c>
      <c r="CP36" s="33">
        <v>23</v>
      </c>
      <c r="CQ36" s="33">
        <v>30</v>
      </c>
      <c r="CR36" s="33">
        <v>30</v>
      </c>
      <c r="CS36" s="33">
        <v>30</v>
      </c>
      <c r="CT36" s="69"/>
      <c r="CU36" s="33">
        <v>117</v>
      </c>
      <c r="CV36" s="69"/>
      <c r="CW36" s="69"/>
    </row>
    <row r="37" spans="1:101" x14ac:dyDescent="0.25">
      <c r="A37" s="69" t="s">
        <v>840</v>
      </c>
      <c r="B37" s="69" t="s">
        <v>890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70"/>
      <c r="X37" s="70"/>
      <c r="Y37" s="70"/>
      <c r="Z37" s="19"/>
      <c r="AA37" s="70"/>
      <c r="AB37" s="19"/>
      <c r="AC37" s="70"/>
      <c r="AD37" s="70" t="str">
        <f>IF(AND(Tabelle589711143136[[#This Row],[Lastverschiebung]]=1,Tabelle589711143136[[#This Row],[Potenzial pos. min MW]]&lt;&gt;""),Tabelle589711143136[[#This Row],[Potenzial pos. min MW]],"")</f>
        <v/>
      </c>
      <c r="AE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F37" s="70" t="str">
        <f>IF(AND(Tabelle589711143136[[#This Row],[Lastverschiebung]]=1,Tabelle589711143136[[#This Row],[Potenzial pos. max MW]]&lt;&gt;""),Tabelle589711143136[[#This Row],[Potenzial pos. max MW]],"")</f>
        <v/>
      </c>
      <c r="AG37" s="70"/>
      <c r="AH37" s="72"/>
      <c r="AI37" s="72"/>
      <c r="AJ37" s="73"/>
      <c r="AK37" s="78"/>
      <c r="AL37" s="72" t="str">
        <f>IF(Tabelle589711143136[[#This Row],[Vollbenutzungsstunden h/a]]&lt;&gt;"",Tabelle589711143136[[#This Row],[Vollbenutzungsstunden h/a]]/8760,"")</f>
        <v/>
      </c>
      <c r="AM37" s="71"/>
      <c r="AN37" s="70"/>
      <c r="AO37" s="73"/>
      <c r="AP37" s="70"/>
      <c r="AQ37" s="74"/>
      <c r="AR37" s="74"/>
      <c r="AS37" s="74"/>
      <c r="AT37" s="69">
        <v>24</v>
      </c>
      <c r="AU37" s="69"/>
      <c r="AV37" s="69"/>
      <c r="AW37" s="69"/>
      <c r="AX37" s="69"/>
      <c r="AY37" s="69"/>
      <c r="AZ37" s="69"/>
      <c r="BA37" s="69">
        <v>24</v>
      </c>
      <c r="BB37" s="69"/>
      <c r="BC37" s="1"/>
      <c r="BD37" s="69">
        <f>8*7</f>
        <v>56</v>
      </c>
      <c r="BE37" s="69"/>
      <c r="BF37" s="69"/>
      <c r="BG37" s="19"/>
      <c r="BH37" s="19"/>
      <c r="BI37" s="70"/>
      <c r="BJ37" s="75"/>
      <c r="BK37" s="75"/>
      <c r="BL37" s="75"/>
      <c r="BM37" s="75"/>
      <c r="BN37" s="75"/>
      <c r="BO37" s="75"/>
      <c r="BP37" s="75"/>
      <c r="BQ37" s="69"/>
      <c r="BR37" s="69"/>
      <c r="BS37" s="1">
        <v>0</v>
      </c>
      <c r="BT37" s="69"/>
      <c r="BU37" s="1" t="s">
        <v>916</v>
      </c>
      <c r="BV37" s="69"/>
      <c r="BW37" s="69"/>
      <c r="BX37" s="69"/>
      <c r="BY37" s="69">
        <v>204</v>
      </c>
      <c r="BZ37" s="69"/>
      <c r="CA37" s="69">
        <v>204</v>
      </c>
      <c r="CB37" s="69"/>
      <c r="CC37" s="38"/>
      <c r="CD37" s="69"/>
      <c r="CE37" s="76"/>
      <c r="CF37" s="76"/>
      <c r="CG37" s="76"/>
      <c r="CH37" s="76"/>
      <c r="CI37" s="69"/>
      <c r="CJ37" s="76"/>
      <c r="CK37" s="76"/>
      <c r="CL37" s="33"/>
      <c r="CM37" s="33"/>
      <c r="CN37" s="69"/>
      <c r="CO37" s="33"/>
      <c r="CP37" s="33"/>
      <c r="CQ37" s="33"/>
      <c r="CR37" s="33"/>
      <c r="CS37" s="33"/>
      <c r="CT37" s="69"/>
      <c r="CU37" s="33">
        <v>117</v>
      </c>
      <c r="CV37" s="69"/>
      <c r="CW37" s="69"/>
    </row>
    <row r="38" spans="1:101" x14ac:dyDescent="0.25">
      <c r="A38" s="69" t="s">
        <v>840</v>
      </c>
      <c r="B38" s="69" t="s">
        <v>890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70"/>
      <c r="X38" s="70"/>
      <c r="Y38" s="70"/>
      <c r="Z38" s="19"/>
      <c r="AA38" s="70"/>
      <c r="AB38" s="19"/>
      <c r="AC38" s="70"/>
      <c r="AD38" s="70" t="str">
        <f>IF(AND(Tabelle589711143136[[#This Row],[Lastverschiebung]]=1,Tabelle589711143136[[#This Row],[Potenzial pos. min MW]]&lt;&gt;""),Tabelle589711143136[[#This Row],[Potenzial pos. min MW]],"")</f>
        <v/>
      </c>
      <c r="AE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F38" s="70" t="str">
        <f>IF(AND(Tabelle589711143136[[#This Row],[Lastverschiebung]]=1,Tabelle589711143136[[#This Row],[Potenzial pos. max MW]]&lt;&gt;""),Tabelle589711143136[[#This Row],[Potenzial pos. max MW]],"")</f>
        <v/>
      </c>
      <c r="AG38" s="70"/>
      <c r="AH38" s="72"/>
      <c r="AI38" s="72"/>
      <c r="AJ38" s="73"/>
      <c r="AK38" s="78"/>
      <c r="AL38" s="72" t="str">
        <f>IF(Tabelle589711143136[[#This Row],[Vollbenutzungsstunden h/a]]&lt;&gt;"",Tabelle589711143136[[#This Row],[Vollbenutzungsstunden h/a]]/8760,"")</f>
        <v/>
      </c>
      <c r="AM38" s="71"/>
      <c r="AN38" s="70"/>
      <c r="AO38" s="73"/>
      <c r="AP38" s="70"/>
      <c r="AQ38" s="74"/>
      <c r="AR38" s="74"/>
      <c r="AS38" s="74"/>
      <c r="AT38" s="69">
        <v>24</v>
      </c>
      <c r="AU38" s="69"/>
      <c r="AV38" s="69"/>
      <c r="AW38" s="69"/>
      <c r="AX38" s="69"/>
      <c r="AY38" s="69"/>
      <c r="AZ38" s="69"/>
      <c r="BA38" s="69">
        <v>24</v>
      </c>
      <c r="BB38" s="69"/>
      <c r="BC38" s="1"/>
      <c r="BD38" s="69">
        <f>8*7</f>
        <v>56</v>
      </c>
      <c r="BE38" s="69"/>
      <c r="BF38" s="69"/>
      <c r="BG38" s="19"/>
      <c r="BH38" s="19"/>
      <c r="BI38" s="70"/>
      <c r="BJ38" s="75"/>
      <c r="BK38" s="75"/>
      <c r="BL38" s="75"/>
      <c r="BM38" s="75"/>
      <c r="BN38" s="75"/>
      <c r="BO38" s="75"/>
      <c r="BP38" s="75"/>
      <c r="BQ38" s="69"/>
      <c r="BR38" s="69"/>
      <c r="BS38" s="1">
        <v>0</v>
      </c>
      <c r="BT38" s="69"/>
      <c r="BU38" s="1" t="s">
        <v>916</v>
      </c>
      <c r="BV38" s="69"/>
      <c r="BW38" s="69"/>
      <c r="BX38" s="69"/>
      <c r="BY38" s="69">
        <v>204</v>
      </c>
      <c r="BZ38" s="69"/>
      <c r="CA38" s="69">
        <v>204</v>
      </c>
      <c r="CB38" s="69"/>
      <c r="CC38" s="38"/>
      <c r="CD38" s="69"/>
      <c r="CE38" s="76"/>
      <c r="CF38" s="76"/>
      <c r="CG38" s="76"/>
      <c r="CH38" s="76"/>
      <c r="CI38" s="69"/>
      <c r="CJ38" s="76"/>
      <c r="CK38" s="76"/>
      <c r="CL38" s="33"/>
      <c r="CM38" s="33"/>
      <c r="CN38" s="69"/>
      <c r="CO38" s="33"/>
      <c r="CP38" s="33"/>
      <c r="CQ38" s="33"/>
      <c r="CR38" s="33"/>
      <c r="CS38" s="33"/>
      <c r="CT38" s="69"/>
      <c r="CU38" s="33">
        <v>117</v>
      </c>
      <c r="CV38" s="69"/>
      <c r="CW38" s="69"/>
    </row>
    <row r="39" spans="1:101" x14ac:dyDescent="0.25">
      <c r="A39" s="69" t="s">
        <v>891</v>
      </c>
      <c r="B39" s="69" t="s">
        <v>890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70"/>
      <c r="X39" s="70"/>
      <c r="Y39" s="70"/>
      <c r="Z39" s="19"/>
      <c r="AA39" s="70"/>
      <c r="AB39" s="19"/>
      <c r="AC39" s="70"/>
      <c r="AD39" s="70" t="str">
        <f>IF(AND(Tabelle589711143136[[#This Row],[Lastverschiebung]]=1,Tabelle589711143136[[#This Row],[Potenzial pos. min MW]]&lt;&gt;""),Tabelle589711143136[[#This Row],[Potenzial pos. min MW]],"")</f>
        <v/>
      </c>
      <c r="AE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F39" s="70" t="str">
        <f>IF(AND(Tabelle589711143136[[#This Row],[Lastverschiebung]]=1,Tabelle589711143136[[#This Row],[Potenzial pos. max MW]]&lt;&gt;""),Tabelle589711143136[[#This Row],[Potenzial pos. max MW]],"")</f>
        <v/>
      </c>
      <c r="AG39" s="70"/>
      <c r="AH39" s="72"/>
      <c r="AI39" s="72"/>
      <c r="AJ39" s="73"/>
      <c r="AK39" s="78"/>
      <c r="AL39" s="72" t="str">
        <f>IF(Tabelle589711143136[[#This Row],[Vollbenutzungsstunden h/a]]&lt;&gt;"",Tabelle589711143136[[#This Row],[Vollbenutzungsstunden h/a]]/8760,"")</f>
        <v/>
      </c>
      <c r="AM39" s="71"/>
      <c r="AN39" s="70"/>
      <c r="AO39" s="73"/>
      <c r="AP39" s="70"/>
      <c r="AQ39" s="74"/>
      <c r="AR39" s="74"/>
      <c r="AS39" s="74"/>
      <c r="AT39" s="69"/>
      <c r="AU39" s="69"/>
      <c r="AV39" s="69"/>
      <c r="AW39" s="69"/>
      <c r="AX39" s="69"/>
      <c r="AY39" s="69"/>
      <c r="AZ39" s="69"/>
      <c r="BA39" s="69"/>
      <c r="BB39" s="69"/>
      <c r="BC39" s="1"/>
      <c r="BD39" s="69">
        <v>8760</v>
      </c>
      <c r="BE39" s="69"/>
      <c r="BF39" s="69"/>
      <c r="BG39" s="19">
        <v>500</v>
      </c>
      <c r="BH39" s="19">
        <v>1000</v>
      </c>
      <c r="BI39" s="70"/>
      <c r="BJ39" s="75">
        <v>-16.53</v>
      </c>
      <c r="BK39" s="75">
        <v>-44.9</v>
      </c>
      <c r="BL39" s="75"/>
      <c r="BM39" s="75"/>
      <c r="BN39" s="8"/>
      <c r="BO39" s="75">
        <v>20</v>
      </c>
      <c r="BP39" s="75">
        <v>40</v>
      </c>
      <c r="BQ39" s="69"/>
      <c r="BR39" s="69"/>
      <c r="BS39" s="1"/>
      <c r="BT39" s="1" t="s">
        <v>925</v>
      </c>
      <c r="BU39" s="1" t="s">
        <v>916</v>
      </c>
      <c r="BV39" s="69">
        <v>23</v>
      </c>
      <c r="BW39" s="69">
        <v>23</v>
      </c>
      <c r="BX39" s="69"/>
      <c r="BY39" s="69"/>
      <c r="BZ39" s="69"/>
      <c r="CA39" s="69"/>
      <c r="CB39" s="69"/>
      <c r="CC39" s="38"/>
      <c r="CD39" s="69"/>
      <c r="CE39" s="76"/>
      <c r="CF39" s="76"/>
      <c r="CG39" s="76"/>
      <c r="CH39" s="76"/>
      <c r="CI39" s="69"/>
      <c r="CJ39" s="76"/>
      <c r="CK39" s="76"/>
      <c r="CL39" s="33">
        <v>23</v>
      </c>
      <c r="CM39" s="33">
        <v>23</v>
      </c>
      <c r="CN39" s="69"/>
      <c r="CO39" s="33">
        <v>23</v>
      </c>
      <c r="CP39" s="33">
        <v>23</v>
      </c>
      <c r="CQ39" s="33">
        <v>30</v>
      </c>
      <c r="CR39" s="33">
        <v>30</v>
      </c>
      <c r="CS39" s="33">
        <v>30</v>
      </c>
      <c r="CT39" s="69"/>
      <c r="CU39" s="33"/>
      <c r="CV39" s="69">
        <v>31</v>
      </c>
      <c r="CW39" s="69"/>
    </row>
    <row r="40" spans="1:101" x14ac:dyDescent="0.25">
      <c r="A40" s="69" t="s">
        <v>892</v>
      </c>
      <c r="B40" s="69" t="s">
        <v>890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70"/>
      <c r="X40" s="70"/>
      <c r="Y40" s="70"/>
      <c r="Z40" s="19"/>
      <c r="AA40" s="70"/>
      <c r="AB40" s="19"/>
      <c r="AC40" s="70"/>
      <c r="AD40" s="70" t="str">
        <f>IF(AND(Tabelle589711143136[[#This Row],[Lastverschiebung]]=1,Tabelle589711143136[[#This Row],[Potenzial pos. min MW]]&lt;&gt;""),Tabelle589711143136[[#This Row],[Potenzial pos. min MW]],"")</f>
        <v/>
      </c>
      <c r="AE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F40" s="70" t="str">
        <f>IF(AND(Tabelle589711143136[[#This Row],[Lastverschiebung]]=1,Tabelle589711143136[[#This Row],[Potenzial pos. max MW]]&lt;&gt;""),Tabelle589711143136[[#This Row],[Potenzial pos. max MW]],"")</f>
        <v/>
      </c>
      <c r="AG40" s="70"/>
      <c r="AH40" s="72"/>
      <c r="AI40" s="72"/>
      <c r="AJ40" s="73"/>
      <c r="AK40" s="78"/>
      <c r="AL40" s="72" t="str">
        <f>IF(Tabelle589711143136[[#This Row],[Vollbenutzungsstunden h/a]]&lt;&gt;"",Tabelle589711143136[[#This Row],[Vollbenutzungsstunden h/a]]/8760,"")</f>
        <v/>
      </c>
      <c r="AM40" s="71"/>
      <c r="AN40" s="70"/>
      <c r="AO40" s="73"/>
      <c r="AP40" s="70"/>
      <c r="AQ40" s="74"/>
      <c r="AR40" s="74"/>
      <c r="AS40" s="74"/>
      <c r="AT40" s="69"/>
      <c r="AU40" s="69"/>
      <c r="AV40" s="69"/>
      <c r="AW40" s="69"/>
      <c r="AX40" s="69"/>
      <c r="AY40" s="69"/>
      <c r="AZ40" s="69"/>
      <c r="BA40" s="69"/>
      <c r="BB40" s="69"/>
      <c r="BC40" s="1"/>
      <c r="BD40" s="69">
        <v>8760</v>
      </c>
      <c r="BE40" s="69"/>
      <c r="BF40" s="69"/>
      <c r="BG40" s="19">
        <v>100</v>
      </c>
      <c r="BH40" s="19">
        <v>200</v>
      </c>
      <c r="BI40" s="70"/>
      <c r="BJ40" s="75">
        <v>-30.31</v>
      </c>
      <c r="BK40" s="75">
        <v>-82.4</v>
      </c>
      <c r="BL40" s="75"/>
      <c r="BM40" s="75"/>
      <c r="BN40" s="8"/>
      <c r="BO40" s="75">
        <v>4</v>
      </c>
      <c r="BP40" s="75">
        <v>8</v>
      </c>
      <c r="BQ40" s="69"/>
      <c r="BR40" s="69"/>
      <c r="BS40" s="1"/>
      <c r="BT40" s="1" t="s">
        <v>924</v>
      </c>
      <c r="BU40" s="1" t="s">
        <v>916</v>
      </c>
      <c r="BV40" s="69">
        <v>23</v>
      </c>
      <c r="BW40" s="69">
        <v>23</v>
      </c>
      <c r="BX40" s="69"/>
      <c r="BY40" s="69"/>
      <c r="BZ40" s="69"/>
      <c r="CA40" s="69"/>
      <c r="CB40" s="69"/>
      <c r="CC40" s="38"/>
      <c r="CD40" s="69"/>
      <c r="CE40" s="76"/>
      <c r="CF40" s="76"/>
      <c r="CG40" s="76"/>
      <c r="CH40" s="76"/>
      <c r="CI40" s="69"/>
      <c r="CJ40" s="76"/>
      <c r="CK40" s="76"/>
      <c r="CL40" s="33">
        <v>23</v>
      </c>
      <c r="CM40" s="33">
        <v>23</v>
      </c>
      <c r="CN40" s="69"/>
      <c r="CO40" s="33">
        <v>23</v>
      </c>
      <c r="CP40" s="33">
        <v>23</v>
      </c>
      <c r="CQ40" s="33">
        <v>30</v>
      </c>
      <c r="CR40" s="33">
        <v>30</v>
      </c>
      <c r="CS40" s="33">
        <v>30</v>
      </c>
      <c r="CT40" s="69"/>
      <c r="CU40" s="33"/>
      <c r="CV40" s="1" t="s">
        <v>922</v>
      </c>
      <c r="CW40" s="6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CD8"/>
  <sheetViews>
    <sheetView zoomScale="85" zoomScaleNormal="85" workbookViewId="0">
      <pane xSplit="3" ySplit="1" topLeftCell="AM2" activePane="bottomRight" state="frozen"/>
      <selection pane="topRight" activeCell="D1" sqref="D1"/>
      <selection pane="bottomLeft" activeCell="A2" sqref="A2"/>
      <selection pane="bottomRight" activeCell="AS6" sqref="AS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8.85546875" style="1" bestFit="1" customWidth="1"/>
    <col min="10" max="10" width="38.85546875" style="1" bestFit="1" customWidth="1"/>
    <col min="11" max="11" width="29.28515625" style="1" bestFit="1" customWidth="1"/>
    <col min="12" max="17" width="24.5703125" style="1" customWidth="1"/>
    <col min="18" max="18" width="24.42578125" style="1" bestFit="1" customWidth="1"/>
    <col min="19" max="25" width="24.42578125" style="1" customWidth="1"/>
    <col min="26" max="26" width="37.7109375" style="1" bestFit="1" customWidth="1"/>
    <col min="27" max="28" width="24.7109375" style="1" customWidth="1"/>
    <col min="29" max="31" width="28.42578125" style="1" customWidth="1"/>
    <col min="32" max="32" width="27.42578125" style="1" bestFit="1" customWidth="1"/>
    <col min="33" max="34" width="27.42578125" style="1" customWidth="1"/>
    <col min="35" max="35" width="20.7109375" style="1" bestFit="1" customWidth="1"/>
    <col min="36" max="41" width="20.7109375" style="1" customWidth="1"/>
    <col min="42" max="42" width="25.85546875" style="1" bestFit="1" customWidth="1"/>
    <col min="43" max="43" width="29.7109375" style="1" bestFit="1" customWidth="1"/>
    <col min="44" max="44" width="24" style="1" bestFit="1" customWidth="1"/>
    <col min="45" max="45" width="38.28515625" style="1" bestFit="1" customWidth="1"/>
    <col min="46" max="48" width="38.28515625" style="1" customWidth="1"/>
    <col min="49" max="49" width="38.28515625" style="1" bestFit="1" customWidth="1"/>
    <col min="50" max="52" width="38.28515625" style="1" customWidth="1"/>
    <col min="53" max="53" width="33.42578125" style="1" bestFit="1" customWidth="1"/>
    <col min="54" max="55" width="33.42578125" style="1" customWidth="1"/>
    <col min="56" max="56" width="25.7109375" style="1" bestFit="1" customWidth="1"/>
    <col min="57" max="57" width="25.7109375" style="1" customWidth="1"/>
    <col min="58" max="58" width="56.7109375" style="1" bestFit="1" customWidth="1"/>
    <col min="59" max="59" width="56.7109375" style="1" customWidth="1"/>
    <col min="60" max="61" width="35.5703125" style="1" customWidth="1"/>
    <col min="62" max="62" width="31.7109375" style="1" bestFit="1" customWidth="1"/>
    <col min="63" max="63" width="31.5703125" style="1" bestFit="1" customWidth="1"/>
    <col min="64" max="68" width="31.5703125" style="1" customWidth="1"/>
    <col min="69" max="69" width="37.42578125" style="1" bestFit="1" customWidth="1"/>
    <col min="70" max="70" width="35.7109375" style="1" bestFit="1" customWidth="1"/>
    <col min="71" max="71" width="28.85546875" style="1" bestFit="1" customWidth="1"/>
    <col min="72" max="72" width="34" style="1" bestFit="1" customWidth="1"/>
    <col min="73" max="73" width="37.85546875" style="1" bestFit="1" customWidth="1"/>
    <col min="74" max="74" width="34.42578125" style="1" bestFit="1" customWidth="1"/>
    <col min="75" max="75" width="38.140625" style="1" bestFit="1" customWidth="1"/>
    <col min="76" max="76" width="22.85546875" style="1" bestFit="1" customWidth="1"/>
    <col min="77" max="77" width="28.5703125" style="1" bestFit="1" customWidth="1"/>
    <col min="78" max="78" width="28.28515625" style="1" bestFit="1" customWidth="1"/>
    <col min="79" max="79" width="28.28515625" style="1" customWidth="1"/>
    <col min="80" max="80" width="31" style="1" bestFit="1" customWidth="1"/>
    <col min="81" max="81" width="31" style="1" customWidth="1"/>
    <col min="82" max="82" width="28.85546875" style="1" bestFit="1" customWidth="1"/>
    <col min="83" max="16384" width="11.42578125" style="1"/>
  </cols>
  <sheetData>
    <row r="1" spans="1:8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424</v>
      </c>
      <c r="H1" s="2" t="s">
        <v>1004</v>
      </c>
      <c r="I1" s="2" t="s">
        <v>49</v>
      </c>
      <c r="J1" s="2" t="s">
        <v>149</v>
      </c>
      <c r="K1" s="2" t="s">
        <v>548</v>
      </c>
      <c r="L1" s="2" t="s">
        <v>97</v>
      </c>
      <c r="M1" s="2" t="s">
        <v>156</v>
      </c>
      <c r="N1" s="2" t="s">
        <v>425</v>
      </c>
      <c r="O1" s="2" t="s">
        <v>426</v>
      </c>
      <c r="P1" s="2" t="s">
        <v>427</v>
      </c>
      <c r="Q1" s="2" t="s">
        <v>158</v>
      </c>
      <c r="R1" s="2" t="s">
        <v>157</v>
      </c>
      <c r="S1" s="2" t="s">
        <v>56</v>
      </c>
      <c r="T1" s="2" t="s">
        <v>55</v>
      </c>
      <c r="U1" s="2" t="s">
        <v>87</v>
      </c>
      <c r="V1" s="2" t="s">
        <v>865</v>
      </c>
      <c r="W1" s="2" t="s">
        <v>564</v>
      </c>
      <c r="X1" s="2" t="s">
        <v>1150</v>
      </c>
      <c r="Y1" s="2" t="s">
        <v>237</v>
      </c>
      <c r="Z1" s="2" t="s">
        <v>116</v>
      </c>
      <c r="AA1" s="2" t="s">
        <v>57</v>
      </c>
      <c r="AB1" s="2" t="s">
        <v>123</v>
      </c>
      <c r="AC1" s="2" t="s">
        <v>58</v>
      </c>
      <c r="AD1" s="2" t="s">
        <v>999</v>
      </c>
      <c r="AE1" s="2" t="s">
        <v>422</v>
      </c>
      <c r="AF1" s="2" t="s">
        <v>9</v>
      </c>
      <c r="AG1" s="2" t="s">
        <v>431</v>
      </c>
      <c r="AH1" s="2" t="s">
        <v>227</v>
      </c>
      <c r="AI1" s="2" t="s">
        <v>159</v>
      </c>
      <c r="AJ1" s="2" t="s">
        <v>1173</v>
      </c>
      <c r="AK1" s="2" t="s">
        <v>229</v>
      </c>
      <c r="AL1" s="2" t="s">
        <v>230</v>
      </c>
      <c r="AM1" s="2" t="s">
        <v>160</v>
      </c>
      <c r="AN1" s="2" t="s">
        <v>216</v>
      </c>
      <c r="AO1" s="2" t="s">
        <v>217</v>
      </c>
      <c r="AP1" s="2" t="s">
        <v>3</v>
      </c>
      <c r="AQ1" s="2" t="s">
        <v>10</v>
      </c>
      <c r="AR1" s="2" t="s">
        <v>16</v>
      </c>
      <c r="AS1" s="2" t="s">
        <v>4</v>
      </c>
      <c r="AT1" s="2" t="s">
        <v>99</v>
      </c>
      <c r="AU1" s="2" t="s">
        <v>185</v>
      </c>
      <c r="AV1" s="2" t="s">
        <v>184</v>
      </c>
      <c r="AW1" s="2" t="s">
        <v>12</v>
      </c>
      <c r="AX1" s="2" t="s">
        <v>233</v>
      </c>
      <c r="AY1" s="2" t="s">
        <v>234</v>
      </c>
      <c r="AZ1" s="2" t="s">
        <v>639</v>
      </c>
      <c r="BA1" s="2" t="s">
        <v>232</v>
      </c>
      <c r="BB1" s="2" t="s">
        <v>334</v>
      </c>
      <c r="BC1" s="2" t="s">
        <v>433</v>
      </c>
      <c r="BD1" s="2" t="s">
        <v>335</v>
      </c>
      <c r="BE1" s="2" t="s">
        <v>147</v>
      </c>
      <c r="BF1" s="2" t="s">
        <v>22</v>
      </c>
      <c r="BG1" s="2" t="s">
        <v>452</v>
      </c>
      <c r="BH1" s="2" t="s">
        <v>164</v>
      </c>
      <c r="BI1" s="2" t="s">
        <v>165</v>
      </c>
      <c r="BJ1" s="2" t="s">
        <v>1</v>
      </c>
      <c r="BK1" s="2" t="s">
        <v>2</v>
      </c>
      <c r="BL1" s="2" t="s">
        <v>59</v>
      </c>
      <c r="BM1" s="2" t="s">
        <v>1161</v>
      </c>
      <c r="BN1" s="2" t="s">
        <v>238</v>
      </c>
      <c r="BO1" s="2" t="s">
        <v>117</v>
      </c>
      <c r="BP1" s="2" t="s">
        <v>60</v>
      </c>
      <c r="BQ1" s="2" t="s">
        <v>61</v>
      </c>
      <c r="BR1" s="2" t="s">
        <v>98</v>
      </c>
      <c r="BS1" s="2" t="s">
        <v>5</v>
      </c>
      <c r="BT1" s="2" t="s">
        <v>6</v>
      </c>
      <c r="BU1" s="2" t="s">
        <v>17</v>
      </c>
      <c r="BV1" s="2" t="s">
        <v>18</v>
      </c>
      <c r="BW1" s="2" t="s">
        <v>7</v>
      </c>
      <c r="BX1" s="2" t="s">
        <v>19</v>
      </c>
      <c r="BY1" s="2" t="s">
        <v>20</v>
      </c>
      <c r="BZ1" s="2" t="s">
        <v>21</v>
      </c>
      <c r="CA1" s="2" t="s">
        <v>148</v>
      </c>
      <c r="CB1" s="2" t="s">
        <v>23</v>
      </c>
      <c r="CC1" s="2" t="s">
        <v>453</v>
      </c>
      <c r="CD1" s="2" t="s">
        <v>51</v>
      </c>
    </row>
    <row r="2" spans="1:82" x14ac:dyDescent="0.2">
      <c r="A2" s="1" t="s">
        <v>420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K2" s="1">
        <v>1400</v>
      </c>
      <c r="N2" s="1">
        <v>29</v>
      </c>
      <c r="S2" s="19"/>
      <c r="V2" s="11">
        <v>7790</v>
      </c>
      <c r="W2" s="11">
        <v>8760</v>
      </c>
      <c r="X2" s="9">
        <f>Tabelle58971116[[#This Row],[Vollbenutzungsstunden h/a]]/8760</f>
        <v>0.88926940639269403</v>
      </c>
      <c r="Y2" s="9">
        <f>Tabelle58971116[[#This Row],[Vollbenutzungsstunden h/a]]/Tabelle58971116[[#This Row],[Betriebsstunden p.a.]]</f>
        <v>0.88926940639269403</v>
      </c>
      <c r="Z2" s="19"/>
      <c r="AD2" s="1">
        <f>5/3600</f>
        <v>1.3888888888888889E-3</v>
      </c>
      <c r="AE2" s="1">
        <v>1</v>
      </c>
      <c r="AF2" s="1">
        <f>30/3600</f>
        <v>8.3333333333333332E-3</v>
      </c>
      <c r="AG2" s="1">
        <f>20/60</f>
        <v>0.33333333333333331</v>
      </c>
      <c r="AH2" s="1">
        <v>16</v>
      </c>
      <c r="AI2" s="1">
        <v>3</v>
      </c>
      <c r="AJ2" s="1">
        <v>1</v>
      </c>
      <c r="AT2" s="1">
        <f>AVERAGE(119, 354)</f>
        <v>236.5</v>
      </c>
      <c r="AU2" s="8">
        <f>370/10^3*Umrechnungsfaktoren!$B$15/Umrechnungsfaktoren!$B$12</f>
        <v>0.38406000000000001</v>
      </c>
      <c r="AV2" s="8">
        <f>20833/10^3*Umrechnungsfaktoren!$B$15/Umrechnungsfaktoren!$B$12</f>
        <v>21.624654</v>
      </c>
      <c r="AW2" s="8">
        <f>7697/10^3*Umrechnungsfaktoren!$B$15/Umrechnungsfaktoren!$B$12</f>
        <v>7.9894860000000003</v>
      </c>
      <c r="AX2" s="8">
        <f>10*Umrechnungsfaktoren!$B$15/Umrechnungsfaktoren!$B$12</f>
        <v>10.38</v>
      </c>
      <c r="AY2" s="106"/>
      <c r="AZ2" s="8">
        <f>350*Umrechnungsfaktoren!$B$15/Umrechnungsfaktoren!$B$12</f>
        <v>363.3</v>
      </c>
      <c r="BA2" s="8"/>
      <c r="BB2" s="8">
        <f>0/10^3*Umrechnungsfaktoren!$B$15/Umrechnungsfaktoren!$B$12</f>
        <v>0</v>
      </c>
      <c r="BC2" s="8">
        <f>6250/10^3*Umrechnungsfaktoren!$B$15/Umrechnungsfaktoren!$B$12</f>
        <v>6.4874999999999998</v>
      </c>
      <c r="BD2" s="8">
        <f>2025/10^3*Umrechnungsfaktoren!$B$15/Umrechnungsfaktoren!$B$12</f>
        <v>2.10195</v>
      </c>
      <c r="BF2" s="1" t="s">
        <v>447</v>
      </c>
      <c r="BH2" s="1">
        <v>100</v>
      </c>
      <c r="BI2" s="1">
        <v>100</v>
      </c>
      <c r="BJ2" s="1" t="s">
        <v>451</v>
      </c>
      <c r="BK2" s="1" t="s">
        <v>451</v>
      </c>
      <c r="BN2" s="1" t="s">
        <v>421</v>
      </c>
      <c r="BR2" s="1">
        <v>146</v>
      </c>
      <c r="BS2" s="1" t="s">
        <v>448</v>
      </c>
      <c r="BW2" s="1" t="s">
        <v>449</v>
      </c>
      <c r="BY2" s="1" t="s">
        <v>450</v>
      </c>
      <c r="BZ2" s="1">
        <v>148</v>
      </c>
      <c r="CA2" s="1">
        <v>148</v>
      </c>
      <c r="CB2" s="1">
        <v>145</v>
      </c>
    </row>
    <row r="3" spans="1:82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/>
      <c r="J3" s="19"/>
      <c r="K3" s="19">
        <v>530</v>
      </c>
      <c r="L3" s="19"/>
      <c r="M3" s="19"/>
      <c r="N3" s="19"/>
      <c r="O3" s="19"/>
      <c r="P3" s="19">
        <v>100</v>
      </c>
      <c r="Q3" s="19"/>
      <c r="R3" s="19"/>
      <c r="S3" s="19">
        <f>Tabelle58971116[[#This Row],[Mindestauslastung]]*Tabelle58971116[[#This Row],[installierte Leistung MW]]</f>
        <v>513.75</v>
      </c>
      <c r="T3" s="9">
        <f>(25%+50%)/2</f>
        <v>0.375</v>
      </c>
      <c r="U3" s="9"/>
      <c r="V3" s="49">
        <v>7520</v>
      </c>
      <c r="W3" s="49">
        <v>8580</v>
      </c>
      <c r="X3" s="9">
        <f>Tabelle58971116[[#This Row],[Vollbenutzungsstunden h/a]]/8760</f>
        <v>0.85844748858447484</v>
      </c>
      <c r="Y3" s="9">
        <f>Tabelle58971116[[#This Row],[Vollbenutzungsstunden h/a]]/Tabelle58971116[[#This Row],[Betriebsstunden p.a.]]</f>
        <v>0.87645687645687642</v>
      </c>
      <c r="Z3" s="20">
        <f>Tabelle58971116[[#This Row],[Durchschnittsauslastung]]*Tabelle58971116[[#This Row],[installierte Leistung MW]]</f>
        <v>1200.7459207459208</v>
      </c>
      <c r="AA3" s="19"/>
      <c r="AB3" s="9"/>
      <c r="AC3" s="19">
        <v>1370</v>
      </c>
      <c r="AD3" s="19">
        <f>5/3600</f>
        <v>1.3888888888888889E-3</v>
      </c>
      <c r="AE3" s="19">
        <v>1</v>
      </c>
      <c r="AF3" s="1">
        <v>0.25</v>
      </c>
      <c r="AG3" s="1">
        <v>1</v>
      </c>
      <c r="AH3" s="1">
        <v>5</v>
      </c>
      <c r="AJ3" s="1">
        <v>5</v>
      </c>
      <c r="AT3" s="1">
        <f>AVERAGE(51, 97)</f>
        <v>74</v>
      </c>
      <c r="AU3" s="8">
        <f>50/10^3*Umrechnungsfaktoren!$B$15/Umrechnungsfaktoren!$B$12</f>
        <v>5.1900000000000002E-2</v>
      </c>
      <c r="AV3" s="8">
        <f>769/10^3*Umrechnungsfaktoren!$B$15/Umrechnungsfaktoren!$B$12</f>
        <v>0.79822199999999999</v>
      </c>
      <c r="AW3" s="19">
        <f>232/10^3*Umrechnungsfaktoren!$B$15/Umrechnungsfaktoren!$B$12</f>
        <v>0.240816</v>
      </c>
      <c r="AX3" s="8">
        <f>48*Umrechnungsfaktoren!$B$15/Umrechnungsfaktoren!$B$12</f>
        <v>49.823999999999998</v>
      </c>
      <c r="AY3" s="8"/>
      <c r="AZ3" s="8">
        <f>316*Umrechnungsfaktoren!$B$15/Umrechnungsfaktoren!$B$12</f>
        <v>328.00799999999998</v>
      </c>
      <c r="BA3" s="8"/>
      <c r="BB3" s="8">
        <f>0/10^3*Umrechnungsfaktoren!$B$15/Umrechnungsfaktoren!$B$12</f>
        <v>0</v>
      </c>
      <c r="BC3" s="8">
        <f>625/10^3*Umrechnungsfaktoren!$B$15/Umrechnungsfaktoren!$B$12</f>
        <v>0.64875000000000005</v>
      </c>
      <c r="BD3" s="8">
        <f>104/10^3*Umrechnungsfaktoren!$B$15/Umrechnungsfaktoren!$B$12</f>
        <v>0.10795199999999999</v>
      </c>
      <c r="BF3" s="1" t="s">
        <v>435</v>
      </c>
      <c r="BG3" s="1" t="s">
        <v>455</v>
      </c>
      <c r="BH3" s="1">
        <v>100</v>
      </c>
      <c r="BI3" s="1">
        <v>100</v>
      </c>
      <c r="BJ3" s="13">
        <v>123</v>
      </c>
      <c r="BK3" s="1">
        <v>123</v>
      </c>
      <c r="BL3" s="13" t="s">
        <v>429</v>
      </c>
      <c r="BM3" s="13"/>
      <c r="BN3" s="1" t="s">
        <v>421</v>
      </c>
      <c r="BO3" s="13" t="s">
        <v>436</v>
      </c>
      <c r="BQ3" s="13">
        <v>124</v>
      </c>
      <c r="BR3" s="13"/>
      <c r="BS3" s="1">
        <v>120</v>
      </c>
      <c r="BW3" s="1" t="s">
        <v>434</v>
      </c>
      <c r="BX3" s="1" t="s">
        <v>432</v>
      </c>
      <c r="BY3" s="1" t="s">
        <v>432</v>
      </c>
      <c r="BZ3" s="1" t="s">
        <v>432</v>
      </c>
      <c r="CC3" s="1" t="s">
        <v>457</v>
      </c>
    </row>
    <row r="4" spans="1:82" x14ac:dyDescent="0.2">
      <c r="A4" s="1" t="s">
        <v>190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/>
      <c r="J4" s="19"/>
      <c r="K4" s="19">
        <v>2600</v>
      </c>
      <c r="L4" s="19"/>
      <c r="M4" s="19"/>
      <c r="N4" s="19"/>
      <c r="O4" s="19"/>
      <c r="P4" s="19">
        <v>200</v>
      </c>
      <c r="Q4" s="19"/>
      <c r="R4" s="19"/>
      <c r="S4" s="19"/>
      <c r="T4" s="9">
        <v>0.7</v>
      </c>
      <c r="U4" s="9"/>
      <c r="V4" s="49">
        <v>7110</v>
      </c>
      <c r="W4" s="49">
        <v>8510</v>
      </c>
      <c r="X4" s="9">
        <f>Tabelle58971116[[#This Row],[Vollbenutzungsstunden h/a]]/8760</f>
        <v>0.81164383561643838</v>
      </c>
      <c r="Y4" s="9">
        <f>Tabelle58971116[[#This Row],[Vollbenutzungsstunden h/a]]/Tabelle58971116[[#This Row],[Betriebsstunden p.a.]]</f>
        <v>0.83548766157461807</v>
      </c>
      <c r="Z4" s="20"/>
      <c r="AA4" s="19"/>
      <c r="AB4" s="9"/>
      <c r="AC4" s="19"/>
      <c r="AD4" s="30">
        <v>0.25</v>
      </c>
      <c r="AE4" s="19">
        <v>1</v>
      </c>
      <c r="AF4" s="1">
        <v>0.5</v>
      </c>
      <c r="AI4" s="1">
        <v>5</v>
      </c>
      <c r="AJ4" s="1">
        <v>168</v>
      </c>
      <c r="AK4" s="1">
        <v>4</v>
      </c>
      <c r="AL4" s="1">
        <v>8</v>
      </c>
      <c r="AM4" s="1">
        <v>6</v>
      </c>
      <c r="AT4" s="1">
        <v>513</v>
      </c>
      <c r="AU4" s="19">
        <v>0</v>
      </c>
      <c r="AV4" s="19">
        <f>10101/10^3*Umrechnungsfaktoren!$B$15/Umrechnungsfaktoren!$B$12</f>
        <v>10.484838000000002</v>
      </c>
      <c r="AW4" s="19">
        <f>4387/10^3*Umrechnungsfaktoren!$B$15/Umrechnungsfaktoren!$B$12</f>
        <v>4.5537059999999991</v>
      </c>
      <c r="AX4" s="8">
        <v>0</v>
      </c>
      <c r="AY4" s="8"/>
      <c r="AZ4" s="8">
        <f>2000*Umrechnungsfaktoren!$B$15/Umrechnungsfaktoren!$B$12</f>
        <v>2076</v>
      </c>
      <c r="BA4" s="8"/>
      <c r="BB4" s="8">
        <f>0/10^3*Umrechnungsfaktoren!$B$15/Umrechnungsfaktoren!$B$12</f>
        <v>0</v>
      </c>
      <c r="BC4" s="8">
        <f>869/10^3*Umrechnungsfaktoren!$B$15/Umrechnungsfaktoren!$B$12</f>
        <v>0.90202199999999999</v>
      </c>
      <c r="BD4" s="8"/>
      <c r="BF4" s="1" t="s">
        <v>430</v>
      </c>
      <c r="BG4" s="1" t="s">
        <v>454</v>
      </c>
      <c r="BH4" s="1">
        <v>100</v>
      </c>
      <c r="BI4" s="1">
        <v>100</v>
      </c>
      <c r="BJ4" s="13" t="s">
        <v>428</v>
      </c>
      <c r="BK4" s="1">
        <v>112</v>
      </c>
      <c r="BL4" s="13">
        <v>104</v>
      </c>
      <c r="BM4" s="13"/>
      <c r="BN4" s="1" t="s">
        <v>421</v>
      </c>
      <c r="BO4" s="13"/>
      <c r="BQ4" s="13"/>
      <c r="BR4" s="13">
        <v>106</v>
      </c>
      <c r="BS4" s="1" t="s">
        <v>423</v>
      </c>
      <c r="BW4" s="1">
        <v>107</v>
      </c>
      <c r="BX4" s="1">
        <v>107</v>
      </c>
      <c r="BY4" s="1">
        <v>108</v>
      </c>
      <c r="BZ4" s="1">
        <v>108</v>
      </c>
      <c r="CB4" s="1">
        <v>109</v>
      </c>
      <c r="CC4" s="1">
        <v>175</v>
      </c>
    </row>
    <row r="5" spans="1:82" x14ac:dyDescent="0.2">
      <c r="A5" s="1" t="s">
        <v>84</v>
      </c>
      <c r="B5" s="1" t="s">
        <v>129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/>
      <c r="J5" s="25"/>
      <c r="K5" s="25">
        <v>1450</v>
      </c>
      <c r="L5" s="25"/>
      <c r="M5" s="25"/>
      <c r="N5" s="25"/>
      <c r="O5" s="25"/>
      <c r="P5" s="25">
        <v>25</v>
      </c>
      <c r="Q5" s="25"/>
      <c r="R5" s="25"/>
      <c r="S5" s="25"/>
      <c r="T5" s="26"/>
      <c r="U5" s="27"/>
      <c r="V5" s="50">
        <v>4120</v>
      </c>
      <c r="W5" s="50">
        <v>6080</v>
      </c>
      <c r="X5" s="9">
        <f>Tabelle58971116[[#This Row],[Vollbenutzungsstunden h/a]]/8760</f>
        <v>0.47031963470319632</v>
      </c>
      <c r="Y5" s="9">
        <f>Tabelle58971116[[#This Row],[Vollbenutzungsstunden h/a]]/Tabelle58971116[[#This Row],[Betriebsstunden p.a.]]</f>
        <v>0.67763157894736847</v>
      </c>
      <c r="Z5" s="19"/>
      <c r="AD5" s="1">
        <f>0.5/3600</f>
        <v>1.3888888888888889E-4</v>
      </c>
      <c r="AE5" s="1">
        <v>1</v>
      </c>
      <c r="AG5" s="1">
        <v>0</v>
      </c>
      <c r="AH5" s="1">
        <v>7</v>
      </c>
      <c r="AI5" s="1">
        <v>3</v>
      </c>
      <c r="AJ5" s="1">
        <v>7</v>
      </c>
      <c r="AT5" s="1">
        <v>156</v>
      </c>
      <c r="AU5" s="19">
        <f>167/10^3*Umrechnungsfaktoren!$B$15/Umrechnungsfaktoren!$B$12</f>
        <v>0.173346</v>
      </c>
      <c r="AV5" s="19">
        <f>1071/10^3*Umrechnungsfaktoren!$B$15/Umrechnungsfaktoren!$B$12</f>
        <v>1.1116979999999999</v>
      </c>
      <c r="AW5" s="19">
        <f>619/10^3*Umrechnungsfaktoren!$B$15/Umrechnungsfaktoren!$B$12</f>
        <v>0.64252200000000004</v>
      </c>
      <c r="AX5" s="1">
        <v>0</v>
      </c>
      <c r="AY5" s="8"/>
      <c r="AZ5" s="8"/>
      <c r="BA5" s="8"/>
      <c r="BB5" s="8">
        <f>0/10^3*Umrechnungsfaktoren!$B$15/Umrechnungsfaktoren!$B$12</f>
        <v>0</v>
      </c>
      <c r="BC5" s="8">
        <f>5500/10^3*Umrechnungsfaktoren!$B$15/Umrechnungsfaktoren!$B$12</f>
        <v>5.7089999999999996</v>
      </c>
      <c r="BD5" s="8">
        <f>2750/10^3*Umrechnungsfaktoren!$B$15/Umrechnungsfaktoren!$B$12</f>
        <v>2.8544999999999998</v>
      </c>
      <c r="BF5" s="1" t="s">
        <v>438</v>
      </c>
      <c r="BG5" s="1" t="s">
        <v>456</v>
      </c>
      <c r="BH5" s="1">
        <v>100</v>
      </c>
      <c r="BI5" s="1">
        <v>100</v>
      </c>
      <c r="BJ5" s="1" t="s">
        <v>439</v>
      </c>
      <c r="BK5" s="1" t="s">
        <v>439</v>
      </c>
      <c r="BN5" s="1" t="s">
        <v>421</v>
      </c>
      <c r="BS5" s="1" t="s">
        <v>437</v>
      </c>
      <c r="BT5" s="24"/>
      <c r="BU5" s="24"/>
      <c r="BV5" s="24"/>
      <c r="BW5" s="24">
        <v>129</v>
      </c>
      <c r="BX5" s="24">
        <v>130</v>
      </c>
      <c r="BY5" s="24">
        <v>130</v>
      </c>
      <c r="BZ5" s="24">
        <v>130</v>
      </c>
      <c r="CA5" s="24"/>
      <c r="CB5" s="24"/>
      <c r="CC5" s="24">
        <v>176</v>
      </c>
      <c r="CD5" s="24"/>
    </row>
    <row r="6" spans="1:82" x14ac:dyDescent="0.2">
      <c r="A6" s="1" t="s">
        <v>419</v>
      </c>
      <c r="B6" s="1" t="s">
        <v>129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/>
      <c r="J6" s="25"/>
      <c r="K6" s="25">
        <v>419</v>
      </c>
      <c r="L6" s="25"/>
      <c r="M6" s="25"/>
      <c r="N6" s="25">
        <v>0</v>
      </c>
      <c r="O6" s="25">
        <v>11</v>
      </c>
      <c r="P6" s="25"/>
      <c r="Q6" s="25"/>
      <c r="R6" s="25"/>
      <c r="S6" s="25"/>
      <c r="T6" s="26"/>
      <c r="U6" s="27"/>
      <c r="V6" s="50">
        <v>6490</v>
      </c>
      <c r="W6" s="50">
        <v>7850</v>
      </c>
      <c r="X6" s="9">
        <f>Tabelle58971116[[#This Row],[Vollbenutzungsstunden h/a]]/8760</f>
        <v>0.7408675799086758</v>
      </c>
      <c r="Y6" s="9">
        <f>Tabelle58971116[[#This Row],[Vollbenutzungsstunden h/a]]/Tabelle58971116[[#This Row],[Betriebsstunden p.a.]]</f>
        <v>0.82675159235668794</v>
      </c>
      <c r="Z6" s="26">
        <f>Tabelle58971116[[#This Row],[Durchschnittsauslastung]]*Tabelle58971116[[#This Row],[installierte Leistung MW]]</f>
        <v>636.59872611464971</v>
      </c>
      <c r="AA6" s="25"/>
      <c r="AB6" s="27"/>
      <c r="AC6" s="25">
        <v>770</v>
      </c>
      <c r="AD6" s="25">
        <f>5/60</f>
        <v>8.3333333333333329E-2</v>
      </c>
      <c r="AE6" s="25">
        <f>0.25</f>
        <v>0.25</v>
      </c>
      <c r="AF6" s="24"/>
      <c r="AG6" s="24"/>
      <c r="AH6" s="24"/>
      <c r="AI6" s="24">
        <v>16</v>
      </c>
      <c r="AJ6" s="24">
        <v>16</v>
      </c>
      <c r="AK6" s="24">
        <v>12</v>
      </c>
      <c r="AL6" s="24">
        <v>20</v>
      </c>
      <c r="AM6" s="24"/>
      <c r="AN6" s="24"/>
      <c r="AO6" s="24"/>
      <c r="AP6" s="24"/>
      <c r="AQ6" s="24"/>
      <c r="AR6" s="1" t="s">
        <v>443</v>
      </c>
      <c r="AS6" s="24"/>
      <c r="AT6" s="24">
        <f>AVERAGE(1492,580,91)</f>
        <v>721</v>
      </c>
      <c r="AU6" s="19">
        <f>0/10^3*Umrechnungsfaktoren!$B$15/Umrechnungsfaktoren!$B$12</f>
        <v>0</v>
      </c>
      <c r="AV6" s="19">
        <f>12500/10^3*Umrechnungsfaktoren!$B$15/Umrechnungsfaktoren!$B$12</f>
        <v>12.975</v>
      </c>
      <c r="AW6" s="19">
        <f>1505/10^3*Umrechnungsfaktoren!$B$15/Umrechnungsfaktoren!$B$12</f>
        <v>1.56219</v>
      </c>
      <c r="AX6" s="8">
        <f>6*Umrechnungsfaktoren!$B$15/Umrechnungsfaktoren!$B$12</f>
        <v>6.2279999999999998</v>
      </c>
      <c r="AY6" s="28"/>
      <c r="AZ6" s="28"/>
      <c r="BA6" s="28"/>
      <c r="BB6" s="19">
        <f>0/10^3*Umrechnungsfaktoren!$B$15/Umrechnungsfaktoren!$B$12</f>
        <v>0</v>
      </c>
      <c r="BC6" s="19">
        <f>22989/10^3*Umrechnungsfaktoren!$B$15/Umrechnungsfaktoren!$B$12</f>
        <v>23.862582</v>
      </c>
      <c r="BD6" s="19">
        <f>19157/10^3*Umrechnungsfaktoren!$B$15/Umrechnungsfaktoren!$B$12</f>
        <v>19.884965999999999</v>
      </c>
      <c r="BE6" s="24"/>
      <c r="BF6" s="1" t="s">
        <v>444</v>
      </c>
      <c r="BG6" s="1" t="s">
        <v>458</v>
      </c>
      <c r="BH6" s="1">
        <v>100</v>
      </c>
      <c r="BI6" s="1">
        <v>100</v>
      </c>
      <c r="BJ6" s="13" t="s">
        <v>442</v>
      </c>
      <c r="BK6" s="24">
        <v>143</v>
      </c>
      <c r="BL6" s="29"/>
      <c r="BM6" s="29"/>
      <c r="BN6" s="1" t="s">
        <v>421</v>
      </c>
      <c r="BO6" s="29"/>
      <c r="BP6" s="24"/>
      <c r="BQ6" s="29"/>
      <c r="BR6" s="29">
        <v>137</v>
      </c>
      <c r="BS6" s="1" t="s">
        <v>440</v>
      </c>
      <c r="BT6" s="24"/>
      <c r="BU6" s="24"/>
      <c r="BV6" s="1" t="s">
        <v>441</v>
      </c>
      <c r="BW6" s="24">
        <v>138</v>
      </c>
      <c r="BX6" s="24">
        <v>139</v>
      </c>
      <c r="BY6" s="24">
        <v>139</v>
      </c>
      <c r="BZ6" s="24">
        <v>139</v>
      </c>
      <c r="CA6" s="24"/>
      <c r="CB6" s="1" t="s">
        <v>445</v>
      </c>
      <c r="CC6" s="1">
        <v>176</v>
      </c>
      <c r="CD6" s="1" t="s">
        <v>446</v>
      </c>
    </row>
    <row r="7" spans="1:82" x14ac:dyDescent="0.2"/>
    <row r="8" spans="1:82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BQ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" sqref="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3" width="24.5703125" style="1" customWidth="1"/>
    <col min="14" max="14" width="24.42578125" style="1" bestFit="1" customWidth="1"/>
    <col min="15" max="19" width="24.42578125" style="1" customWidth="1"/>
    <col min="20" max="20" width="37.7109375" style="1" bestFit="1" customWidth="1"/>
    <col min="21" max="22" width="24.7109375" style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38.28515625" style="1" bestFit="1" customWidth="1"/>
    <col min="37" max="39" width="38.28515625" style="1" customWidth="1"/>
    <col min="40" max="40" width="38.28515625" style="1" bestFit="1" customWidth="1"/>
    <col min="41" max="42" width="38.28515625" style="1" customWidth="1"/>
    <col min="43" max="43" width="33.42578125" style="1" bestFit="1" customWidth="1"/>
    <col min="44" max="44" width="33.42578125" style="1" customWidth="1"/>
    <col min="45" max="45" width="25.7109375" style="1" bestFit="1" customWidth="1"/>
    <col min="46" max="46" width="25.7109375" style="1" customWidth="1"/>
    <col min="47" max="47" width="56.7109375" style="1" bestFit="1" customWidth="1"/>
    <col min="48" max="49" width="35.5703125" style="1" customWidth="1"/>
    <col min="50" max="50" width="31.7109375" style="1" bestFit="1" customWidth="1"/>
    <col min="51" max="51" width="31.5703125" style="1" bestFit="1" customWidth="1"/>
    <col min="52" max="56" width="31.5703125" style="1" customWidth="1"/>
    <col min="57" max="57" width="37.42578125" style="1" bestFit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7.85546875" style="1" bestFit="1" customWidth="1"/>
    <col min="62" max="62" width="34.42578125" style="1" bestFit="1" customWidth="1"/>
    <col min="63" max="63" width="38.140625" style="1" bestFit="1" customWidth="1"/>
    <col min="64" max="64" width="22.85546875" style="1" bestFit="1" customWidth="1"/>
    <col min="65" max="65" width="28.5703125" style="1" bestFit="1" customWidth="1"/>
    <col min="66" max="66" width="28.28515625" style="1" bestFit="1" customWidth="1"/>
    <col min="67" max="67" width="28.28515625" style="1" customWidth="1"/>
    <col min="68" max="68" width="31" style="1" bestFit="1" customWidth="1"/>
    <col min="69" max="69" width="28.85546875" style="1" bestFit="1" customWidth="1"/>
    <col min="70" max="16384" width="11.42578125" style="1"/>
  </cols>
  <sheetData>
    <row r="1" spans="1:69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844</v>
      </c>
      <c r="H1" s="2" t="s">
        <v>49</v>
      </c>
      <c r="I1" s="2" t="s">
        <v>149</v>
      </c>
      <c r="J1" s="2" t="s">
        <v>50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87</v>
      </c>
      <c r="R1" s="2" t="s">
        <v>332</v>
      </c>
      <c r="S1" s="2" t="s">
        <v>237</v>
      </c>
      <c r="T1" s="2" t="s">
        <v>116</v>
      </c>
      <c r="U1" s="2" t="s">
        <v>57</v>
      </c>
      <c r="V1" s="2" t="s">
        <v>123</v>
      </c>
      <c r="W1" s="2" t="s">
        <v>58</v>
      </c>
      <c r="X1" s="2" t="s">
        <v>9</v>
      </c>
      <c r="Y1" s="2" t="s">
        <v>431</v>
      </c>
      <c r="Z1" s="2" t="s">
        <v>227</v>
      </c>
      <c r="AA1" s="2" t="s">
        <v>159</v>
      </c>
      <c r="AB1" s="2" t="s">
        <v>229</v>
      </c>
      <c r="AC1" s="2" t="s">
        <v>230</v>
      </c>
      <c r="AD1" s="2" t="s">
        <v>160</v>
      </c>
      <c r="AE1" s="2" t="s">
        <v>216</v>
      </c>
      <c r="AF1" s="2" t="s">
        <v>217</v>
      </c>
      <c r="AG1" s="2" t="s">
        <v>3</v>
      </c>
      <c r="AH1" s="2" t="s">
        <v>10</v>
      </c>
      <c r="AI1" s="2" t="s">
        <v>16</v>
      </c>
      <c r="AJ1" s="2" t="s">
        <v>4</v>
      </c>
      <c r="AK1" s="2" t="s">
        <v>99</v>
      </c>
      <c r="AL1" s="2" t="s">
        <v>185</v>
      </c>
      <c r="AM1" s="2" t="s">
        <v>184</v>
      </c>
      <c r="AN1" s="2" t="s">
        <v>12</v>
      </c>
      <c r="AO1" s="2" t="s">
        <v>233</v>
      </c>
      <c r="AP1" s="2" t="s">
        <v>234</v>
      </c>
      <c r="AQ1" s="2" t="s">
        <v>232</v>
      </c>
      <c r="AR1" s="2" t="s">
        <v>334</v>
      </c>
      <c r="AS1" s="2" t="s">
        <v>335</v>
      </c>
      <c r="AT1" s="2" t="s">
        <v>147</v>
      </c>
      <c r="AU1" s="2" t="s">
        <v>22</v>
      </c>
      <c r="AV1" s="2" t="s">
        <v>164</v>
      </c>
      <c r="AW1" s="2" t="s">
        <v>165</v>
      </c>
      <c r="AX1" s="2" t="s">
        <v>1</v>
      </c>
      <c r="AY1" s="2" t="s">
        <v>2</v>
      </c>
      <c r="AZ1" s="2" t="s">
        <v>59</v>
      </c>
      <c r="BA1" s="2" t="s">
        <v>1161</v>
      </c>
      <c r="BB1" s="2" t="s">
        <v>238</v>
      </c>
      <c r="BC1" s="2" t="s">
        <v>117</v>
      </c>
      <c r="BD1" s="2" t="s">
        <v>60</v>
      </c>
      <c r="BE1" s="2" t="s">
        <v>61</v>
      </c>
      <c r="BF1" s="2" t="s">
        <v>98</v>
      </c>
      <c r="BG1" s="2" t="s">
        <v>5</v>
      </c>
      <c r="BH1" s="2" t="s">
        <v>6</v>
      </c>
      <c r="BI1" s="2" t="s">
        <v>17</v>
      </c>
      <c r="BJ1" s="2" t="s">
        <v>18</v>
      </c>
      <c r="BK1" s="2" t="s">
        <v>7</v>
      </c>
      <c r="BL1" s="2" t="s">
        <v>19</v>
      </c>
      <c r="BM1" s="2" t="s">
        <v>20</v>
      </c>
      <c r="BN1" s="2" t="s">
        <v>21</v>
      </c>
      <c r="BO1" s="2" t="s">
        <v>148</v>
      </c>
      <c r="BP1" s="2" t="s">
        <v>23</v>
      </c>
      <c r="BQ1" s="2" t="s">
        <v>51</v>
      </c>
    </row>
    <row r="2" spans="1:69" x14ac:dyDescent="0.2">
      <c r="A2" s="1" t="s">
        <v>840</v>
      </c>
      <c r="B2" s="1" t="s">
        <v>142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J2" s="1">
        <f>75+43</f>
        <v>118</v>
      </c>
      <c r="L2" s="1">
        <f>44+29</f>
        <v>73</v>
      </c>
      <c r="N2" s="1">
        <f>197+190</f>
        <v>387</v>
      </c>
      <c r="AV2" s="1">
        <v>15</v>
      </c>
      <c r="AX2" s="1">
        <v>19</v>
      </c>
      <c r="AY2" s="1">
        <v>19</v>
      </c>
    </row>
    <row r="3" spans="1:69" x14ac:dyDescent="0.2">
      <c r="A3" s="1" t="s">
        <v>840</v>
      </c>
      <c r="B3" s="1" t="s">
        <v>142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J3" s="1">
        <f>316+551</f>
        <v>867</v>
      </c>
      <c r="L3" s="1">
        <f>109+44</f>
        <v>153</v>
      </c>
      <c r="N3" s="1">
        <f>205+195</f>
        <v>400</v>
      </c>
      <c r="AV3" s="1">
        <v>15</v>
      </c>
      <c r="AX3" s="1">
        <v>19</v>
      </c>
      <c r="AY3" s="1">
        <v>19</v>
      </c>
    </row>
    <row r="4" spans="1:69" x14ac:dyDescent="0.2">
      <c r="A4" s="1" t="s">
        <v>137</v>
      </c>
      <c r="B4" s="33" t="s">
        <v>142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34"/>
      <c r="K4" s="34"/>
      <c r="L4" s="63"/>
      <c r="M4" s="59"/>
      <c r="N4" s="63"/>
      <c r="O4" s="59"/>
      <c r="P4" s="60"/>
      <c r="Q4" s="61"/>
      <c r="R4" s="62"/>
      <c r="S4" s="61"/>
      <c r="T4" s="60"/>
      <c r="U4" s="59"/>
      <c r="V4" s="62"/>
      <c r="W4" s="59"/>
      <c r="X4" s="63"/>
      <c r="Y4" s="63">
        <v>1</v>
      </c>
      <c r="Z4" s="63">
        <v>2</v>
      </c>
      <c r="AA4" s="58"/>
      <c r="AB4" s="58"/>
      <c r="AC4" s="58"/>
      <c r="AD4" s="33"/>
      <c r="AE4" s="33"/>
      <c r="AF4" s="33"/>
      <c r="AG4" s="33"/>
      <c r="AH4" s="33"/>
      <c r="AI4" s="1" t="s">
        <v>841</v>
      </c>
      <c r="AJ4" s="33"/>
      <c r="AK4" s="33"/>
      <c r="AL4" s="34"/>
      <c r="AM4" s="34"/>
      <c r="AN4" s="34"/>
      <c r="AO4" s="37"/>
      <c r="AP4" s="37"/>
      <c r="AQ4" s="37"/>
      <c r="AR4" s="37"/>
      <c r="AS4" s="37"/>
      <c r="AT4" s="33"/>
      <c r="AU4" s="33"/>
      <c r="AV4" s="1" t="s">
        <v>842</v>
      </c>
      <c r="AW4" s="33"/>
      <c r="AX4" s="38">
        <v>22</v>
      </c>
      <c r="AY4" s="33">
        <v>22</v>
      </c>
      <c r="AZ4" s="38"/>
      <c r="BA4" s="38"/>
      <c r="BB4" s="38"/>
      <c r="BC4" s="38"/>
      <c r="BD4" s="33"/>
      <c r="BE4" s="38"/>
      <c r="BF4" s="38"/>
      <c r="BG4" s="1" t="s">
        <v>464</v>
      </c>
      <c r="BH4" s="33"/>
      <c r="BI4" s="33"/>
      <c r="BJ4" s="1" t="s">
        <v>464</v>
      </c>
      <c r="BK4" s="33"/>
      <c r="BL4" s="33"/>
      <c r="BM4" s="33"/>
      <c r="BN4" s="33"/>
      <c r="BO4" s="33"/>
      <c r="BP4" s="33"/>
      <c r="BQ4" s="33"/>
    </row>
    <row r="5" spans="1:69" x14ac:dyDescent="0.2">
      <c r="A5" s="58" t="s">
        <v>153</v>
      </c>
      <c r="B5" s="58" t="s">
        <v>142</v>
      </c>
      <c r="C5" s="58">
        <v>2015</v>
      </c>
      <c r="D5" s="1">
        <v>1</v>
      </c>
      <c r="E5" s="1">
        <v>0</v>
      </c>
      <c r="F5" s="1">
        <v>0</v>
      </c>
      <c r="H5" s="59"/>
      <c r="I5" s="59"/>
      <c r="J5" s="59">
        <v>2316</v>
      </c>
      <c r="K5" s="59"/>
      <c r="L5" s="63"/>
      <c r="M5" s="59"/>
      <c r="N5" s="63"/>
      <c r="O5" s="59"/>
      <c r="P5" s="60"/>
      <c r="Q5" s="61"/>
      <c r="R5" s="62"/>
      <c r="S5" s="61"/>
      <c r="T5" s="60"/>
      <c r="U5" s="59"/>
      <c r="V5" s="62"/>
      <c r="W5" s="59"/>
      <c r="X5" s="63"/>
      <c r="Y5" s="63"/>
      <c r="Z5" s="63"/>
      <c r="AA5" s="58"/>
      <c r="AB5" s="58"/>
      <c r="AC5" s="58"/>
      <c r="AD5" s="58"/>
      <c r="AE5" s="58"/>
      <c r="AF5" s="58"/>
      <c r="AG5" s="58"/>
      <c r="AH5" s="58"/>
      <c r="AI5" s="58" t="s">
        <v>843</v>
      </c>
      <c r="AJ5" s="58"/>
      <c r="AK5" s="58"/>
      <c r="AL5" s="59"/>
      <c r="AM5" s="59"/>
      <c r="AN5" s="59"/>
      <c r="AO5" s="64"/>
      <c r="AP5" s="64"/>
      <c r="AQ5" s="64"/>
      <c r="AR5" s="64"/>
      <c r="AS5" s="64"/>
      <c r="AT5" s="58"/>
      <c r="AU5" s="58"/>
      <c r="AV5" s="58">
        <v>15</v>
      </c>
      <c r="AW5" s="58"/>
      <c r="AX5" s="65">
        <v>23</v>
      </c>
      <c r="AY5" s="58"/>
      <c r="AZ5" s="65"/>
      <c r="BA5" s="65"/>
      <c r="BB5" s="65"/>
      <c r="BC5" s="65"/>
      <c r="BD5" s="58"/>
      <c r="BE5" s="65"/>
      <c r="BF5" s="65"/>
      <c r="BG5" s="58"/>
      <c r="BH5" s="58"/>
      <c r="BI5" s="58"/>
      <c r="BJ5" s="58">
        <v>23</v>
      </c>
      <c r="BK5" s="58"/>
      <c r="BL5" s="58"/>
      <c r="BM5" s="58"/>
      <c r="BN5" s="58"/>
      <c r="BO5" s="58"/>
      <c r="BP5" s="58"/>
      <c r="BQ5" s="58"/>
    </row>
    <row r="6" spans="1:69" x14ac:dyDescent="0.2">
      <c r="A6" s="58" t="s">
        <v>367</v>
      </c>
      <c r="B6" s="58" t="s">
        <v>142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59"/>
      <c r="K6" s="59"/>
      <c r="L6" s="63"/>
      <c r="M6" s="59"/>
      <c r="N6" s="63"/>
      <c r="O6" s="59"/>
      <c r="P6" s="60"/>
      <c r="Q6" s="61"/>
      <c r="R6" s="62"/>
      <c r="S6" s="61"/>
      <c r="T6" s="60"/>
      <c r="U6" s="59"/>
      <c r="V6" s="62"/>
      <c r="W6" s="59"/>
      <c r="X6" s="63"/>
      <c r="Y6" s="63"/>
      <c r="Z6" s="63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9"/>
      <c r="AM6" s="59"/>
      <c r="AN6" s="59"/>
      <c r="AO6" s="64"/>
      <c r="AP6" s="64"/>
      <c r="AQ6" s="64"/>
      <c r="AR6" s="64"/>
      <c r="AS6" s="64"/>
      <c r="AT6" s="58"/>
      <c r="AU6" s="58"/>
      <c r="AV6" s="58"/>
      <c r="AW6" s="58"/>
      <c r="AX6" s="65"/>
      <c r="AY6" s="58"/>
      <c r="AZ6" s="65"/>
      <c r="BA6" s="65"/>
      <c r="BB6" s="65"/>
      <c r="BC6" s="65"/>
      <c r="BD6" s="58"/>
      <c r="BE6" s="65"/>
      <c r="BF6" s="65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</row>
    <row r="7" spans="1:69" x14ac:dyDescent="0.2">
      <c r="A7" s="58" t="s">
        <v>141</v>
      </c>
      <c r="B7" s="58" t="s">
        <v>142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/>
      <c r="J7" s="59">
        <v>6000</v>
      </c>
      <c r="K7" s="59"/>
      <c r="L7" s="63"/>
      <c r="M7" s="59"/>
      <c r="N7" s="63">
        <v>26000</v>
      </c>
      <c r="O7" s="59"/>
      <c r="P7" s="60"/>
      <c r="Q7" s="61"/>
      <c r="R7" s="62"/>
      <c r="S7" s="61"/>
      <c r="T7" s="60"/>
      <c r="U7" s="59"/>
      <c r="V7" s="62"/>
      <c r="W7" s="59"/>
      <c r="X7" s="63"/>
      <c r="Y7" s="63"/>
      <c r="Z7" s="63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9"/>
      <c r="AM7" s="59"/>
      <c r="AN7" s="59"/>
      <c r="AO7" s="64"/>
      <c r="AP7" s="64"/>
      <c r="AQ7" s="64"/>
      <c r="AR7" s="64"/>
      <c r="AS7" s="64"/>
      <c r="AT7" s="58"/>
      <c r="AU7" s="58"/>
      <c r="AV7" s="58"/>
      <c r="AW7" s="58"/>
      <c r="AX7" s="65">
        <v>27</v>
      </c>
      <c r="AY7" s="58">
        <v>27</v>
      </c>
      <c r="AZ7" s="65"/>
      <c r="BA7" s="65"/>
      <c r="BB7" s="65"/>
      <c r="BC7" s="65"/>
      <c r="BD7" s="58"/>
      <c r="BE7" s="65"/>
      <c r="BF7" s="65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Q45"/>
  <sheetViews>
    <sheetView zoomScale="90" zoomScaleNormal="90" workbookViewId="0">
      <pane xSplit="6" ySplit="1" topLeftCell="AG2" activePane="bottomRight" state="frozen"/>
      <selection pane="topRight" activeCell="G1" sqref="G1"/>
      <selection pane="bottomLeft" activeCell="A2" sqref="A2"/>
      <selection pane="bottomRight" activeCell="AL14" sqref="AL14:AL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3" width="24.5703125" style="1" customWidth="1"/>
    <col min="14" max="14" width="24.42578125" style="1" bestFit="1" customWidth="1"/>
    <col min="15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bestFit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7.85546875" style="1" bestFit="1" customWidth="1"/>
    <col min="62" max="62" width="34.42578125" style="1" bestFit="1" customWidth="1"/>
    <col min="63" max="63" width="38.140625" style="1" bestFit="1" customWidth="1"/>
    <col min="64" max="64" width="22.85546875" style="1" bestFit="1" customWidth="1"/>
    <col min="65" max="65" width="28.5703125" style="1" bestFit="1" customWidth="1"/>
    <col min="66" max="66" width="28.28515625" style="1" bestFit="1" customWidth="1"/>
    <col min="67" max="67" width="28.28515625" style="1" customWidth="1"/>
    <col min="68" max="68" width="31" style="1" bestFit="1" customWidth="1"/>
    <col min="69" max="69" width="28.85546875" style="1" bestFit="1" customWidth="1"/>
    <col min="70" max="16384" width="11.42578125" style="1"/>
  </cols>
  <sheetData>
    <row r="1" spans="1:69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548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1152</v>
      </c>
      <c r="R1" s="2" t="s">
        <v>562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1170</v>
      </c>
      <c r="AB1" s="2" t="s">
        <v>1171</v>
      </c>
      <c r="AC1" s="2" t="s">
        <v>229</v>
      </c>
      <c r="AD1" s="2" t="s">
        <v>230</v>
      </c>
      <c r="AE1" s="2" t="s">
        <v>160</v>
      </c>
      <c r="AF1" s="2" t="s">
        <v>216</v>
      </c>
      <c r="AG1" s="2" t="s">
        <v>217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1167</v>
      </c>
      <c r="AQ1" s="2" t="s">
        <v>1168</v>
      </c>
      <c r="AR1" s="2" t="s">
        <v>232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1161</v>
      </c>
      <c r="BC1" s="2" t="s">
        <v>117</v>
      </c>
      <c r="BD1" s="2" t="s">
        <v>60</v>
      </c>
      <c r="BE1" s="2" t="s">
        <v>61</v>
      </c>
      <c r="BF1" s="2" t="s">
        <v>98</v>
      </c>
      <c r="BG1" s="2" t="s">
        <v>5</v>
      </c>
      <c r="BH1" s="2" t="s">
        <v>6</v>
      </c>
      <c r="BI1" s="2" t="s">
        <v>17</v>
      </c>
      <c r="BJ1" s="2" t="s">
        <v>18</v>
      </c>
      <c r="BK1" s="2" t="s">
        <v>7</v>
      </c>
      <c r="BL1" s="2" t="s">
        <v>19</v>
      </c>
      <c r="BM1" s="2" t="s">
        <v>20</v>
      </c>
      <c r="BN1" s="2" t="s">
        <v>21</v>
      </c>
      <c r="BO1" s="2" t="s">
        <v>148</v>
      </c>
      <c r="BP1" s="2" t="s">
        <v>23</v>
      </c>
      <c r="BQ1" s="2" t="s">
        <v>51</v>
      </c>
    </row>
    <row r="2" spans="1:69" x14ac:dyDescent="0.2">
      <c r="A2" s="6" t="s">
        <v>141</v>
      </c>
      <c r="B2" s="1" t="s">
        <v>142</v>
      </c>
      <c r="C2" s="1">
        <v>2010</v>
      </c>
      <c r="D2" s="1">
        <v>1</v>
      </c>
      <c r="E2" s="1">
        <v>0</v>
      </c>
      <c r="F2" s="1">
        <v>0</v>
      </c>
      <c r="G2" s="19"/>
      <c r="H2" s="19">
        <v>2000</v>
      </c>
      <c r="I2" s="19">
        <v>5864</v>
      </c>
      <c r="J2" s="19"/>
      <c r="K2" s="19"/>
      <c r="L2" s="19"/>
      <c r="M2" s="19">
        <v>21000</v>
      </c>
      <c r="N2" s="19">
        <v>25692</v>
      </c>
      <c r="O2" s="19"/>
      <c r="P2" s="20"/>
      <c r="Q2" s="20"/>
      <c r="R2" s="9"/>
      <c r="S2" s="20"/>
      <c r="T2" s="19"/>
      <c r="U2" s="9"/>
      <c r="V2" s="19">
        <v>35000</v>
      </c>
      <c r="AM2" s="19">
        <f>2*Umrechnungsfaktoren!$B$15/Umrechnungsfaktoren!$B$7</f>
        <v>2.2274678111587982</v>
      </c>
      <c r="AN2" s="19">
        <f>42*Umrechnungsfaktoren!$B$15/Umrechnungsfaktoren!$B$7</f>
        <v>46.776824034334759</v>
      </c>
      <c r="AO2" s="8">
        <f>38*Umrechnungsfaktoren!$B$15/Umrechnungsfaktoren!$B$7</f>
        <v>42.321888412017167</v>
      </c>
      <c r="AP2" s="8"/>
      <c r="AQ2" s="8"/>
      <c r="AR2" s="8">
        <f>1*Umrechnungsfaktoren!$B$15/Umrechnungsfaktoren!$B$7</f>
        <v>1.1137339055793991</v>
      </c>
      <c r="AS2" s="8">
        <v>0</v>
      </c>
      <c r="AT2" s="8">
        <f>25.4*Umrechnungsfaktoren!$B$15/Umrechnungsfaktoren!$B$7</f>
        <v>28.288841201716735</v>
      </c>
      <c r="AV2" s="1" t="s">
        <v>152</v>
      </c>
      <c r="AW2" s="1">
        <v>427</v>
      </c>
      <c r="AX2" s="1">
        <v>427</v>
      </c>
      <c r="AY2" s="13">
        <v>414</v>
      </c>
      <c r="AZ2" s="13">
        <v>414</v>
      </c>
      <c r="BA2" s="13"/>
      <c r="BB2" s="13"/>
      <c r="BC2" s="13"/>
      <c r="BD2" s="13"/>
      <c r="BE2" s="13">
        <v>414</v>
      </c>
      <c r="BF2" s="13"/>
      <c r="BG2" s="13"/>
      <c r="BK2" s="13"/>
      <c r="BL2" s="1" t="s">
        <v>235</v>
      </c>
      <c r="BM2" s="1" t="s">
        <v>231</v>
      </c>
      <c r="BN2" s="13" t="s">
        <v>231</v>
      </c>
    </row>
    <row r="3" spans="1:69" x14ac:dyDescent="0.2">
      <c r="A3" s="1" t="s">
        <v>141</v>
      </c>
      <c r="B3" s="1" t="s">
        <v>142</v>
      </c>
      <c r="C3" s="1">
        <v>2020</v>
      </c>
      <c r="D3" s="1">
        <v>1</v>
      </c>
      <c r="E3" s="1">
        <v>0</v>
      </c>
      <c r="F3" s="1">
        <v>0</v>
      </c>
      <c r="G3" s="19"/>
      <c r="H3" s="19">
        <v>2000</v>
      </c>
      <c r="I3" s="19">
        <v>5864</v>
      </c>
      <c r="J3" s="19"/>
      <c r="K3" s="19"/>
      <c r="L3" s="19"/>
      <c r="M3" s="19">
        <v>21000</v>
      </c>
      <c r="N3" s="19">
        <v>25692</v>
      </c>
      <c r="O3" s="19"/>
      <c r="P3" s="20"/>
      <c r="Q3" s="20"/>
      <c r="R3" s="9"/>
      <c r="S3" s="20"/>
      <c r="T3" s="19"/>
      <c r="U3" s="9"/>
      <c r="V3" s="19">
        <v>35000</v>
      </c>
      <c r="AM3" s="19"/>
      <c r="AN3" s="19">
        <f>1*Umrechnungsfaktoren!$B$15/Umrechnungsfaktoren!$B$7</f>
        <v>1.1137339055793991</v>
      </c>
      <c r="AO3" s="8">
        <f>13*Umrechnungsfaktoren!$B$15/Umrechnungsfaktoren!$B$7</f>
        <v>14.478540772532188</v>
      </c>
      <c r="AP3" s="8"/>
      <c r="AQ3" s="8"/>
      <c r="AR3" s="8">
        <f>1*Umrechnungsfaktoren!$B$15/Umrechnungsfaktoren!$B$7</f>
        <v>1.1137339055793991</v>
      </c>
      <c r="AS3" s="8">
        <v>0</v>
      </c>
      <c r="AT3" s="8">
        <f>25.4*Umrechnungsfaktoren!$B$15/Umrechnungsfaktoren!$B$7</f>
        <v>28.288841201716735</v>
      </c>
      <c r="AV3" s="1" t="s">
        <v>152</v>
      </c>
      <c r="AW3" s="1">
        <v>427</v>
      </c>
      <c r="AX3" s="1">
        <v>427</v>
      </c>
      <c r="AY3" s="13">
        <v>414</v>
      </c>
      <c r="AZ3" s="13">
        <v>414</v>
      </c>
      <c r="BA3" s="13"/>
      <c r="BB3" s="13"/>
      <c r="BC3" s="13"/>
      <c r="BD3" s="13"/>
      <c r="BE3" s="13">
        <v>414</v>
      </c>
      <c r="BF3" s="13"/>
      <c r="BG3" s="13"/>
      <c r="BK3" s="13"/>
      <c r="BL3" s="1" t="s">
        <v>235</v>
      </c>
      <c r="BM3" s="1" t="s">
        <v>231</v>
      </c>
      <c r="BN3" s="13" t="s">
        <v>231</v>
      </c>
      <c r="BQ3" s="1" t="s">
        <v>182</v>
      </c>
    </row>
    <row r="4" spans="1:69" x14ac:dyDescent="0.2">
      <c r="A4" s="6" t="s">
        <v>153</v>
      </c>
      <c r="B4" s="1" t="s">
        <v>142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/>
      <c r="J4" s="19">
        <v>2316</v>
      </c>
      <c r="K4" s="19"/>
      <c r="L4" s="19"/>
      <c r="M4" s="19"/>
      <c r="N4" s="19"/>
      <c r="O4" s="19"/>
      <c r="P4" s="20"/>
      <c r="Q4" s="20"/>
      <c r="R4" s="9"/>
      <c r="S4" s="20"/>
      <c r="T4" s="19"/>
      <c r="U4" s="9"/>
      <c r="V4" s="19"/>
      <c r="AM4" s="19">
        <f>779*Umrechnungsfaktoren!$B$15/Umrechnungsfaktoren!$B$7</f>
        <v>867.5987124463519</v>
      </c>
      <c r="AN4" s="19">
        <f>3850*Umrechnungsfaktoren!$B$15/Umrechnungsfaktoren!$B$7</f>
        <v>4287.8755364806866</v>
      </c>
      <c r="AO4" s="8">
        <f>7070*Umrechnungsfaktoren!$B$15/Umrechnungsfaktoren!$B$7</f>
        <v>7874.0987124463509</v>
      </c>
      <c r="AP4" s="8"/>
      <c r="AQ4" s="8"/>
      <c r="AR4" s="8">
        <f>1*Umrechnungsfaktoren!$B$15/Umrechnungsfaktoren!$B$7</f>
        <v>1.1137339055793991</v>
      </c>
      <c r="AS4" s="8">
        <v>0</v>
      </c>
      <c r="AT4" s="8">
        <f>68*Umrechnungsfaktoren!$B$15/Umrechnungsfaktoren!$B$7</f>
        <v>75.733905579399135</v>
      </c>
      <c r="AV4" s="1" t="s">
        <v>154</v>
      </c>
      <c r="AW4" s="1">
        <v>427</v>
      </c>
      <c r="AX4" s="13" t="s">
        <v>181</v>
      </c>
      <c r="AY4" s="13">
        <v>415</v>
      </c>
      <c r="AZ4" s="13"/>
      <c r="BA4" s="13"/>
      <c r="BB4" s="13"/>
      <c r="BC4" s="13"/>
      <c r="BE4" s="13"/>
      <c r="BF4" s="13"/>
      <c r="BL4" s="1" t="s">
        <v>235</v>
      </c>
      <c r="BM4" s="1" t="s">
        <v>231</v>
      </c>
      <c r="BN4" s="13" t="s">
        <v>231</v>
      </c>
    </row>
    <row r="5" spans="1:69" x14ac:dyDescent="0.2">
      <c r="A5" s="1" t="s">
        <v>153</v>
      </c>
      <c r="B5" s="1" t="s">
        <v>142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/>
      <c r="J5" s="19">
        <v>2316</v>
      </c>
      <c r="K5" s="19"/>
      <c r="L5" s="19"/>
      <c r="M5" s="19"/>
      <c r="N5" s="19"/>
      <c r="O5" s="19"/>
      <c r="P5" s="20"/>
      <c r="Q5" s="20"/>
      <c r="R5" s="9"/>
      <c r="S5" s="20"/>
      <c r="T5" s="19"/>
      <c r="U5" s="9"/>
      <c r="V5" s="19"/>
      <c r="AM5" s="19">
        <f>16*Umrechnungsfaktoren!$B$15/Umrechnungsfaktoren!$B$7</f>
        <v>17.819742489270386</v>
      </c>
      <c r="AN5" s="19">
        <f>77*Umrechnungsfaktoren!$B$15/Umrechnungsfaktoren!$B$7</f>
        <v>85.757510729613728</v>
      </c>
      <c r="AO5" s="8">
        <f>2360*Umrechnungsfaktoren!$B$15/Umrechnungsfaktoren!$B$7</f>
        <v>2628.4120171673817</v>
      </c>
      <c r="AP5" s="8"/>
      <c r="AQ5" s="8"/>
      <c r="AR5" s="8">
        <f>1*Umrechnungsfaktoren!$B$15/Umrechnungsfaktoren!$B$7</f>
        <v>1.1137339055793991</v>
      </c>
      <c r="AS5" s="8">
        <v>0</v>
      </c>
      <c r="AT5" s="8">
        <f>68*Umrechnungsfaktoren!$B$15/Umrechnungsfaktoren!$B$7</f>
        <v>75.733905579399135</v>
      </c>
      <c r="AV5" s="1" t="s">
        <v>154</v>
      </c>
      <c r="AW5" s="1">
        <v>427</v>
      </c>
      <c r="AX5" s="13" t="s">
        <v>181</v>
      </c>
      <c r="AY5" s="13">
        <v>415</v>
      </c>
      <c r="AZ5" s="13"/>
      <c r="BA5" s="13"/>
      <c r="BB5" s="13"/>
      <c r="BC5" s="13"/>
      <c r="BE5" s="13"/>
      <c r="BF5" s="13"/>
      <c r="BL5" s="1" t="s">
        <v>235</v>
      </c>
      <c r="BM5" s="1">
        <v>530</v>
      </c>
      <c r="BN5" s="13">
        <v>530</v>
      </c>
      <c r="BQ5" s="1" t="s">
        <v>182</v>
      </c>
    </row>
    <row r="6" spans="1:69" x14ac:dyDescent="0.2">
      <c r="A6" s="6" t="s">
        <v>137</v>
      </c>
      <c r="B6" s="1" t="s">
        <v>142</v>
      </c>
      <c r="C6" s="1">
        <v>2010</v>
      </c>
      <c r="D6" s="1">
        <v>1</v>
      </c>
      <c r="E6" s="1">
        <v>0</v>
      </c>
      <c r="F6" s="1">
        <v>0</v>
      </c>
      <c r="G6" s="19"/>
      <c r="H6" s="19"/>
      <c r="I6" s="19">
        <v>722</v>
      </c>
      <c r="J6" s="19"/>
      <c r="K6" s="19"/>
      <c r="L6" s="19"/>
      <c r="M6" s="19"/>
      <c r="N6" s="19">
        <v>1333</v>
      </c>
      <c r="O6" s="19"/>
      <c r="P6" s="20"/>
      <c r="Q6" s="20"/>
      <c r="R6" s="9"/>
      <c r="S6" s="20"/>
      <c r="T6" s="19"/>
      <c r="U6" s="9"/>
      <c r="V6" s="19">
        <v>4100</v>
      </c>
      <c r="AM6" s="19">
        <f>8*Umrechnungsfaktoren!$B$15/Umrechnungsfaktoren!$B$7</f>
        <v>8.9098712446351929</v>
      </c>
      <c r="AN6" s="19">
        <f>153*Umrechnungsfaktoren!$B$15/Umrechnungsfaktoren!$B$7</f>
        <v>170.40128755364805</v>
      </c>
      <c r="AO6" s="8"/>
      <c r="AP6" s="8"/>
      <c r="AQ6" s="8"/>
      <c r="AR6" s="8"/>
      <c r="AS6" s="8">
        <v>0</v>
      </c>
      <c r="AT6" s="8"/>
      <c r="AW6" s="1">
        <v>427</v>
      </c>
      <c r="AX6" s="1">
        <v>427</v>
      </c>
      <c r="AY6" s="13">
        <v>415</v>
      </c>
      <c r="AZ6" s="13">
        <v>415</v>
      </c>
      <c r="BA6" s="13"/>
      <c r="BB6" s="13"/>
      <c r="BC6" s="13"/>
      <c r="BE6" s="13">
        <v>415</v>
      </c>
      <c r="BF6" s="13"/>
      <c r="BL6" s="1" t="s">
        <v>235</v>
      </c>
      <c r="BM6" s="1">
        <v>530</v>
      </c>
      <c r="BN6" s="13">
        <v>530</v>
      </c>
    </row>
    <row r="7" spans="1:69" x14ac:dyDescent="0.2">
      <c r="A7" s="1" t="s">
        <v>137</v>
      </c>
      <c r="B7" s="1" t="s">
        <v>142</v>
      </c>
      <c r="C7" s="1">
        <v>2020</v>
      </c>
      <c r="D7" s="1">
        <v>1</v>
      </c>
      <c r="E7" s="1">
        <v>0</v>
      </c>
      <c r="F7" s="1">
        <v>0</v>
      </c>
      <c r="G7" s="19"/>
      <c r="H7" s="19"/>
      <c r="I7" s="19">
        <f>I6*Tabelle589[[#This Row],[installierte Leistung MW]]/V6</f>
        <v>2817.560975609756</v>
      </c>
      <c r="J7" s="19"/>
      <c r="K7" s="19"/>
      <c r="L7" s="19"/>
      <c r="M7" s="19"/>
      <c r="N7" s="19">
        <f>N6*Tabelle589[[#This Row],[installierte Leistung MW]]/V6</f>
        <v>5201.9512195121952</v>
      </c>
      <c r="O7" s="19"/>
      <c r="P7" s="20"/>
      <c r="Q7" s="20"/>
      <c r="R7" s="9"/>
      <c r="S7" s="20"/>
      <c r="T7" s="19"/>
      <c r="U7" s="9"/>
      <c r="V7" s="19">
        <v>16000</v>
      </c>
      <c r="AM7" s="19">
        <f>1*Umrechnungsfaktoren!$B$15/Umrechnungsfaktoren!$B$7</f>
        <v>1.1137339055793991</v>
      </c>
      <c r="AN7" s="19">
        <f>4*Umrechnungsfaktoren!$B$15/Umrechnungsfaktoren!$B$7</f>
        <v>4.4549356223175964</v>
      </c>
      <c r="AO7" s="8"/>
      <c r="AP7" s="8"/>
      <c r="AQ7" s="8"/>
      <c r="AR7" s="8"/>
      <c r="AS7" s="8">
        <v>0</v>
      </c>
      <c r="AT7" s="8"/>
      <c r="AW7" s="1">
        <v>427</v>
      </c>
      <c r="AX7" s="1">
        <v>427</v>
      </c>
      <c r="AY7" s="13" t="s">
        <v>155</v>
      </c>
      <c r="AZ7" s="13" t="s">
        <v>155</v>
      </c>
      <c r="BA7" s="13"/>
      <c r="BB7" s="13"/>
      <c r="BC7" s="13"/>
      <c r="BE7" s="13">
        <v>415</v>
      </c>
      <c r="BF7" s="13"/>
      <c r="BL7" s="1" t="s">
        <v>235</v>
      </c>
      <c r="BM7" s="1" t="s">
        <v>231</v>
      </c>
      <c r="BN7" s="13" t="s">
        <v>231</v>
      </c>
      <c r="BQ7" s="1" t="s">
        <v>183</v>
      </c>
    </row>
    <row r="8" spans="1:69" x14ac:dyDescent="0.2">
      <c r="A8" s="6" t="s">
        <v>138</v>
      </c>
      <c r="B8" s="1" t="s">
        <v>142</v>
      </c>
      <c r="C8" s="1">
        <v>2010</v>
      </c>
      <c r="D8" s="1">
        <v>1</v>
      </c>
      <c r="E8" s="1">
        <v>0</v>
      </c>
      <c r="F8" s="1">
        <v>0</v>
      </c>
      <c r="G8" s="19"/>
      <c r="H8" s="19">
        <v>449</v>
      </c>
      <c r="I8" s="19"/>
      <c r="J8" s="19"/>
      <c r="K8" s="19"/>
      <c r="L8" s="19"/>
      <c r="M8" s="19">
        <v>2024</v>
      </c>
      <c r="N8" s="19"/>
      <c r="O8" s="19"/>
      <c r="P8" s="20"/>
      <c r="Q8" s="20"/>
      <c r="R8" s="9"/>
      <c r="S8" s="20"/>
      <c r="T8" s="19"/>
      <c r="U8" s="9"/>
      <c r="V8" s="19">
        <v>11000</v>
      </c>
      <c r="AH8" s="1">
        <v>24</v>
      </c>
      <c r="AM8" s="19">
        <f>24*Umrechnungsfaktoren!$B$15/Umrechnungsfaktoren!$B$7</f>
        <v>26.729613733905577</v>
      </c>
      <c r="AN8" s="19">
        <f>475</f>
        <v>475</v>
      </c>
      <c r="AO8" s="8">
        <f>450*Umrechnungsfaktoren!$B$15/Umrechnungsfaktoren!$B$7</f>
        <v>501.18025751072958</v>
      </c>
      <c r="AP8" s="8"/>
      <c r="AQ8" s="8"/>
      <c r="AR8" s="8">
        <f>1*Umrechnungsfaktoren!$B$15/Umrechnungsfaktoren!$B$7</f>
        <v>1.1137339055793991</v>
      </c>
      <c r="AS8" s="8">
        <v>0</v>
      </c>
      <c r="AT8" s="8">
        <f>53.7*Umrechnungsfaktoren!$B$15/Umrechnungsfaktoren!$B$7</f>
        <v>59.807510729613732</v>
      </c>
      <c r="AW8" s="1">
        <v>427</v>
      </c>
      <c r="AX8" s="1">
        <v>427</v>
      </c>
      <c r="AY8" s="13">
        <v>416</v>
      </c>
      <c r="AZ8" s="1">
        <v>416</v>
      </c>
      <c r="BA8" s="13"/>
      <c r="BB8" s="13"/>
      <c r="BC8" s="13"/>
      <c r="BE8" s="13">
        <v>416</v>
      </c>
      <c r="BF8" s="13"/>
      <c r="BH8" s="1">
        <v>416</v>
      </c>
      <c r="BL8" s="1" t="s">
        <v>235</v>
      </c>
      <c r="BM8" s="1" t="s">
        <v>231</v>
      </c>
      <c r="BN8" s="13" t="s">
        <v>231</v>
      </c>
    </row>
    <row r="9" spans="1:69" x14ac:dyDescent="0.2">
      <c r="A9" s="1" t="s">
        <v>138</v>
      </c>
      <c r="B9" s="1" t="s">
        <v>142</v>
      </c>
      <c r="C9" s="1">
        <v>2020</v>
      </c>
      <c r="D9" s="1">
        <v>1</v>
      </c>
      <c r="E9" s="1">
        <v>0</v>
      </c>
      <c r="F9" s="1">
        <v>0</v>
      </c>
      <c r="G9" s="19"/>
      <c r="H9" s="19">
        <v>449</v>
      </c>
      <c r="I9" s="19"/>
      <c r="J9" s="19"/>
      <c r="K9" s="19"/>
      <c r="L9" s="19"/>
      <c r="M9" s="19">
        <v>2024</v>
      </c>
      <c r="N9" s="19"/>
      <c r="O9" s="19"/>
      <c r="P9" s="20"/>
      <c r="Q9" s="20"/>
      <c r="R9" s="9"/>
      <c r="S9" s="20"/>
      <c r="T9" s="19"/>
      <c r="U9" s="9"/>
      <c r="V9" s="19">
        <v>11000</v>
      </c>
      <c r="AH9" s="1">
        <v>24</v>
      </c>
      <c r="AM9" s="19">
        <f>1*Umrechnungsfaktoren!$B$15/Umrechnungsfaktoren!$B$7</f>
        <v>1.1137339055793991</v>
      </c>
      <c r="AN9" s="19">
        <f>10*Umrechnungsfaktoren!$B$15/Umrechnungsfaktoren!$B$7</f>
        <v>11.137339055793991</v>
      </c>
      <c r="AO9" s="8">
        <f>150*Umrechnungsfaktoren!$B$15/Umrechnungsfaktoren!$B$7</f>
        <v>167.06008583690985</v>
      </c>
      <c r="AP9" s="8"/>
      <c r="AQ9" s="8"/>
      <c r="AR9" s="8">
        <f>1*Umrechnungsfaktoren!$B$15/Umrechnungsfaktoren!$B$7</f>
        <v>1.1137339055793991</v>
      </c>
      <c r="AS9" s="8">
        <v>0</v>
      </c>
      <c r="AT9" s="8">
        <f>53.7*Umrechnungsfaktoren!$B$15/Umrechnungsfaktoren!$B$7</f>
        <v>59.807510729613732</v>
      </c>
      <c r="AW9" s="1">
        <v>427</v>
      </c>
      <c r="AX9" s="1">
        <v>427</v>
      </c>
      <c r="AY9" s="13">
        <v>416</v>
      </c>
      <c r="AZ9" s="1">
        <v>416</v>
      </c>
      <c r="BA9" s="13"/>
      <c r="BB9" s="13"/>
      <c r="BC9" s="13"/>
      <c r="BE9" s="13">
        <v>416</v>
      </c>
      <c r="BF9" s="13"/>
      <c r="BH9" s="1">
        <v>416</v>
      </c>
      <c r="BL9" s="1" t="s">
        <v>235</v>
      </c>
      <c r="BM9" s="1" t="s">
        <v>231</v>
      </c>
      <c r="BN9" s="13" t="s">
        <v>231</v>
      </c>
      <c r="BQ9" s="1" t="s">
        <v>182</v>
      </c>
    </row>
    <row r="10" spans="1:69" x14ac:dyDescent="0.2">
      <c r="A10" s="6" t="s">
        <v>135</v>
      </c>
      <c r="B10" s="1" t="s">
        <v>142</v>
      </c>
      <c r="C10" s="1">
        <v>2010</v>
      </c>
      <c r="D10" s="1">
        <v>1</v>
      </c>
      <c r="E10" s="1">
        <v>0</v>
      </c>
      <c r="F10" s="1">
        <v>0</v>
      </c>
      <c r="G10" s="19"/>
      <c r="H10" s="19">
        <v>554</v>
      </c>
      <c r="I10" s="19">
        <v>1550</v>
      </c>
      <c r="J10" s="19"/>
      <c r="K10" s="19"/>
      <c r="L10" s="19"/>
      <c r="M10" s="19">
        <v>1368</v>
      </c>
      <c r="N10" s="19">
        <v>4240</v>
      </c>
      <c r="O10" s="19"/>
      <c r="P10" s="20"/>
      <c r="Q10" s="20"/>
      <c r="R10" s="9"/>
      <c r="S10" s="20"/>
      <c r="T10" s="19"/>
      <c r="U10" s="9"/>
      <c r="V10" s="19"/>
      <c r="X10" s="1">
        <v>10</v>
      </c>
      <c r="Y10" s="1">
        <v>12</v>
      </c>
      <c r="Z10" s="1">
        <v>10</v>
      </c>
      <c r="AC10" s="1">
        <v>4</v>
      </c>
      <c r="AD10" s="1">
        <v>7</v>
      </c>
      <c r="AE10" s="1">
        <v>4</v>
      </c>
      <c r="AM10" s="19"/>
      <c r="AN10" s="19">
        <f>3000*Umrechnungsfaktoren!$B$15/Umrechnungsfaktoren!$B$7</f>
        <v>3341.2017167381973</v>
      </c>
      <c r="AO10" s="8">
        <f>1190*Umrechnungsfaktoren!$B$15/Umrechnungsfaktoren!$B$7</f>
        <v>1325.3433476394848</v>
      </c>
      <c r="AP10" s="8"/>
      <c r="AQ10" s="8"/>
      <c r="AR10" s="8">
        <f>1*Umrechnungsfaktoren!$B$15/Umrechnungsfaktoren!$B$7</f>
        <v>1.1137339055793991</v>
      </c>
      <c r="AS10" s="8">
        <v>0</v>
      </c>
      <c r="AT10" s="8">
        <f>63.2*Umrechnungsfaktoren!$B$15/Umrechnungsfaktoren!$B$7</f>
        <v>70.387982832618022</v>
      </c>
      <c r="AW10" s="1">
        <v>416</v>
      </c>
      <c r="AX10" s="1">
        <v>427</v>
      </c>
      <c r="AY10" s="13">
        <v>417</v>
      </c>
      <c r="AZ10" s="1">
        <v>417</v>
      </c>
      <c r="BA10" s="13"/>
      <c r="BB10" s="13"/>
      <c r="BC10" s="13"/>
      <c r="BE10" s="13"/>
      <c r="BF10" s="13"/>
      <c r="BL10" s="1" t="s">
        <v>235</v>
      </c>
      <c r="BM10" s="1" t="s">
        <v>231</v>
      </c>
      <c r="BN10" s="13" t="s">
        <v>231</v>
      </c>
    </row>
    <row r="11" spans="1:69" x14ac:dyDescent="0.2">
      <c r="A11" s="1" t="s">
        <v>135</v>
      </c>
      <c r="B11" s="1" t="s">
        <v>142</v>
      </c>
      <c r="C11" s="1">
        <v>2020</v>
      </c>
      <c r="D11" s="1">
        <v>1</v>
      </c>
      <c r="E11" s="1">
        <v>0</v>
      </c>
      <c r="F11" s="1">
        <v>0</v>
      </c>
      <c r="G11" s="19"/>
      <c r="H11" s="19">
        <v>554</v>
      </c>
      <c r="I11" s="19">
        <v>1550</v>
      </c>
      <c r="J11" s="19"/>
      <c r="K11" s="19"/>
      <c r="L11" s="19"/>
      <c r="M11" s="19">
        <v>1368</v>
      </c>
      <c r="N11" s="19">
        <v>4240</v>
      </c>
      <c r="O11" s="19"/>
      <c r="P11" s="20"/>
      <c r="Q11" s="20"/>
      <c r="R11" s="9"/>
      <c r="S11" s="20"/>
      <c r="T11" s="19"/>
      <c r="U11" s="9"/>
      <c r="V11" s="19"/>
      <c r="X11" s="1">
        <v>10</v>
      </c>
      <c r="Y11" s="1">
        <v>12</v>
      </c>
      <c r="Z11" s="1">
        <v>10</v>
      </c>
      <c r="AC11" s="1">
        <v>4</v>
      </c>
      <c r="AD11" s="1">
        <v>7</v>
      </c>
      <c r="AE11" s="1">
        <v>4</v>
      </c>
      <c r="AM11" s="19"/>
      <c r="AN11" s="19">
        <f>600*Umrechnungsfaktoren!$B$15/Umrechnungsfaktoren!$B$7</f>
        <v>668.2403433476394</v>
      </c>
      <c r="AO11" s="8">
        <f>280*Umrechnungsfaktoren!$B$15/Umrechnungsfaktoren!$B$7</f>
        <v>311.84549356223175</v>
      </c>
      <c r="AP11" s="8"/>
      <c r="AQ11" s="8"/>
      <c r="AR11" s="8">
        <f>1*Umrechnungsfaktoren!$B$15/Umrechnungsfaktoren!$B$7</f>
        <v>1.1137339055793991</v>
      </c>
      <c r="AS11" s="8">
        <v>0</v>
      </c>
      <c r="AT11" s="8">
        <f>63.2*Umrechnungsfaktoren!$B$15/Umrechnungsfaktoren!$B$7</f>
        <v>70.387982832618022</v>
      </c>
      <c r="AW11" s="1">
        <v>416</v>
      </c>
      <c r="AX11" s="1">
        <v>427</v>
      </c>
      <c r="AY11" s="13">
        <v>417</v>
      </c>
      <c r="AZ11" s="1">
        <v>417</v>
      </c>
      <c r="BA11" s="13"/>
      <c r="BB11" s="13"/>
      <c r="BC11" s="13"/>
      <c r="BE11" s="13"/>
      <c r="BF11" s="13"/>
      <c r="BL11" s="1" t="s">
        <v>235</v>
      </c>
      <c r="BM11" s="1" t="s">
        <v>231</v>
      </c>
      <c r="BN11" s="13" t="s">
        <v>231</v>
      </c>
      <c r="BQ11" s="1" t="s">
        <v>182</v>
      </c>
    </row>
    <row r="12" spans="1:69" x14ac:dyDescent="0.2">
      <c r="A12" s="6" t="s">
        <v>136</v>
      </c>
      <c r="B12" s="1" t="s">
        <v>142</v>
      </c>
      <c r="C12" s="1">
        <v>2010</v>
      </c>
      <c r="D12" s="1">
        <v>1</v>
      </c>
      <c r="E12" s="1">
        <v>0</v>
      </c>
      <c r="F12" s="1">
        <v>0</v>
      </c>
      <c r="G12" s="19"/>
      <c r="H12" s="19">
        <v>571</v>
      </c>
      <c r="I12" s="19">
        <v>1500</v>
      </c>
      <c r="J12" s="19"/>
      <c r="K12" s="19"/>
      <c r="L12" s="19"/>
      <c r="M12" s="19">
        <v>530</v>
      </c>
      <c r="N12" s="19">
        <v>3500</v>
      </c>
      <c r="O12" s="19"/>
      <c r="P12" s="20"/>
      <c r="Q12" s="20"/>
      <c r="R12" s="9"/>
      <c r="S12" s="20"/>
      <c r="T12" s="19"/>
      <c r="U12" s="9"/>
      <c r="V12" s="19"/>
      <c r="X12" s="1">
        <v>4</v>
      </c>
      <c r="Y12" s="1">
        <v>7</v>
      </c>
      <c r="Z12" s="1">
        <v>4</v>
      </c>
      <c r="AC12" s="1">
        <v>1.5</v>
      </c>
      <c r="AD12" s="1">
        <v>3</v>
      </c>
      <c r="AE12" s="1">
        <v>1.5</v>
      </c>
      <c r="AM12" s="19"/>
      <c r="AN12" s="19"/>
      <c r="AO12" s="8">
        <f>1190*Umrechnungsfaktoren!$B$15/Umrechnungsfaktoren!$B$7</f>
        <v>1325.3433476394848</v>
      </c>
      <c r="AP12" s="8"/>
      <c r="AQ12" s="8"/>
      <c r="AR12" s="8">
        <f>1*Umrechnungsfaktoren!$B$15/Umrechnungsfaktoren!$B$7</f>
        <v>1.1137339055793991</v>
      </c>
      <c r="AS12" s="8">
        <v>0</v>
      </c>
      <c r="AT12" s="8">
        <f>63.2*Umrechnungsfaktoren!$B$15/Umrechnungsfaktoren!$B$7</f>
        <v>70.387982832618022</v>
      </c>
      <c r="AW12" s="1">
        <v>416</v>
      </c>
      <c r="AX12" s="1">
        <v>427</v>
      </c>
      <c r="AY12" s="13" t="s">
        <v>166</v>
      </c>
      <c r="AZ12" s="13" t="s">
        <v>166</v>
      </c>
      <c r="BA12" s="13"/>
      <c r="BB12" s="13"/>
      <c r="BC12" s="13"/>
      <c r="BE12" s="13"/>
      <c r="BF12" s="13"/>
      <c r="BL12" s="1" t="s">
        <v>235</v>
      </c>
      <c r="BM12" s="1" t="s">
        <v>231</v>
      </c>
      <c r="BN12" s="13" t="s">
        <v>231</v>
      </c>
    </row>
    <row r="13" spans="1:69" x14ac:dyDescent="0.2">
      <c r="A13" s="1" t="s">
        <v>136</v>
      </c>
      <c r="B13" s="1" t="s">
        <v>142</v>
      </c>
      <c r="C13" s="1">
        <v>2020</v>
      </c>
      <c r="D13" s="1">
        <v>1</v>
      </c>
      <c r="E13" s="1">
        <v>0</v>
      </c>
      <c r="F13" s="1">
        <v>0</v>
      </c>
      <c r="G13" s="19"/>
      <c r="H13" s="19">
        <v>571</v>
      </c>
      <c r="I13" s="19">
        <v>1500</v>
      </c>
      <c r="J13" s="19"/>
      <c r="K13" s="19"/>
      <c r="L13" s="19"/>
      <c r="M13" s="19">
        <v>530</v>
      </c>
      <c r="N13" s="19">
        <v>3500</v>
      </c>
      <c r="O13" s="19"/>
      <c r="P13" s="20"/>
      <c r="Q13" s="20"/>
      <c r="R13" s="9"/>
      <c r="S13" s="20"/>
      <c r="T13" s="19"/>
      <c r="U13" s="9"/>
      <c r="V13" s="19"/>
      <c r="X13" s="1">
        <v>4</v>
      </c>
      <c r="Y13" s="1">
        <v>7</v>
      </c>
      <c r="Z13" s="1">
        <v>4</v>
      </c>
      <c r="AC13" s="1">
        <v>1.5</v>
      </c>
      <c r="AD13" s="1">
        <v>3</v>
      </c>
      <c r="AE13" s="1">
        <v>1.5</v>
      </c>
      <c r="AM13" s="19"/>
      <c r="AN13" s="19"/>
      <c r="AO13" s="8">
        <f>280*Umrechnungsfaktoren!$B$15/Umrechnungsfaktoren!$B$7</f>
        <v>311.84549356223175</v>
      </c>
      <c r="AP13" s="8"/>
      <c r="AQ13" s="8"/>
      <c r="AR13" s="8">
        <f>1*Umrechnungsfaktoren!$B$15/Umrechnungsfaktoren!$B$7</f>
        <v>1.1137339055793991</v>
      </c>
      <c r="AS13" s="8">
        <v>0</v>
      </c>
      <c r="AT13" s="8">
        <f>63.2*Umrechnungsfaktoren!$B$15/Umrechnungsfaktoren!$B$7</f>
        <v>70.387982832618022</v>
      </c>
      <c r="AW13" s="1">
        <v>416</v>
      </c>
      <c r="AX13" s="1">
        <v>427</v>
      </c>
      <c r="AY13" s="13" t="s">
        <v>166</v>
      </c>
      <c r="AZ13" s="13" t="s">
        <v>166</v>
      </c>
      <c r="BA13" s="13"/>
      <c r="BB13" s="13"/>
      <c r="BC13" s="13"/>
      <c r="BE13" s="13"/>
      <c r="BF13" s="13"/>
      <c r="BL13" s="1" t="s">
        <v>235</v>
      </c>
      <c r="BM13" s="1" t="s">
        <v>231</v>
      </c>
      <c r="BN13" s="13" t="s">
        <v>231</v>
      </c>
      <c r="BQ13" s="1" t="s">
        <v>182</v>
      </c>
    </row>
    <row r="14" spans="1:69" x14ac:dyDescent="0.2">
      <c r="A14" s="6" t="s">
        <v>167</v>
      </c>
      <c r="B14" s="1" t="s">
        <v>142</v>
      </c>
      <c r="C14" s="1">
        <v>2010</v>
      </c>
      <c r="D14" s="1">
        <v>1</v>
      </c>
      <c r="E14" s="1">
        <v>0</v>
      </c>
      <c r="F14" s="1">
        <v>0</v>
      </c>
      <c r="G14" s="19"/>
      <c r="H14" s="19">
        <v>1621</v>
      </c>
      <c r="I14" s="19">
        <v>3800</v>
      </c>
      <c r="J14" s="19"/>
      <c r="K14" s="19"/>
      <c r="L14" s="19"/>
      <c r="M14" s="19">
        <v>2832</v>
      </c>
      <c r="N14" s="19">
        <v>20800</v>
      </c>
      <c r="O14" s="19"/>
      <c r="P14" s="20"/>
      <c r="Q14" s="9"/>
      <c r="R14" s="9"/>
      <c r="S14" s="20"/>
      <c r="T14" s="19"/>
      <c r="U14" s="9"/>
      <c r="V14" s="19">
        <v>20800</v>
      </c>
      <c r="Z14" s="1">
        <v>2</v>
      </c>
      <c r="AE14" s="1">
        <v>2</v>
      </c>
      <c r="AJ14" s="1" t="s">
        <v>168</v>
      </c>
      <c r="AL14" s="1">
        <v>365</v>
      </c>
      <c r="AM14" s="19"/>
      <c r="AN14" s="19"/>
      <c r="AO14" s="8">
        <f>740*Umrechnungsfaktoren!$B$15/Umrechnungsfaktoren!$B$7</f>
        <v>824.16309012875536</v>
      </c>
      <c r="AP14" s="8"/>
      <c r="AQ14" s="8"/>
      <c r="AR14" s="8">
        <f>1*Umrechnungsfaktoren!$B$15/Umrechnungsfaktoren!$B$7</f>
        <v>1.1137339055793991</v>
      </c>
      <c r="AS14" s="8">
        <v>0</v>
      </c>
      <c r="AT14" s="8">
        <f>90.9*Umrechnungsfaktoren!$B$15/Umrechnungsfaktoren!$B$7</f>
        <v>101.23841201716738</v>
      </c>
      <c r="AV14" s="1" t="s">
        <v>169</v>
      </c>
      <c r="AW14" s="1">
        <v>427</v>
      </c>
      <c r="AX14" s="1">
        <v>427</v>
      </c>
      <c r="AY14" s="13">
        <v>418</v>
      </c>
      <c r="AZ14" s="1">
        <v>418</v>
      </c>
      <c r="BA14" s="13"/>
      <c r="BB14" s="13"/>
      <c r="BC14" s="13"/>
      <c r="BE14" s="13">
        <v>418</v>
      </c>
      <c r="BF14" s="13"/>
      <c r="BG14" s="1">
        <v>418</v>
      </c>
      <c r="BJ14" s="1">
        <v>418</v>
      </c>
      <c r="BK14" s="1">
        <v>418</v>
      </c>
      <c r="BL14" s="1" t="s">
        <v>235</v>
      </c>
      <c r="BM14" s="1" t="s">
        <v>231</v>
      </c>
      <c r="BN14" s="13" t="s">
        <v>231</v>
      </c>
    </row>
    <row r="15" spans="1:69" x14ac:dyDescent="0.2">
      <c r="A15" s="1" t="s">
        <v>167</v>
      </c>
      <c r="B15" s="1" t="s">
        <v>142</v>
      </c>
      <c r="C15" s="1">
        <v>2020</v>
      </c>
      <c r="D15" s="1">
        <v>1</v>
      </c>
      <c r="E15" s="1">
        <v>0</v>
      </c>
      <c r="F15" s="1">
        <v>0</v>
      </c>
      <c r="G15" s="19"/>
      <c r="H15" s="19">
        <v>1621</v>
      </c>
      <c r="I15" s="19">
        <v>3800</v>
      </c>
      <c r="J15" s="19"/>
      <c r="K15" s="19"/>
      <c r="L15" s="19"/>
      <c r="M15" s="19">
        <v>2832</v>
      </c>
      <c r="N15" s="19">
        <v>20800</v>
      </c>
      <c r="O15" s="19"/>
      <c r="P15" s="20"/>
      <c r="Q15" s="9"/>
      <c r="R15" s="9"/>
      <c r="S15" s="20"/>
      <c r="T15" s="19"/>
      <c r="U15" s="9"/>
      <c r="V15" s="19">
        <v>20800</v>
      </c>
      <c r="Z15" s="1">
        <v>2</v>
      </c>
      <c r="AE15" s="1">
        <v>2</v>
      </c>
      <c r="AJ15" s="1" t="s">
        <v>168</v>
      </c>
      <c r="AL15" s="1">
        <v>365</v>
      </c>
      <c r="AM15" s="19"/>
      <c r="AN15" s="19"/>
      <c r="AO15" s="8">
        <f>176*Umrechnungsfaktoren!$B$15/Umrechnungsfaktoren!$B$7</f>
        <v>196.01716738197425</v>
      </c>
      <c r="AP15" s="8"/>
      <c r="AQ15" s="8"/>
      <c r="AR15" s="8">
        <f>1*Umrechnungsfaktoren!$B$15/Umrechnungsfaktoren!$B$7</f>
        <v>1.1137339055793991</v>
      </c>
      <c r="AS15" s="8">
        <v>0</v>
      </c>
      <c r="AT15" s="8">
        <f>90.9*Umrechnungsfaktoren!$B$15/Umrechnungsfaktoren!$B$7</f>
        <v>101.23841201716738</v>
      </c>
      <c r="AV15" s="1" t="s">
        <v>169</v>
      </c>
      <c r="AW15" s="1">
        <v>427</v>
      </c>
      <c r="AX15" s="1">
        <v>427</v>
      </c>
      <c r="AY15" s="13">
        <v>418</v>
      </c>
      <c r="AZ15" s="1">
        <v>418</v>
      </c>
      <c r="BA15" s="13"/>
      <c r="BB15" s="13"/>
      <c r="BC15" s="13"/>
      <c r="BE15" s="13">
        <v>418</v>
      </c>
      <c r="BF15" s="13"/>
      <c r="BG15" s="1">
        <v>418</v>
      </c>
      <c r="BJ15" s="1">
        <v>418</v>
      </c>
      <c r="BK15" s="1">
        <v>418</v>
      </c>
      <c r="BL15" s="1" t="s">
        <v>235</v>
      </c>
      <c r="BM15" s="1" t="s">
        <v>231</v>
      </c>
      <c r="BN15" s="13" t="s">
        <v>231</v>
      </c>
      <c r="BQ15" s="1" t="s">
        <v>182</v>
      </c>
    </row>
    <row r="16" spans="1:69" x14ac:dyDescent="0.2">
      <c r="A16" s="6" t="s">
        <v>953</v>
      </c>
      <c r="B16" s="1" t="s">
        <v>129</v>
      </c>
      <c r="C16" s="1">
        <v>2010</v>
      </c>
      <c r="D16" s="1">
        <v>1</v>
      </c>
      <c r="E16" s="1">
        <v>1</v>
      </c>
      <c r="F16" s="1">
        <v>0</v>
      </c>
      <c r="G16" s="19"/>
      <c r="H16" s="19">
        <v>45</v>
      </c>
      <c r="I16" s="19"/>
      <c r="J16" s="19">
        <v>314</v>
      </c>
      <c r="K16" s="19">
        <v>318</v>
      </c>
      <c r="L16" s="19"/>
      <c r="M16" s="19">
        <v>269</v>
      </c>
      <c r="N16" s="19"/>
      <c r="O16" s="19"/>
      <c r="P16" s="20"/>
      <c r="Q16" s="9"/>
      <c r="R16" s="9">
        <v>1</v>
      </c>
      <c r="S16" s="20"/>
      <c r="T16" s="19"/>
      <c r="U16" s="9"/>
      <c r="V16" s="19">
        <v>314</v>
      </c>
      <c r="AJ16" s="1" t="s">
        <v>172</v>
      </c>
      <c r="AM16" s="19"/>
      <c r="AN16" s="19"/>
      <c r="AO16" s="19">
        <f>7071*Umrechnungsfaktoren!$B$15/Umrechnungsfaktoren!$B$7</f>
        <v>7875.2124463519303</v>
      </c>
      <c r="AP16" s="8">
        <f>500*Umrechnungsfaktoren!$B$15/Umrechnungsfaktoren!$B$7</f>
        <v>556.86695278969955</v>
      </c>
      <c r="AQ16" s="8">
        <f>1000*Umrechnungsfaktoren!$B$15/Umrechnungsfaktoren!$B$7</f>
        <v>1113.7339055793991</v>
      </c>
      <c r="AR16" s="8"/>
      <c r="AS16" s="8">
        <f>1*Umrechnungsfaktoren!$B$15/Umrechnungsfaktoren!$B$7</f>
        <v>1.1137339055793991</v>
      </c>
      <c r="AT16" s="8">
        <f>90*Umrechnungsfaktoren!$B$15/Umrechnungsfaktoren!$B$7</f>
        <v>100.23605150214591</v>
      </c>
      <c r="AV16" s="1" t="s">
        <v>171</v>
      </c>
      <c r="AW16" s="1">
        <v>427</v>
      </c>
      <c r="AX16" s="1">
        <v>427</v>
      </c>
      <c r="AY16" s="13" t="s">
        <v>220</v>
      </c>
      <c r="AZ16" s="1">
        <v>422</v>
      </c>
      <c r="BA16" s="13"/>
      <c r="BB16" s="13">
        <v>425</v>
      </c>
      <c r="BC16" s="13"/>
      <c r="BE16" s="13">
        <v>421</v>
      </c>
      <c r="BF16" s="13"/>
      <c r="BJ16" s="1">
        <v>419</v>
      </c>
      <c r="BL16" s="1" t="s">
        <v>235</v>
      </c>
      <c r="BM16" s="1">
        <v>427</v>
      </c>
      <c r="BN16" s="1" t="s">
        <v>336</v>
      </c>
    </row>
    <row r="17" spans="1:69" x14ac:dyDescent="0.2">
      <c r="A17" s="1" t="s">
        <v>953</v>
      </c>
      <c r="B17" s="1" t="s">
        <v>129</v>
      </c>
      <c r="C17" s="1">
        <v>2020</v>
      </c>
      <c r="D17" s="1">
        <v>1</v>
      </c>
      <c r="E17" s="1">
        <v>1</v>
      </c>
      <c r="F17" s="1">
        <v>0</v>
      </c>
      <c r="G17" s="19"/>
      <c r="H17" s="19">
        <v>45</v>
      </c>
      <c r="I17" s="19"/>
      <c r="J17" s="19">
        <v>383</v>
      </c>
      <c r="K17" s="19"/>
      <c r="L17" s="19"/>
      <c r="M17" s="19">
        <v>269</v>
      </c>
      <c r="N17" s="19"/>
      <c r="O17" s="19"/>
      <c r="P17" s="20"/>
      <c r="Q17" s="9"/>
      <c r="R17" s="9">
        <v>1</v>
      </c>
      <c r="S17" s="20"/>
      <c r="T17" s="19"/>
      <c r="U17" s="9"/>
      <c r="V17" s="19">
        <v>314</v>
      </c>
      <c r="AJ17" s="1" t="s">
        <v>172</v>
      </c>
      <c r="AM17" s="19"/>
      <c r="AN17" s="19"/>
      <c r="AO17" s="19">
        <f>14141*Umrechnungsfaktoren!$B$15/Umrechnungsfaktoren!$B$7</f>
        <v>15749.311158798282</v>
      </c>
      <c r="AP17" s="8">
        <f>500*Umrechnungsfaktoren!$B$15/Umrechnungsfaktoren!$B$7</f>
        <v>556.86695278969955</v>
      </c>
      <c r="AQ17" s="8">
        <f>1000*Umrechnungsfaktoren!$B$15/Umrechnungsfaktoren!$B$7</f>
        <v>1113.7339055793991</v>
      </c>
      <c r="AR17" s="8"/>
      <c r="AS17" s="8">
        <f>1*Umrechnungsfaktoren!$B$15/Umrechnungsfaktoren!$B$7</f>
        <v>1.1137339055793991</v>
      </c>
      <c r="AT17" s="8">
        <f>90*Umrechnungsfaktoren!$B$15/Umrechnungsfaktoren!$B$7</f>
        <v>100.23605150214591</v>
      </c>
      <c r="AV17" s="1" t="s">
        <v>171</v>
      </c>
      <c r="AW17" s="1">
        <v>427</v>
      </c>
      <c r="AX17" s="1">
        <v>427</v>
      </c>
      <c r="AY17" s="13" t="s">
        <v>207</v>
      </c>
      <c r="AZ17" s="1">
        <v>422</v>
      </c>
      <c r="BA17" s="13"/>
      <c r="BB17" s="13">
        <v>425</v>
      </c>
      <c r="BC17" s="13"/>
      <c r="BE17" s="13">
        <v>421</v>
      </c>
      <c r="BF17" s="13"/>
      <c r="BJ17" s="1">
        <v>419</v>
      </c>
      <c r="BL17" s="1" t="s">
        <v>235</v>
      </c>
      <c r="BM17" s="1">
        <v>427</v>
      </c>
      <c r="BN17" s="1" t="s">
        <v>336</v>
      </c>
      <c r="BQ17" s="1" t="s">
        <v>182</v>
      </c>
    </row>
    <row r="18" spans="1:69" x14ac:dyDescent="0.2">
      <c r="A18" s="6" t="s">
        <v>29</v>
      </c>
      <c r="B18" s="1" t="s">
        <v>129</v>
      </c>
      <c r="C18" s="1">
        <v>2010</v>
      </c>
      <c r="D18" s="1">
        <v>1</v>
      </c>
      <c r="E18" s="1">
        <v>0</v>
      </c>
      <c r="F18" s="1">
        <v>0</v>
      </c>
      <c r="G18" s="19"/>
      <c r="H18" s="19">
        <v>556</v>
      </c>
      <c r="I18" s="19">
        <f>263+160+246</f>
        <v>669</v>
      </c>
      <c r="J18" s="19"/>
      <c r="K18" s="19">
        <f>275+156+178</f>
        <v>609</v>
      </c>
      <c r="L18" s="19"/>
      <c r="M18" s="19">
        <v>346</v>
      </c>
      <c r="N18" s="19"/>
      <c r="O18" s="19"/>
      <c r="P18" s="20"/>
      <c r="Q18" s="9"/>
      <c r="R18" s="9">
        <v>0.3</v>
      </c>
      <c r="S18" s="20"/>
      <c r="T18" s="19"/>
      <c r="U18" s="9"/>
      <c r="V18" s="19"/>
      <c r="Z18" s="1">
        <v>2</v>
      </c>
      <c r="AM18" s="19"/>
      <c r="AN18" s="19"/>
      <c r="AO18" s="8">
        <f>1*Umrechnungsfaktoren!$B$15/Umrechnungsfaktoren!$B$7</f>
        <v>1.1137339055793991</v>
      </c>
      <c r="AP18" s="8"/>
      <c r="AQ18" s="8"/>
      <c r="AR18" s="8">
        <f>100*Umrechnungsfaktoren!$B$15/Umrechnungsfaktoren!$B$7</f>
        <v>111.3733905579399</v>
      </c>
      <c r="AS18" s="8"/>
      <c r="AT18" s="8">
        <f>1*Umrechnungsfaktoren!$B$15/Umrechnungsfaktoren!$B$7</f>
        <v>1.1137339055793991</v>
      </c>
      <c r="AV18" s="1" t="s">
        <v>173</v>
      </c>
      <c r="AW18" s="1">
        <v>427</v>
      </c>
      <c r="AX18" s="1">
        <v>427</v>
      </c>
      <c r="AY18" s="13" t="s">
        <v>221</v>
      </c>
      <c r="AZ18" s="1">
        <v>423</v>
      </c>
      <c r="BA18" s="13"/>
      <c r="BB18" s="13" t="s">
        <v>178</v>
      </c>
      <c r="BC18" s="13"/>
      <c r="BE18" s="13"/>
      <c r="BF18" s="13"/>
      <c r="BG18" s="1">
        <v>422</v>
      </c>
      <c r="BL18" s="1" t="s">
        <v>235</v>
      </c>
      <c r="BM18" s="1">
        <v>427</v>
      </c>
      <c r="BN18" s="1">
        <v>427</v>
      </c>
      <c r="BP18" s="1">
        <v>422</v>
      </c>
    </row>
    <row r="19" spans="1:69" x14ac:dyDescent="0.2">
      <c r="A19" s="1" t="s">
        <v>29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G19" s="19"/>
      <c r="H19" s="19">
        <v>556</v>
      </c>
      <c r="I19" s="19">
        <v>618</v>
      </c>
      <c r="J19" s="19"/>
      <c r="K19" s="19">
        <f>275+156+178</f>
        <v>609</v>
      </c>
      <c r="L19" s="19"/>
      <c r="M19" s="19">
        <v>346</v>
      </c>
      <c r="N19" s="19"/>
      <c r="O19" s="19"/>
      <c r="P19" s="20"/>
      <c r="Q19" s="9"/>
      <c r="R19" s="9">
        <v>0.3</v>
      </c>
      <c r="S19" s="20"/>
      <c r="T19" s="19"/>
      <c r="U19" s="9"/>
      <c r="V19" s="19"/>
      <c r="Z19" s="1">
        <v>2</v>
      </c>
      <c r="AM19" s="19"/>
      <c r="AN19" s="19"/>
      <c r="AO19" s="8">
        <f>1*Umrechnungsfaktoren!$B$15/Umrechnungsfaktoren!$B$7</f>
        <v>1.1137339055793991</v>
      </c>
      <c r="AP19" s="8"/>
      <c r="AQ19" s="8"/>
      <c r="AR19" s="8">
        <f>100*Umrechnungsfaktoren!$B$15/Umrechnungsfaktoren!$B$7</f>
        <v>111.3733905579399</v>
      </c>
      <c r="AS19" s="8"/>
      <c r="AT19" s="8">
        <f>1*Umrechnungsfaktoren!$B$15/Umrechnungsfaktoren!$B$7</f>
        <v>1.1137339055793991</v>
      </c>
      <c r="AV19" s="1" t="s">
        <v>173</v>
      </c>
      <c r="AW19" s="1">
        <v>427</v>
      </c>
      <c r="AX19" s="1">
        <v>427</v>
      </c>
      <c r="AY19" s="13" t="s">
        <v>206</v>
      </c>
      <c r="AZ19" s="1">
        <v>423</v>
      </c>
      <c r="BA19" s="13"/>
      <c r="BB19" s="13" t="s">
        <v>178</v>
      </c>
      <c r="BC19" s="13"/>
      <c r="BE19" s="13"/>
      <c r="BF19" s="13"/>
      <c r="BG19" s="1">
        <v>422</v>
      </c>
      <c r="BL19" s="1" t="s">
        <v>235</v>
      </c>
      <c r="BM19" s="1">
        <v>427</v>
      </c>
      <c r="BN19" s="1">
        <v>427</v>
      </c>
      <c r="BP19" s="1">
        <v>422</v>
      </c>
      <c r="BQ19" s="1" t="s">
        <v>182</v>
      </c>
    </row>
    <row r="20" spans="1:69" x14ac:dyDescent="0.2">
      <c r="A20" s="6" t="s">
        <v>54</v>
      </c>
      <c r="B20" s="1" t="s">
        <v>129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/>
      <c r="J20" s="19">
        <v>277</v>
      </c>
      <c r="K20" s="19">
        <v>295</v>
      </c>
      <c r="L20" s="19"/>
      <c r="M20" s="19"/>
      <c r="N20" s="19"/>
      <c r="O20" s="19"/>
      <c r="P20" s="20"/>
      <c r="Q20" s="9"/>
      <c r="R20" s="9">
        <v>0.25</v>
      </c>
      <c r="S20" s="20"/>
      <c r="T20" s="19"/>
      <c r="U20" s="9"/>
      <c r="V20" s="19"/>
      <c r="W20" s="1">
        <f>7.5/60</f>
        <v>0.125</v>
      </c>
      <c r="AB20" s="1">
        <v>4</v>
      </c>
      <c r="AM20" s="19">
        <f>10*Umrechnungsfaktoren!$B$15/Umrechnungsfaktoren!$B$7</f>
        <v>11.137339055793991</v>
      </c>
      <c r="AN20" s="19">
        <f>20*Umrechnungsfaktoren!$B$15/Umrechnungsfaktoren!$B$7</f>
        <v>22.274678111587981</v>
      </c>
      <c r="AO20" s="8">
        <f>1*Umrechnungsfaktoren!$B$15/Umrechnungsfaktoren!$B$7</f>
        <v>1.1137339055793991</v>
      </c>
      <c r="AP20" s="8">
        <f>500*Umrechnungsfaktoren!$B$15/Umrechnungsfaktoren!$B$7</f>
        <v>556.86695278969955</v>
      </c>
      <c r="AQ20" s="8">
        <f>1500*Umrechnungsfaktoren!$B$15/Umrechnungsfaktoren!$B$7</f>
        <v>1670.6008583690987</v>
      </c>
      <c r="AR20" s="8"/>
      <c r="AS20" s="8"/>
      <c r="AT20" s="8">
        <f>1*Umrechnungsfaktoren!$B$15/Umrechnungsfaktoren!$B$7</f>
        <v>1.1137339055793991</v>
      </c>
      <c r="AW20" s="1">
        <v>427</v>
      </c>
      <c r="AX20" s="1">
        <v>423</v>
      </c>
      <c r="AY20" s="13" t="s">
        <v>222</v>
      </c>
      <c r="BA20" s="13"/>
      <c r="BB20" s="13" t="s">
        <v>179</v>
      </c>
      <c r="BC20" s="13"/>
      <c r="BE20" s="13"/>
      <c r="BF20" s="13">
        <v>423</v>
      </c>
      <c r="BG20" s="1">
        <v>423</v>
      </c>
      <c r="BL20" s="1" t="s">
        <v>235</v>
      </c>
      <c r="BM20" s="1">
        <v>427</v>
      </c>
      <c r="BN20" s="1">
        <v>427</v>
      </c>
    </row>
    <row r="21" spans="1:69" x14ac:dyDescent="0.2">
      <c r="A21" s="1" t="s">
        <v>54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/>
      <c r="J21" s="19">
        <v>277</v>
      </c>
      <c r="K21" s="19">
        <v>295</v>
      </c>
      <c r="L21" s="19"/>
      <c r="M21" s="19"/>
      <c r="N21" s="19"/>
      <c r="O21" s="19"/>
      <c r="P21" s="20"/>
      <c r="Q21" s="9"/>
      <c r="R21" s="9">
        <v>0.25</v>
      </c>
      <c r="S21" s="20"/>
      <c r="T21" s="19"/>
      <c r="U21" s="9"/>
      <c r="V21" s="19"/>
      <c r="W21" s="1">
        <f>7.5/60</f>
        <v>0.125</v>
      </c>
      <c r="AB21" s="1">
        <v>4</v>
      </c>
      <c r="AM21" s="19">
        <f>10*Umrechnungsfaktoren!$B$15/Umrechnungsfaktoren!$B$7</f>
        <v>11.137339055793991</v>
      </c>
      <c r="AN21" s="19">
        <f>20*Umrechnungsfaktoren!$B$15/Umrechnungsfaktoren!$B$7</f>
        <v>22.274678111587981</v>
      </c>
      <c r="AO21" s="8">
        <f>2*Umrechnungsfaktoren!$B$15/Umrechnungsfaktoren!$B$7</f>
        <v>2.2274678111587982</v>
      </c>
      <c r="AP21" s="8">
        <f>500*Umrechnungsfaktoren!$B$15/Umrechnungsfaktoren!$B$7</f>
        <v>556.86695278969955</v>
      </c>
      <c r="AQ21" s="8">
        <f>1500*Umrechnungsfaktoren!$B$15/Umrechnungsfaktoren!$B$7</f>
        <v>1670.6008583690987</v>
      </c>
      <c r="AR21" s="8"/>
      <c r="AS21" s="8"/>
      <c r="AT21" s="8">
        <f>1*Umrechnungsfaktoren!$B$15/Umrechnungsfaktoren!$B$7</f>
        <v>1.1137339055793991</v>
      </c>
      <c r="AW21" s="1">
        <v>427</v>
      </c>
      <c r="AX21" s="1">
        <v>423</v>
      </c>
      <c r="AY21" s="13" t="s">
        <v>206</v>
      </c>
      <c r="BA21" s="13"/>
      <c r="BB21" s="13" t="s">
        <v>179</v>
      </c>
      <c r="BC21" s="13"/>
      <c r="BE21" s="13"/>
      <c r="BF21" s="13">
        <v>423</v>
      </c>
      <c r="BG21" s="1">
        <v>423</v>
      </c>
      <c r="BL21" s="1" t="s">
        <v>235</v>
      </c>
      <c r="BM21" s="1">
        <v>427</v>
      </c>
      <c r="BN21" s="1">
        <v>427</v>
      </c>
      <c r="BQ21" s="1" t="s">
        <v>182</v>
      </c>
    </row>
    <row r="22" spans="1:69" x14ac:dyDescent="0.2">
      <c r="A22" s="1" t="s">
        <v>84</v>
      </c>
      <c r="B22" s="1" t="s">
        <v>129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/>
      <c r="J22" s="19">
        <v>1098</v>
      </c>
      <c r="K22" s="19">
        <v>775</v>
      </c>
      <c r="L22" s="19"/>
      <c r="M22" s="19"/>
      <c r="N22" s="19"/>
      <c r="O22" s="19"/>
      <c r="P22" s="20"/>
      <c r="Q22" s="9"/>
      <c r="R22" s="9">
        <v>0.7</v>
      </c>
      <c r="S22" s="20"/>
      <c r="T22" s="19"/>
      <c r="U22" s="9"/>
      <c r="V22" s="19">
        <v>1107</v>
      </c>
      <c r="AB22" s="1">
        <v>0.5</v>
      </c>
      <c r="AJ22" s="1" t="s">
        <v>174</v>
      </c>
      <c r="AM22" s="19"/>
      <c r="AN22" s="19"/>
      <c r="AO22" s="8">
        <f>1*Umrechnungsfaktoren!$B$15/Umrechnungsfaktoren!$B$7</f>
        <v>1.1137339055793991</v>
      </c>
      <c r="AP22" s="8">
        <f>1000*Umrechnungsfaktoren!$B$15/Umrechnungsfaktoren!$B$7</f>
        <v>1113.7339055793991</v>
      </c>
      <c r="AQ22" s="8"/>
      <c r="AR22" s="8"/>
      <c r="AS22" s="8"/>
      <c r="AT22" s="8">
        <f>1*Umrechnungsfaktoren!$B$15/Umrechnungsfaktoren!$B$7</f>
        <v>1.1137339055793991</v>
      </c>
      <c r="AV22" s="1" t="s">
        <v>1151</v>
      </c>
      <c r="AW22" s="1">
        <v>427</v>
      </c>
      <c r="AX22" s="1">
        <v>424</v>
      </c>
      <c r="AY22" s="13" t="s">
        <v>223</v>
      </c>
      <c r="BA22" s="13"/>
      <c r="BB22" s="13" t="s">
        <v>180</v>
      </c>
      <c r="BC22" s="13"/>
      <c r="BE22" s="13">
        <v>424</v>
      </c>
      <c r="BF22" s="13"/>
      <c r="BG22" s="1">
        <v>424</v>
      </c>
      <c r="BL22" s="1" t="s">
        <v>235</v>
      </c>
      <c r="BM22" s="1">
        <v>427</v>
      </c>
      <c r="BN22" s="1">
        <v>427</v>
      </c>
      <c r="BP22" s="1">
        <v>424</v>
      </c>
    </row>
    <row r="23" spans="1:69" x14ac:dyDescent="0.2">
      <c r="A23" s="1" t="s">
        <v>84</v>
      </c>
      <c r="B23" s="1" t="s">
        <v>129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/>
      <c r="J23" s="19">
        <v>1098</v>
      </c>
      <c r="K23" s="19">
        <v>775</v>
      </c>
      <c r="L23" s="19"/>
      <c r="M23" s="19"/>
      <c r="N23" s="19"/>
      <c r="O23" s="19"/>
      <c r="P23" s="20"/>
      <c r="Q23" s="9"/>
      <c r="R23" s="9">
        <v>0.7</v>
      </c>
      <c r="S23" s="20"/>
      <c r="T23" s="19"/>
      <c r="U23" s="9"/>
      <c r="V23" s="19">
        <v>1107</v>
      </c>
      <c r="AB23" s="1">
        <v>0.5</v>
      </c>
      <c r="AJ23" s="1" t="s">
        <v>174</v>
      </c>
      <c r="AM23" s="19"/>
      <c r="AN23" s="19"/>
      <c r="AO23" s="8">
        <f>1*Umrechnungsfaktoren!$B$15/Umrechnungsfaktoren!$B$7</f>
        <v>1.1137339055793991</v>
      </c>
      <c r="AP23" s="8">
        <f>1000*Umrechnungsfaktoren!$B$15/Umrechnungsfaktoren!$B$7</f>
        <v>1113.7339055793991</v>
      </c>
      <c r="AQ23" s="8"/>
      <c r="AR23" s="8"/>
      <c r="AS23" s="8"/>
      <c r="AT23" s="8">
        <f>1*Umrechnungsfaktoren!$B$15/Umrechnungsfaktoren!$B$7</f>
        <v>1.1137339055793991</v>
      </c>
      <c r="AV23" s="1" t="s">
        <v>1151</v>
      </c>
      <c r="AW23" s="1">
        <v>427</v>
      </c>
      <c r="AX23" s="1">
        <v>424</v>
      </c>
      <c r="AY23" s="13" t="s">
        <v>208</v>
      </c>
      <c r="BA23" s="13"/>
      <c r="BB23" s="13" t="s">
        <v>180</v>
      </c>
      <c r="BC23" s="13"/>
      <c r="BE23" s="13">
        <v>424</v>
      </c>
      <c r="BF23" s="13"/>
      <c r="BG23" s="1">
        <v>424</v>
      </c>
      <c r="BL23" s="1" t="s">
        <v>235</v>
      </c>
      <c r="BM23" s="1">
        <v>427</v>
      </c>
      <c r="BN23" s="1">
        <v>427</v>
      </c>
      <c r="BP23" s="1">
        <v>424</v>
      </c>
      <c r="BQ23" s="1" t="s">
        <v>182</v>
      </c>
    </row>
    <row r="24" spans="1:69" x14ac:dyDescent="0.2">
      <c r="A24" s="1" t="s">
        <v>77</v>
      </c>
      <c r="B24" s="1" t="s">
        <v>129</v>
      </c>
      <c r="C24" s="1">
        <v>2010</v>
      </c>
      <c r="D24" s="1">
        <v>1</v>
      </c>
      <c r="E24" s="1">
        <v>0</v>
      </c>
      <c r="F24" s="1">
        <v>0</v>
      </c>
      <c r="G24" s="19"/>
      <c r="H24" s="19">
        <v>217</v>
      </c>
      <c r="I24" s="19">
        <v>311</v>
      </c>
      <c r="J24" s="19"/>
      <c r="K24" s="19">
        <v>222</v>
      </c>
      <c r="L24" s="19"/>
      <c r="M24" s="19">
        <v>94</v>
      </c>
      <c r="N24" s="19"/>
      <c r="O24" s="19"/>
      <c r="P24" s="20"/>
      <c r="Q24" s="9"/>
      <c r="R24" s="9">
        <v>0.65</v>
      </c>
      <c r="S24" s="20"/>
      <c r="T24" s="19"/>
      <c r="U24" s="9"/>
      <c r="V24" s="19"/>
      <c r="AH24" s="1">
        <v>1.5</v>
      </c>
      <c r="AM24" s="19">
        <f>5*Umrechnungsfaktoren!$B$15/Umrechnungsfaktoren!$B$7</f>
        <v>5.5686695278969953</v>
      </c>
      <c r="AN24" s="19">
        <f>20*Umrechnungsfaktoren!$B$15/Umrechnungsfaktoren!$B$7</f>
        <v>22.274678111587981</v>
      </c>
      <c r="AO24" s="8"/>
      <c r="AP24" s="8"/>
      <c r="AQ24" s="8"/>
      <c r="AR24" s="8">
        <f>10*Umrechnungsfaktoren!$B$15/Umrechnungsfaktoren!$B$7</f>
        <v>11.137339055793991</v>
      </c>
      <c r="AS24" s="8">
        <f>1*Umrechnungsfaktoren!$B$15/Umrechnungsfaktoren!$B$7</f>
        <v>1.1137339055793991</v>
      </c>
      <c r="AT24" s="8">
        <f>90*Umrechnungsfaktoren!$B$15/Umrechnungsfaktoren!$B$7</f>
        <v>100.23605150214591</v>
      </c>
      <c r="AV24" s="1" t="s">
        <v>210</v>
      </c>
      <c r="AW24" s="1">
        <v>424</v>
      </c>
      <c r="AX24" s="1">
        <v>427</v>
      </c>
      <c r="AY24" s="13" t="s">
        <v>223</v>
      </c>
      <c r="AZ24" s="1">
        <v>424</v>
      </c>
      <c r="BA24" s="13"/>
      <c r="BB24" s="13" t="s">
        <v>180</v>
      </c>
      <c r="BC24" s="13"/>
      <c r="BE24" s="13"/>
      <c r="BF24" s="13"/>
      <c r="BH24" s="1" t="s">
        <v>209</v>
      </c>
      <c r="BL24" s="1" t="s">
        <v>235</v>
      </c>
      <c r="BM24" s="1">
        <v>427</v>
      </c>
      <c r="BN24" s="1" t="s">
        <v>336</v>
      </c>
    </row>
    <row r="25" spans="1:69" x14ac:dyDescent="0.2">
      <c r="A25" s="1" t="s">
        <v>77</v>
      </c>
      <c r="B25" s="1" t="s">
        <v>129</v>
      </c>
      <c r="C25" s="1">
        <v>2020</v>
      </c>
      <c r="D25" s="1">
        <v>1</v>
      </c>
      <c r="E25" s="1">
        <v>0</v>
      </c>
      <c r="F25" s="1">
        <v>0</v>
      </c>
      <c r="G25" s="19"/>
      <c r="H25" s="19">
        <v>217</v>
      </c>
      <c r="I25" s="19">
        <v>311</v>
      </c>
      <c r="J25" s="19"/>
      <c r="K25" s="19">
        <v>222</v>
      </c>
      <c r="L25" s="19"/>
      <c r="M25" s="19">
        <v>94</v>
      </c>
      <c r="N25" s="19"/>
      <c r="O25" s="19"/>
      <c r="P25" s="20"/>
      <c r="Q25" s="9"/>
      <c r="R25" s="9">
        <v>0.65</v>
      </c>
      <c r="S25" s="20"/>
      <c r="T25" s="19"/>
      <c r="U25" s="9"/>
      <c r="V25" s="19"/>
      <c r="AH25" s="1">
        <v>1.5</v>
      </c>
      <c r="AM25" s="19">
        <f>5*Umrechnungsfaktoren!$B$15/Umrechnungsfaktoren!$B$7</f>
        <v>5.5686695278969953</v>
      </c>
      <c r="AN25" s="19">
        <f>20*Umrechnungsfaktoren!$B$15/Umrechnungsfaktoren!$B$7</f>
        <v>22.274678111587981</v>
      </c>
      <c r="AO25" s="8"/>
      <c r="AP25" s="8"/>
      <c r="AQ25" s="8"/>
      <c r="AR25" s="8">
        <f>10*Umrechnungsfaktoren!$B$15/Umrechnungsfaktoren!$B$7</f>
        <v>11.137339055793991</v>
      </c>
      <c r="AS25" s="8">
        <f>1*Umrechnungsfaktoren!$B$15/Umrechnungsfaktoren!$B$7</f>
        <v>1.1137339055793991</v>
      </c>
      <c r="AT25" s="8">
        <f>90*Umrechnungsfaktoren!$B$15/Umrechnungsfaktoren!$B$7</f>
        <v>100.23605150214591</v>
      </c>
      <c r="AV25" s="1" t="s">
        <v>210</v>
      </c>
      <c r="AW25" s="1">
        <v>424</v>
      </c>
      <c r="AX25" s="1">
        <v>427</v>
      </c>
      <c r="AY25" s="13" t="s">
        <v>208</v>
      </c>
      <c r="AZ25" s="1">
        <v>424</v>
      </c>
      <c r="BA25" s="13"/>
      <c r="BB25" s="13" t="s">
        <v>180</v>
      </c>
      <c r="BC25" s="13"/>
      <c r="BE25" s="13"/>
      <c r="BF25" s="13"/>
      <c r="BH25" s="1" t="s">
        <v>209</v>
      </c>
      <c r="BL25" s="1" t="s">
        <v>235</v>
      </c>
      <c r="BM25" s="1">
        <v>427</v>
      </c>
      <c r="BN25" s="1" t="s">
        <v>336</v>
      </c>
      <c r="BQ25" s="1" t="s">
        <v>182</v>
      </c>
    </row>
    <row r="26" spans="1:69" x14ac:dyDescent="0.2">
      <c r="A26" s="1" t="s">
        <v>224</v>
      </c>
      <c r="B26" s="1" t="s">
        <v>129</v>
      </c>
      <c r="C26" s="1">
        <v>2010</v>
      </c>
      <c r="D26" s="1">
        <v>1</v>
      </c>
      <c r="E26" s="1">
        <v>0</v>
      </c>
      <c r="F26" s="1">
        <v>0</v>
      </c>
      <c r="G26" s="19"/>
      <c r="H26" s="19">
        <v>1598</v>
      </c>
      <c r="I26" s="19"/>
      <c r="J26" s="19"/>
      <c r="K26" s="19"/>
      <c r="L26" s="19"/>
      <c r="M26" s="19">
        <v>2680</v>
      </c>
      <c r="N26" s="19"/>
      <c r="O26" s="19"/>
      <c r="P26" s="20"/>
      <c r="Q26" s="9"/>
      <c r="R26" s="9"/>
      <c r="S26" s="20"/>
      <c r="T26" s="19"/>
      <c r="U26" s="9"/>
      <c r="V26" s="19">
        <v>4278</v>
      </c>
      <c r="AM26" s="19"/>
      <c r="AN26" s="19"/>
      <c r="AO26" s="1">
        <f>22*Umrechnungsfaktoren!$B$15/Umrechnungsfaktoren!$B$7</f>
        <v>24.502145922746781</v>
      </c>
      <c r="AP26" s="8"/>
      <c r="AQ26" s="8"/>
      <c r="AR26" s="8"/>
      <c r="AS26" s="8"/>
      <c r="AT26" s="8"/>
      <c r="AW26" s="13">
        <v>526</v>
      </c>
      <c r="AX26" s="1">
        <v>526</v>
      </c>
      <c r="AY26" s="13">
        <v>526</v>
      </c>
      <c r="AZ26" s="1">
        <v>526</v>
      </c>
      <c r="BA26" s="13"/>
      <c r="BB26" s="13"/>
      <c r="BC26" s="13"/>
      <c r="BE26" s="13">
        <v>526</v>
      </c>
      <c r="BF26" s="13"/>
      <c r="BL26" s="1">
        <v>532</v>
      </c>
    </row>
    <row r="27" spans="1:69" x14ac:dyDescent="0.2">
      <c r="A27" s="1" t="s">
        <v>224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G27" s="19"/>
      <c r="H27" s="19">
        <v>1598</v>
      </c>
      <c r="I27" s="19"/>
      <c r="J27" s="19"/>
      <c r="K27" s="19"/>
      <c r="L27" s="19"/>
      <c r="M27" s="19">
        <v>2680</v>
      </c>
      <c r="N27" s="19"/>
      <c r="O27" s="19"/>
      <c r="P27" s="20"/>
      <c r="Q27" s="9"/>
      <c r="R27" s="9"/>
      <c r="S27" s="20"/>
      <c r="T27" s="19"/>
      <c r="U27" s="9"/>
      <c r="V27" s="19">
        <v>4278</v>
      </c>
      <c r="AM27" s="19"/>
      <c r="AN27" s="19"/>
      <c r="AO27" s="1">
        <f>2*Umrechnungsfaktoren!$B$15/Umrechnungsfaktoren!$B$7</f>
        <v>2.2274678111587982</v>
      </c>
      <c r="AP27" s="8"/>
      <c r="AQ27" s="8"/>
      <c r="AR27" s="8"/>
      <c r="AS27" s="8"/>
      <c r="AT27" s="8"/>
      <c r="AW27" s="13"/>
      <c r="AY27" s="13"/>
      <c r="BA27" s="13"/>
      <c r="BB27" s="13"/>
      <c r="BC27" s="13"/>
      <c r="BE27" s="13"/>
      <c r="BF27" s="13"/>
      <c r="BL27" s="1">
        <v>532</v>
      </c>
    </row>
    <row r="28" spans="1:69" x14ac:dyDescent="0.2">
      <c r="A28" s="1" t="s">
        <v>213</v>
      </c>
      <c r="B28" s="1" t="s">
        <v>129</v>
      </c>
      <c r="C28" s="1">
        <v>2010</v>
      </c>
      <c r="D28" s="1">
        <v>1</v>
      </c>
      <c r="E28" s="1">
        <v>0</v>
      </c>
      <c r="F28" s="1">
        <v>0</v>
      </c>
      <c r="G28" s="19"/>
      <c r="H28" s="19">
        <v>1075</v>
      </c>
      <c r="I28" s="19"/>
      <c r="J28" s="19"/>
      <c r="K28" s="19"/>
      <c r="L28" s="19"/>
      <c r="M28" s="19">
        <v>141</v>
      </c>
      <c r="N28" s="19"/>
      <c r="O28" s="19"/>
      <c r="P28" s="20"/>
      <c r="Q28" s="9"/>
      <c r="R28" s="9"/>
      <c r="S28" s="20"/>
      <c r="T28" s="19"/>
      <c r="U28" s="9"/>
      <c r="V28" s="19">
        <v>1215</v>
      </c>
      <c r="AM28" s="19"/>
      <c r="AN28" s="19"/>
      <c r="AO28" s="1">
        <f>389*Umrechnungsfaktoren!$B$15/Umrechnungsfaktoren!$B$7</f>
        <v>433.24248927038622</v>
      </c>
      <c r="AP28" s="8"/>
      <c r="AQ28" s="8"/>
      <c r="AR28" s="8"/>
      <c r="AS28" s="8"/>
      <c r="AT28" s="8"/>
      <c r="AW28" s="1">
        <v>527</v>
      </c>
      <c r="AX28" s="1">
        <v>527</v>
      </c>
      <c r="AY28" s="13">
        <v>526</v>
      </c>
      <c r="AZ28" s="1">
        <v>526</v>
      </c>
      <c r="BA28" s="13"/>
      <c r="BB28" s="13"/>
      <c r="BC28" s="13"/>
      <c r="BE28" s="13">
        <v>526</v>
      </c>
      <c r="BF28" s="13"/>
      <c r="BL28" s="1">
        <v>532</v>
      </c>
    </row>
    <row r="29" spans="1:69" x14ac:dyDescent="0.2">
      <c r="A29" s="1" t="s">
        <v>213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G29" s="19"/>
      <c r="H29" s="19">
        <v>1075</v>
      </c>
      <c r="I29" s="19"/>
      <c r="J29" s="19"/>
      <c r="K29" s="19"/>
      <c r="L29" s="19"/>
      <c r="M29" s="19">
        <v>141</v>
      </c>
      <c r="N29" s="19"/>
      <c r="O29" s="19"/>
      <c r="P29" s="20"/>
      <c r="Q29" s="9"/>
      <c r="R29" s="9"/>
      <c r="S29" s="20"/>
      <c r="T29" s="19"/>
      <c r="U29" s="9"/>
      <c r="V29" s="19">
        <v>1215</v>
      </c>
      <c r="AM29" s="19"/>
      <c r="AN29" s="19"/>
      <c r="AO29" s="1">
        <f>28*Umrechnungsfaktoren!$B$15/Umrechnungsfaktoren!$B$7</f>
        <v>31.184549356223172</v>
      </c>
      <c r="AP29" s="8"/>
      <c r="AQ29" s="8"/>
      <c r="AR29" s="8"/>
      <c r="AS29" s="8"/>
      <c r="AT29" s="8"/>
      <c r="AY29" s="13"/>
      <c r="BA29" s="13"/>
      <c r="BB29" s="13"/>
      <c r="BC29" s="13"/>
      <c r="BE29" s="13"/>
      <c r="BF29" s="13"/>
      <c r="BL29" s="1">
        <v>532</v>
      </c>
    </row>
    <row r="30" spans="1:69" x14ac:dyDescent="0.2">
      <c r="A30" s="1" t="s">
        <v>211</v>
      </c>
      <c r="B30" s="1" t="s">
        <v>129</v>
      </c>
      <c r="C30" s="1">
        <v>2010</v>
      </c>
      <c r="D30" s="1">
        <v>1</v>
      </c>
      <c r="E30" s="1">
        <v>1</v>
      </c>
      <c r="F30" s="1">
        <v>0</v>
      </c>
      <c r="G30" s="19"/>
      <c r="H30" s="19">
        <f>1478</f>
        <v>1478</v>
      </c>
      <c r="I30" s="19"/>
      <c r="J30" s="19">
        <v>572</v>
      </c>
      <c r="K30" s="19"/>
      <c r="L30" s="19"/>
      <c r="M30" s="19">
        <f>703</f>
        <v>703</v>
      </c>
      <c r="N30" s="19">
        <f>Tabelle589[[#This Row],[Potenzial pos. MW Durchschnitt]]-572</f>
        <v>906</v>
      </c>
      <c r="O30" s="19"/>
      <c r="P30" s="20"/>
      <c r="Q30" s="9"/>
      <c r="R30" s="9"/>
      <c r="S30" s="20"/>
      <c r="T30" s="19"/>
      <c r="U30" s="9"/>
      <c r="V30" s="19">
        <f>2180+572</f>
        <v>2752</v>
      </c>
      <c r="AM30" s="19"/>
      <c r="AN30" s="19"/>
      <c r="AO30" s="1">
        <f>4*Umrechnungsfaktoren!$B$15/Umrechnungsfaktoren!$B$7</f>
        <v>4.4549356223175964</v>
      </c>
      <c r="AP30" s="8"/>
      <c r="AQ30" s="8"/>
      <c r="AR30" s="8"/>
      <c r="AS30" s="8"/>
      <c r="AT30" s="8"/>
      <c r="AV30" s="1" t="s">
        <v>225</v>
      </c>
      <c r="AW30" s="1">
        <v>527</v>
      </c>
      <c r="AX30" s="1">
        <v>527</v>
      </c>
      <c r="AY30" s="13">
        <v>527</v>
      </c>
      <c r="AZ30" s="1">
        <v>527</v>
      </c>
      <c r="BA30" s="13"/>
      <c r="BB30" s="13"/>
      <c r="BC30" s="13"/>
      <c r="BE30" s="13">
        <v>527</v>
      </c>
      <c r="BF30" s="13"/>
      <c r="BL30" s="1">
        <v>532</v>
      </c>
    </row>
    <row r="31" spans="1:69" x14ac:dyDescent="0.2">
      <c r="A31" s="1" t="s">
        <v>211</v>
      </c>
      <c r="B31" s="1" t="s">
        <v>129</v>
      </c>
      <c r="C31" s="1">
        <v>2020</v>
      </c>
      <c r="D31" s="1">
        <v>1</v>
      </c>
      <c r="E31" s="1">
        <v>1</v>
      </c>
      <c r="F31" s="1">
        <v>0</v>
      </c>
      <c r="G31" s="19"/>
      <c r="H31" s="19">
        <f>1478</f>
        <v>1478</v>
      </c>
      <c r="I31" s="19"/>
      <c r="J31" s="19">
        <v>572</v>
      </c>
      <c r="K31" s="19"/>
      <c r="L31" s="19"/>
      <c r="M31" s="19">
        <f>703</f>
        <v>703</v>
      </c>
      <c r="N31" s="19"/>
      <c r="O31" s="19"/>
      <c r="P31" s="20"/>
      <c r="Q31" s="9"/>
      <c r="R31" s="9"/>
      <c r="S31" s="20"/>
      <c r="T31" s="19"/>
      <c r="U31" s="9"/>
      <c r="V31" s="19">
        <f>2180+572</f>
        <v>2752</v>
      </c>
      <c r="AM31" s="19"/>
      <c r="AN31" s="19"/>
      <c r="AO31" s="1">
        <f>1*Umrechnungsfaktoren!$B$15/Umrechnungsfaktoren!$B$7</f>
        <v>1.1137339055793991</v>
      </c>
      <c r="AP31" s="8"/>
      <c r="AQ31" s="8"/>
      <c r="AR31" s="8"/>
      <c r="AS31" s="8"/>
      <c r="AT31" s="8"/>
      <c r="AV31" s="1" t="s">
        <v>225</v>
      </c>
      <c r="AY31" s="13"/>
      <c r="BA31" s="13"/>
      <c r="BB31" s="13"/>
      <c r="BC31" s="13"/>
      <c r="BE31" s="13"/>
      <c r="BF31" s="13"/>
      <c r="BL31" s="1">
        <v>532</v>
      </c>
    </row>
    <row r="32" spans="1:69" x14ac:dyDescent="0.2">
      <c r="A32" s="1" t="s">
        <v>81</v>
      </c>
      <c r="B32" s="1" t="s">
        <v>129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19"/>
      <c r="N32" s="19"/>
      <c r="O32" s="19"/>
      <c r="P32" s="20"/>
      <c r="Q32" s="9"/>
      <c r="R32" s="9"/>
      <c r="S32" s="20"/>
      <c r="T32" s="19"/>
      <c r="U32" s="9"/>
      <c r="V32" s="19"/>
      <c r="W32" s="1">
        <v>12</v>
      </c>
      <c r="AM32" s="19"/>
      <c r="AN32" s="19"/>
      <c r="AR32" s="8"/>
      <c r="AS32" s="8"/>
      <c r="AT32" s="8"/>
      <c r="AV32" s="1" t="s">
        <v>177</v>
      </c>
      <c r="AY32" s="13"/>
      <c r="BA32" s="13"/>
      <c r="BB32" s="13"/>
      <c r="BC32" s="13"/>
      <c r="BE32" s="13"/>
      <c r="BF32" s="13"/>
      <c r="BP32" s="1">
        <v>424</v>
      </c>
    </row>
    <row r="33" spans="1:68" x14ac:dyDescent="0.2">
      <c r="A33" s="1" t="s">
        <v>82</v>
      </c>
      <c r="B33" s="1" t="s">
        <v>129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19"/>
      <c r="N33" s="19"/>
      <c r="O33" s="19"/>
      <c r="P33" s="20"/>
      <c r="Q33" s="9"/>
      <c r="R33" s="9"/>
      <c r="S33" s="20"/>
      <c r="T33" s="19"/>
      <c r="U33" s="9"/>
      <c r="V33" s="19"/>
      <c r="AM33" s="19"/>
      <c r="AN33" s="19"/>
      <c r="AR33" s="8"/>
      <c r="AS33" s="8"/>
      <c r="AT33" s="8"/>
      <c r="AV33" s="1" t="s">
        <v>176</v>
      </c>
      <c r="AY33" s="13"/>
      <c r="BA33" s="13"/>
      <c r="BB33" s="13"/>
      <c r="BC33" s="13"/>
      <c r="BE33" s="13"/>
      <c r="BF33" s="13"/>
      <c r="BP33" s="1">
        <v>424</v>
      </c>
    </row>
    <row r="34" spans="1:68" x14ac:dyDescent="0.2">
      <c r="A34" s="1" t="s">
        <v>211</v>
      </c>
      <c r="B34" s="1" t="s">
        <v>130</v>
      </c>
      <c r="C34" s="1">
        <v>2010</v>
      </c>
      <c r="D34" s="1">
        <v>1</v>
      </c>
      <c r="E34" s="1">
        <v>0</v>
      </c>
      <c r="F34" s="1">
        <v>0</v>
      </c>
      <c r="G34" s="19"/>
      <c r="H34" s="19">
        <v>656</v>
      </c>
      <c r="I34" s="19">
        <v>1200</v>
      </c>
      <c r="J34" s="19"/>
      <c r="K34" s="19"/>
      <c r="L34" s="19"/>
      <c r="M34" s="19">
        <v>367</v>
      </c>
      <c r="N34" s="19"/>
      <c r="O34" s="19"/>
      <c r="P34" s="20"/>
      <c r="Q34" s="9"/>
      <c r="R34" s="9"/>
      <c r="S34" s="20"/>
      <c r="T34" s="19"/>
      <c r="U34" s="9"/>
      <c r="V34" s="19">
        <v>2800</v>
      </c>
      <c r="AF34" s="1">
        <v>0.5</v>
      </c>
      <c r="AG34" s="1">
        <v>2</v>
      </c>
      <c r="AM34" s="19">
        <f>3*Umrechnungsfaktoren!$B$15/Umrechnungsfaktoren!$B$7</f>
        <v>3.3412017167381971</v>
      </c>
      <c r="AN34" s="19">
        <f>886*Umrechnungsfaktoren!$B$15/Umrechnungsfaktoren!$B$7</f>
        <v>986.76824034334754</v>
      </c>
      <c r="AP34" s="8"/>
      <c r="AQ34" s="8"/>
      <c r="AR34" s="8">
        <f>1*Umrechnungsfaktoren!$B$15/Umrechnungsfaktoren!$B$7</f>
        <v>1.1137339055793991</v>
      </c>
      <c r="AS34" s="8"/>
      <c r="AT34" s="8"/>
      <c r="AW34" s="13">
        <v>519</v>
      </c>
      <c r="AX34" s="1">
        <v>519</v>
      </c>
      <c r="AY34" s="13">
        <v>519</v>
      </c>
      <c r="AZ34" s="1">
        <v>519</v>
      </c>
      <c r="BA34" s="13"/>
      <c r="BB34" s="13"/>
      <c r="BC34" s="13"/>
      <c r="BE34" s="13">
        <v>519</v>
      </c>
      <c r="BF34" s="13"/>
      <c r="BH34" s="1">
        <v>519</v>
      </c>
      <c r="BL34" s="1">
        <v>532</v>
      </c>
      <c r="BM34" s="1">
        <v>530</v>
      </c>
    </row>
    <row r="35" spans="1:68" x14ac:dyDescent="0.2">
      <c r="A35" s="1" t="s">
        <v>211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G35" s="19"/>
      <c r="H35" s="19">
        <v>656</v>
      </c>
      <c r="I35" s="19">
        <v>1200</v>
      </c>
      <c r="J35" s="19"/>
      <c r="K35" s="19"/>
      <c r="L35" s="19"/>
      <c r="M35" s="19">
        <v>367</v>
      </c>
      <c r="N35" s="19"/>
      <c r="O35" s="19"/>
      <c r="P35" s="20"/>
      <c r="Q35" s="9"/>
      <c r="R35" s="9"/>
      <c r="S35" s="20"/>
      <c r="T35" s="19"/>
      <c r="U35" s="9"/>
      <c r="V35" s="19">
        <v>2800</v>
      </c>
      <c r="AF35" s="1">
        <v>0.5</v>
      </c>
      <c r="AG35" s="1">
        <v>2</v>
      </c>
      <c r="AM35" s="19">
        <f>1*Umrechnungsfaktoren!$B$15/Umrechnungsfaktoren!$B$7</f>
        <v>1.1137339055793991</v>
      </c>
      <c r="AN35" s="19">
        <f>55*Umrechnungsfaktoren!$B$15/Umrechnungsfaktoren!$B$7</f>
        <v>61.25536480686695</v>
      </c>
      <c r="AP35" s="8"/>
      <c r="AQ35" s="8"/>
      <c r="AR35" s="8">
        <f>1*Umrechnungsfaktoren!$B$15/Umrechnungsfaktoren!$B$7</f>
        <v>1.1137339055793991</v>
      </c>
      <c r="AS35" s="8"/>
      <c r="AT35" s="8"/>
      <c r="AW35" s="13"/>
      <c r="AY35" s="13"/>
      <c r="BA35" s="13"/>
      <c r="BB35" s="13"/>
      <c r="BC35" s="13"/>
      <c r="BE35" s="13"/>
      <c r="BF35" s="13"/>
      <c r="BL35" s="1">
        <v>532</v>
      </c>
    </row>
    <row r="36" spans="1:68" x14ac:dyDescent="0.2">
      <c r="A36" s="1" t="s">
        <v>212</v>
      </c>
      <c r="B36" s="1" t="s">
        <v>130</v>
      </c>
      <c r="C36" s="1">
        <v>2010</v>
      </c>
      <c r="D36" s="1">
        <v>1</v>
      </c>
      <c r="E36" s="1">
        <v>0</v>
      </c>
      <c r="F36" s="1">
        <v>0</v>
      </c>
      <c r="G36" s="19"/>
      <c r="H36" s="19">
        <v>107</v>
      </c>
      <c r="I36" s="19"/>
      <c r="J36" s="19"/>
      <c r="K36" s="19"/>
      <c r="L36" s="19"/>
      <c r="M36" s="19">
        <v>703</v>
      </c>
      <c r="N36" s="19"/>
      <c r="O36" s="19"/>
      <c r="P36" s="20"/>
      <c r="Q36" s="9"/>
      <c r="R36" s="9">
        <v>0.25</v>
      </c>
      <c r="S36" s="20"/>
      <c r="T36" s="19"/>
      <c r="U36" s="9"/>
      <c r="V36" s="19"/>
      <c r="AM36" s="19">
        <f>28*Umrechnungsfaktoren!$B$15/Umrechnungsfaktoren!$B$7</f>
        <v>31.184549356223172</v>
      </c>
      <c r="AN36" s="19">
        <f>179*Umrechnungsfaktoren!$B$15/Umrechnungsfaktoren!$B$7</f>
        <v>199.35836909871244</v>
      </c>
      <c r="AP36" s="8"/>
      <c r="AQ36" s="8"/>
      <c r="AR36" s="8">
        <f>1*Umrechnungsfaktoren!$B$15/Umrechnungsfaktoren!$B$7</f>
        <v>1.1137339055793991</v>
      </c>
      <c r="AS36" s="8"/>
      <c r="AT36" s="8"/>
      <c r="AW36" s="13">
        <v>520</v>
      </c>
      <c r="AX36" s="1">
        <v>520</v>
      </c>
      <c r="AY36" s="13">
        <v>520</v>
      </c>
      <c r="AZ36" s="1">
        <v>520</v>
      </c>
      <c r="BA36" s="13"/>
      <c r="BB36" s="13">
        <v>520</v>
      </c>
      <c r="BC36" s="13"/>
      <c r="BE36" s="13"/>
      <c r="BF36" s="13"/>
      <c r="BL36" s="1">
        <v>532</v>
      </c>
      <c r="BM36" s="1">
        <v>530</v>
      </c>
    </row>
    <row r="37" spans="1:68" x14ac:dyDescent="0.2">
      <c r="A37" s="1" t="s">
        <v>212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G37" s="19"/>
      <c r="H37" s="19">
        <v>107</v>
      </c>
      <c r="I37" s="19"/>
      <c r="J37" s="19"/>
      <c r="K37" s="19"/>
      <c r="L37" s="19"/>
      <c r="M37" s="19">
        <v>703</v>
      </c>
      <c r="N37" s="19"/>
      <c r="O37" s="19"/>
      <c r="P37" s="20"/>
      <c r="Q37" s="9"/>
      <c r="R37" s="9">
        <v>0.25</v>
      </c>
      <c r="S37" s="20"/>
      <c r="T37" s="19"/>
      <c r="U37" s="9"/>
      <c r="V37" s="19"/>
      <c r="AM37" s="19">
        <f>2*Umrechnungsfaktoren!$B$15/Umrechnungsfaktoren!$B$7</f>
        <v>2.2274678111587982</v>
      </c>
      <c r="AN37" s="19">
        <f>13*Umrechnungsfaktoren!$B$15/Umrechnungsfaktoren!$B$7</f>
        <v>14.478540772532188</v>
      </c>
      <c r="AP37" s="8"/>
      <c r="AQ37" s="8"/>
      <c r="AR37" s="8">
        <f>1*Umrechnungsfaktoren!$B$15/Umrechnungsfaktoren!$B$7</f>
        <v>1.1137339055793991</v>
      </c>
      <c r="AS37" s="8"/>
      <c r="AT37" s="8"/>
      <c r="AW37" s="13"/>
      <c r="AY37" s="13"/>
      <c r="BA37" s="13"/>
      <c r="BB37" s="13"/>
      <c r="BC37" s="13"/>
      <c r="BE37" s="13"/>
      <c r="BF37" s="13"/>
      <c r="BL37" s="1">
        <v>532</v>
      </c>
    </row>
    <row r="38" spans="1:68" x14ac:dyDescent="0.2">
      <c r="A38" s="1" t="s">
        <v>213</v>
      </c>
      <c r="B38" s="1" t="s">
        <v>130</v>
      </c>
      <c r="C38" s="1">
        <v>2010</v>
      </c>
      <c r="D38" s="1">
        <v>1</v>
      </c>
      <c r="E38" s="1">
        <v>0</v>
      </c>
      <c r="F38" s="1">
        <v>0</v>
      </c>
      <c r="G38" s="19"/>
      <c r="H38" s="19">
        <v>476</v>
      </c>
      <c r="I38" s="19"/>
      <c r="J38" s="19"/>
      <c r="K38" s="19"/>
      <c r="L38" s="19"/>
      <c r="M38" s="19">
        <v>1372</v>
      </c>
      <c r="N38" s="19"/>
      <c r="O38" s="19"/>
      <c r="P38" s="20"/>
      <c r="Q38" s="9"/>
      <c r="R38" s="9"/>
      <c r="S38" s="20"/>
      <c r="T38" s="19"/>
      <c r="U38" s="9"/>
      <c r="V38" s="19"/>
      <c r="AM38" s="19">
        <f>349*Umrechnungsfaktoren!$B$15/Umrechnungsfaktoren!$B$7</f>
        <v>388.69313304721027</v>
      </c>
      <c r="AN38" s="19">
        <f>1227*Umrechnungsfaktoren!$B$15/Umrechnungsfaktoren!$B$7</f>
        <v>1366.5515021459225</v>
      </c>
      <c r="AP38" s="8"/>
      <c r="AQ38" s="8"/>
      <c r="AR38" s="8">
        <f>1*Umrechnungsfaktoren!$B$15/Umrechnungsfaktoren!$B$7</f>
        <v>1.1137339055793991</v>
      </c>
      <c r="AS38" s="8"/>
      <c r="AT38" s="8"/>
      <c r="AW38" s="13">
        <v>520</v>
      </c>
      <c r="AX38" s="1">
        <v>520</v>
      </c>
      <c r="AY38" s="13">
        <v>520</v>
      </c>
      <c r="AZ38" s="1">
        <v>520</v>
      </c>
      <c r="BA38" s="13"/>
      <c r="BB38" s="13"/>
      <c r="BC38" s="13"/>
      <c r="BE38" s="13">
        <v>520</v>
      </c>
      <c r="BF38" s="13"/>
      <c r="BL38" s="1">
        <v>532</v>
      </c>
      <c r="BM38" s="1">
        <v>530</v>
      </c>
    </row>
    <row r="39" spans="1:68" x14ac:dyDescent="0.2">
      <c r="A39" s="1" t="s">
        <v>213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G39" s="19"/>
      <c r="H39" s="19">
        <v>476</v>
      </c>
      <c r="I39" s="19"/>
      <c r="J39" s="19"/>
      <c r="K39" s="19"/>
      <c r="L39" s="19"/>
      <c r="M39" s="19">
        <v>1372</v>
      </c>
      <c r="N39" s="19"/>
      <c r="O39" s="19"/>
      <c r="P39" s="20"/>
      <c r="Q39" s="9"/>
      <c r="R39" s="9"/>
      <c r="S39" s="20"/>
      <c r="T39" s="19"/>
      <c r="U39" s="9"/>
      <c r="V39" s="19"/>
      <c r="AM39" s="19">
        <f>25*Umrechnungsfaktoren!$B$15/Umrechnungsfaktoren!$B$7</f>
        <v>27.843347639484975</v>
      </c>
      <c r="AN39" s="19">
        <f>87*Umrechnungsfaktoren!$B$15/Umrechnungsfaktoren!$B$7</f>
        <v>96.894849785407715</v>
      </c>
      <c r="AP39" s="8"/>
      <c r="AQ39" s="8"/>
      <c r="AR39" s="8">
        <f>1*Umrechnungsfaktoren!$B$15/Umrechnungsfaktoren!$B$7</f>
        <v>1.1137339055793991</v>
      </c>
      <c r="AS39" s="8"/>
      <c r="AT39" s="8"/>
      <c r="AW39" s="13"/>
      <c r="AY39" s="13"/>
      <c r="BA39" s="13"/>
      <c r="BB39" s="13"/>
      <c r="BC39" s="13"/>
      <c r="BE39" s="13"/>
      <c r="BF39" s="13"/>
      <c r="BL39" s="1">
        <v>532</v>
      </c>
    </row>
    <row r="40" spans="1:68" x14ac:dyDescent="0.2">
      <c r="A40" s="1" t="s">
        <v>214</v>
      </c>
      <c r="B40" s="1" t="s">
        <v>130</v>
      </c>
      <c r="C40" s="1">
        <v>2010</v>
      </c>
      <c r="D40" s="1">
        <v>1</v>
      </c>
      <c r="E40" s="1">
        <v>0</v>
      </c>
      <c r="F40" s="1">
        <v>0</v>
      </c>
      <c r="G40" s="19"/>
      <c r="H40" s="19">
        <v>436</v>
      </c>
      <c r="I40" s="19"/>
      <c r="J40" s="19"/>
      <c r="K40" s="19"/>
      <c r="L40" s="19"/>
      <c r="M40" s="19">
        <v>2330</v>
      </c>
      <c r="N40" s="19"/>
      <c r="O40" s="19"/>
      <c r="P40" s="20"/>
      <c r="Q40" s="9"/>
      <c r="R40" s="9">
        <v>0.75</v>
      </c>
      <c r="S40" s="20"/>
      <c r="T40" s="19"/>
      <c r="U40" s="9"/>
      <c r="V40" s="19">
        <v>2700</v>
      </c>
      <c r="AJ40" s="1" t="s">
        <v>218</v>
      </c>
      <c r="AM40" s="19">
        <f>15*Umrechnungsfaktoren!$B$15/Umrechnungsfaktoren!$B$7</f>
        <v>16.706008583690984</v>
      </c>
      <c r="AN40" s="19">
        <f>592*Umrechnungsfaktoren!$B$15/Umrechnungsfaktoren!$B$7</f>
        <v>659.33047210300424</v>
      </c>
      <c r="AP40" s="8"/>
      <c r="AQ40" s="8"/>
      <c r="AR40" s="8">
        <f>1*Umrechnungsfaktoren!$B$15/Umrechnungsfaktoren!$B$7</f>
        <v>1.1137339055793991</v>
      </c>
      <c r="AS40" s="8"/>
      <c r="AT40" s="8"/>
      <c r="AW40" s="13">
        <v>521</v>
      </c>
      <c r="AX40" s="1">
        <v>521</v>
      </c>
      <c r="AY40" s="13">
        <v>521</v>
      </c>
      <c r="AZ40" s="1">
        <v>521</v>
      </c>
      <c r="BA40" s="13"/>
      <c r="BB40" s="13">
        <v>521</v>
      </c>
      <c r="BC40" s="13"/>
      <c r="BE40" s="13">
        <v>521</v>
      </c>
      <c r="BF40" s="13"/>
      <c r="BJ40" s="1">
        <v>521</v>
      </c>
      <c r="BL40" s="1">
        <v>532</v>
      </c>
      <c r="BM40" s="1">
        <v>530</v>
      </c>
    </row>
    <row r="41" spans="1:68" x14ac:dyDescent="0.2">
      <c r="A41" s="1" t="s">
        <v>214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G41" s="19"/>
      <c r="H41" s="19">
        <v>436</v>
      </c>
      <c r="I41" s="19"/>
      <c r="J41" s="19"/>
      <c r="K41" s="19"/>
      <c r="L41" s="19"/>
      <c r="M41" s="19">
        <v>2330</v>
      </c>
      <c r="N41" s="19"/>
      <c r="O41" s="19"/>
      <c r="P41" s="20"/>
      <c r="Q41" s="9"/>
      <c r="R41" s="9">
        <v>0.75</v>
      </c>
      <c r="S41" s="20"/>
      <c r="T41" s="19"/>
      <c r="U41" s="9"/>
      <c r="V41" s="19">
        <v>2700</v>
      </c>
      <c r="AJ41" s="1" t="s">
        <v>218</v>
      </c>
      <c r="AM41" s="19">
        <f>1*Umrechnungsfaktoren!$B$15/Umrechnungsfaktoren!$B$7</f>
        <v>1.1137339055793991</v>
      </c>
      <c r="AN41" s="19">
        <f>37*Umrechnungsfaktoren!$B$15/Umrechnungsfaktoren!$B$7</f>
        <v>41.208154506437765</v>
      </c>
      <c r="AP41" s="8"/>
      <c r="AQ41" s="8"/>
      <c r="AR41" s="8">
        <f>1*Umrechnungsfaktoren!$B$15/Umrechnungsfaktoren!$B$7</f>
        <v>1.1137339055793991</v>
      </c>
      <c r="AS41" s="8"/>
      <c r="AT41" s="8"/>
      <c r="AW41" s="13"/>
      <c r="AY41" s="13"/>
      <c r="BA41" s="13"/>
      <c r="BB41" s="13"/>
      <c r="BC41" s="13"/>
      <c r="BE41" s="13"/>
      <c r="BF41" s="13"/>
      <c r="BL41" s="1">
        <v>532</v>
      </c>
    </row>
    <row r="42" spans="1:68" x14ac:dyDescent="0.2">
      <c r="A42" s="1" t="s">
        <v>140</v>
      </c>
      <c r="B42" s="1" t="s">
        <v>130</v>
      </c>
      <c r="C42" s="1">
        <v>2010</v>
      </c>
      <c r="D42" s="1">
        <v>1</v>
      </c>
      <c r="E42" s="1">
        <v>0</v>
      </c>
      <c r="F42" s="1">
        <v>0</v>
      </c>
      <c r="G42" s="19"/>
      <c r="H42" s="19">
        <v>747</v>
      </c>
      <c r="I42" s="19"/>
      <c r="J42" s="19"/>
      <c r="K42" s="19"/>
      <c r="L42" s="19"/>
      <c r="M42" s="19">
        <v>9475</v>
      </c>
      <c r="N42" s="19"/>
      <c r="O42" s="19"/>
      <c r="P42" s="20"/>
      <c r="Q42" s="9"/>
      <c r="R42" s="9"/>
      <c r="S42" s="20"/>
      <c r="T42" s="19"/>
      <c r="U42" s="9"/>
      <c r="V42" s="19"/>
      <c r="AM42" s="19">
        <f>8*Umrechnungsfaktoren!$B$15/Umrechnungsfaktoren!$B$7</f>
        <v>8.9098712446351929</v>
      </c>
      <c r="AN42" s="19">
        <f>46*Umrechnungsfaktoren!$B$15/Umrechnungsfaktoren!$B$7</f>
        <v>51.231759656652358</v>
      </c>
      <c r="AP42" s="8"/>
      <c r="AQ42" s="8"/>
      <c r="AR42" s="8">
        <f>1*Umrechnungsfaktoren!$B$15/Umrechnungsfaktoren!$B$7</f>
        <v>1.1137339055793991</v>
      </c>
      <c r="AS42" s="8"/>
      <c r="AT42" s="8"/>
      <c r="AW42" s="13">
        <v>521</v>
      </c>
      <c r="AX42" s="1">
        <v>521</v>
      </c>
      <c r="AY42" s="13">
        <v>521</v>
      </c>
      <c r="AZ42" s="1">
        <v>521</v>
      </c>
      <c r="BA42" s="13"/>
      <c r="BB42" s="13"/>
      <c r="BC42" s="13"/>
      <c r="BE42" s="13"/>
      <c r="BF42" s="13"/>
      <c r="BL42" s="1">
        <v>532</v>
      </c>
      <c r="BM42" s="1">
        <v>530</v>
      </c>
    </row>
    <row r="43" spans="1:68" x14ac:dyDescent="0.2">
      <c r="A43" s="1" t="s">
        <v>140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G43" s="19"/>
      <c r="H43" s="19">
        <v>747</v>
      </c>
      <c r="I43" s="19"/>
      <c r="J43" s="19"/>
      <c r="K43" s="19"/>
      <c r="L43" s="19"/>
      <c r="M43" s="19">
        <v>9475</v>
      </c>
      <c r="N43" s="19"/>
      <c r="O43" s="19"/>
      <c r="P43" s="20"/>
      <c r="Q43" s="9"/>
      <c r="R43" s="9"/>
      <c r="S43" s="20"/>
      <c r="T43" s="19"/>
      <c r="U43" s="9"/>
      <c r="V43" s="19"/>
      <c r="AM43" s="19">
        <f>1*Umrechnungsfaktoren!$B$15/Umrechnungsfaktoren!$B$7</f>
        <v>1.1137339055793991</v>
      </c>
      <c r="AN43" s="19">
        <f>3*Umrechnungsfaktoren!$B$15/Umrechnungsfaktoren!$B$7</f>
        <v>3.3412017167381971</v>
      </c>
      <c r="AP43" s="8"/>
      <c r="AQ43" s="8"/>
      <c r="AR43" s="8">
        <f>1*Umrechnungsfaktoren!$B$15/Umrechnungsfaktoren!$B$7</f>
        <v>1.1137339055793991</v>
      </c>
      <c r="AS43" s="8"/>
      <c r="AT43" s="8"/>
      <c r="AW43" s="13"/>
      <c r="AY43" s="13"/>
      <c r="BA43" s="13"/>
      <c r="BB43" s="13"/>
      <c r="BC43" s="13"/>
      <c r="BE43" s="13"/>
      <c r="BF43" s="13"/>
      <c r="BL43" s="1">
        <v>532</v>
      </c>
    </row>
    <row r="44" spans="1:68" x14ac:dyDescent="0.2">
      <c r="A44" s="1" t="s">
        <v>226</v>
      </c>
      <c r="B44" s="1" t="s">
        <v>130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/>
      <c r="J44" s="19">
        <v>131</v>
      </c>
      <c r="K44" s="19"/>
      <c r="L44" s="19"/>
      <c r="M44" s="19"/>
      <c r="N44" s="19"/>
      <c r="O44" s="19"/>
      <c r="P44" s="20"/>
      <c r="Q44" s="9">
        <v>0.48</v>
      </c>
      <c r="R44" s="9">
        <v>0.51</v>
      </c>
      <c r="S44" s="20"/>
      <c r="T44" s="19"/>
      <c r="U44" s="9"/>
      <c r="V44" s="19"/>
      <c r="X44" s="68"/>
      <c r="Y44" s="68"/>
      <c r="AA44" s="1">
        <v>0.5</v>
      </c>
      <c r="AB44" s="1">
        <v>2</v>
      </c>
      <c r="AM44" s="19">
        <f>14*Umrechnungsfaktoren!$B$15/Umrechnungsfaktoren!$B$7</f>
        <v>15.592274678111586</v>
      </c>
      <c r="AN44" s="19">
        <f>746*Umrechnungsfaktoren!$B$15/Umrechnungsfaktoren!$B$7</f>
        <v>830.8454935622317</v>
      </c>
      <c r="AP44" s="8"/>
      <c r="AQ44" s="8"/>
      <c r="AR44" s="8">
        <f>1*Umrechnungsfaktoren!$B$15/Umrechnungsfaktoren!$B$7</f>
        <v>1.1137339055793991</v>
      </c>
      <c r="AS44" s="8">
        <v>7</v>
      </c>
      <c r="AT44" s="8">
        <v>418</v>
      </c>
      <c r="AW44" s="13">
        <v>528</v>
      </c>
      <c r="AX44" s="13">
        <v>528</v>
      </c>
      <c r="AY44" s="13">
        <v>528</v>
      </c>
      <c r="AZ44" s="13">
        <v>528</v>
      </c>
      <c r="BA44" s="13"/>
      <c r="BB44" s="13"/>
      <c r="BC44" s="13"/>
      <c r="BE44" s="13"/>
      <c r="BF44" s="13"/>
      <c r="BL44" s="1">
        <v>532</v>
      </c>
      <c r="BM44" s="1">
        <v>531</v>
      </c>
      <c r="BN44" s="1">
        <v>531</v>
      </c>
    </row>
    <row r="45" spans="1:68" x14ac:dyDescent="0.2">
      <c r="A45" s="1" t="s">
        <v>226</v>
      </c>
      <c r="B45" s="1" t="s">
        <v>130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/>
      <c r="J45" s="19">
        <v>131</v>
      </c>
      <c r="K45" s="19"/>
      <c r="L45" s="19"/>
      <c r="M45" s="19"/>
      <c r="N45" s="19"/>
      <c r="O45" s="19"/>
      <c r="P45" s="20"/>
      <c r="Q45" s="9">
        <v>0.48</v>
      </c>
      <c r="R45" s="9">
        <v>0.51</v>
      </c>
      <c r="S45" s="20"/>
      <c r="T45" s="19"/>
      <c r="U45" s="9"/>
      <c r="V45" s="19"/>
      <c r="X45" s="68"/>
      <c r="Y45" s="68"/>
      <c r="AA45" s="1">
        <v>0.5</v>
      </c>
      <c r="AB45" s="1">
        <v>2</v>
      </c>
      <c r="AM45" s="19">
        <f>14*Umrechnungsfaktoren!$B$15/Umrechnungsfaktoren!$B$7</f>
        <v>15.592274678111586</v>
      </c>
      <c r="AN45" s="19">
        <f>746*Umrechnungsfaktoren!$B$15/Umrechnungsfaktoren!$B$7</f>
        <v>830.8454935622317</v>
      </c>
      <c r="AP45" s="8"/>
      <c r="AQ45" s="8"/>
      <c r="AR45" s="8">
        <f>1*Umrechnungsfaktoren!$B$15/Umrechnungsfaktoren!$B$7</f>
        <v>1.1137339055793991</v>
      </c>
      <c r="AS45" s="8">
        <v>7</v>
      </c>
      <c r="AT45" s="8">
        <v>418</v>
      </c>
      <c r="AY45" s="13"/>
      <c r="BA45" s="13"/>
      <c r="BB45" s="13"/>
      <c r="BC45" s="13"/>
      <c r="BE45" s="13"/>
      <c r="BF45" s="13"/>
      <c r="BL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199</v>
      </c>
      <c r="B1" s="1" t="s">
        <v>200</v>
      </c>
      <c r="C1" s="1" t="s">
        <v>198</v>
      </c>
      <c r="D1" s="1" t="s">
        <v>219</v>
      </c>
    </row>
    <row r="2" spans="1:4" x14ac:dyDescent="0.2">
      <c r="A2" s="1" t="s">
        <v>170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202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204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205</v>
      </c>
      <c r="C5" s="11">
        <v>246</v>
      </c>
      <c r="D5" s="11">
        <v>178</v>
      </c>
    </row>
    <row r="6" spans="1:4" x14ac:dyDescent="0.2">
      <c r="A6" s="1" t="s">
        <v>54</v>
      </c>
      <c r="C6" s="11">
        <v>277</v>
      </c>
      <c r="D6" s="11">
        <v>295</v>
      </c>
    </row>
    <row r="7" spans="1:4" x14ac:dyDescent="0.2">
      <c r="A7" s="1" t="s">
        <v>84</v>
      </c>
      <c r="C7" s="11">
        <v>1098</v>
      </c>
      <c r="D7" s="11">
        <v>775</v>
      </c>
    </row>
    <row r="8" spans="1:4" x14ac:dyDescent="0.2">
      <c r="A8" s="1" t="s">
        <v>175</v>
      </c>
      <c r="C8" s="11">
        <v>311</v>
      </c>
      <c r="D8" s="11">
        <v>222</v>
      </c>
    </row>
    <row r="9" spans="1:4" x14ac:dyDescent="0.2">
      <c r="A9" s="1" t="s">
        <v>201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BR11"/>
  <sheetViews>
    <sheetView zoomScale="85" zoomScaleNormal="85" workbookViewId="0">
      <pane xSplit="6" ySplit="1" topLeftCell="AC2" activePane="bottomRight" state="frozen"/>
      <selection pane="topRight" activeCell="G1" sqref="G1"/>
      <selection pane="bottomLeft" activeCell="A2" sqref="A2"/>
      <selection pane="bottomRight" activeCell="AK1" sqref="AK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3" width="24.5703125" style="1" customWidth="1"/>
    <col min="14" max="14" width="24.42578125" style="1" bestFit="1" customWidth="1"/>
    <col min="15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38.28515625" style="1" bestFit="1" customWidth="1"/>
    <col min="37" max="39" width="38.28515625" style="1" customWidth="1"/>
    <col min="40" max="40" width="38.28515625" style="1" bestFit="1" customWidth="1"/>
    <col min="41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50</v>
      </c>
      <c r="J1" s="2" t="s">
        <v>548</v>
      </c>
      <c r="K1" s="2" t="s">
        <v>97</v>
      </c>
      <c r="L1" s="2" t="s">
        <v>156</v>
      </c>
      <c r="M1" s="2" t="s">
        <v>158</v>
      </c>
      <c r="N1" s="2" t="s">
        <v>157</v>
      </c>
      <c r="O1" s="2" t="s">
        <v>56</v>
      </c>
      <c r="P1" s="2" t="s">
        <v>55</v>
      </c>
      <c r="Q1" s="2" t="s">
        <v>562</v>
      </c>
      <c r="R1" s="2" t="s">
        <v>237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9</v>
      </c>
      <c r="X1" s="2" t="s">
        <v>431</v>
      </c>
      <c r="Y1" s="2" t="s">
        <v>227</v>
      </c>
      <c r="Z1" s="2" t="s">
        <v>159</v>
      </c>
      <c r="AA1" s="2" t="s">
        <v>1173</v>
      </c>
      <c r="AB1" s="2" t="s">
        <v>229</v>
      </c>
      <c r="AC1" s="2" t="s">
        <v>230</v>
      </c>
      <c r="AD1" s="2" t="s">
        <v>160</v>
      </c>
      <c r="AE1" s="2" t="s">
        <v>216</v>
      </c>
      <c r="AF1" s="2" t="s">
        <v>217</v>
      </c>
      <c r="AG1" s="2" t="s">
        <v>3</v>
      </c>
      <c r="AH1" s="2" t="s">
        <v>10</v>
      </c>
      <c r="AI1" s="2" t="s">
        <v>16</v>
      </c>
      <c r="AJ1" s="2" t="s">
        <v>4</v>
      </c>
      <c r="AK1" s="2" t="s">
        <v>99</v>
      </c>
      <c r="AL1" s="2" t="s">
        <v>185</v>
      </c>
      <c r="AM1" s="2" t="s">
        <v>184</v>
      </c>
      <c r="AN1" s="2" t="s">
        <v>12</v>
      </c>
      <c r="AO1" s="2" t="s">
        <v>1165</v>
      </c>
      <c r="AP1" s="2" t="s">
        <v>1166</v>
      </c>
      <c r="AQ1" s="2" t="s">
        <v>232</v>
      </c>
      <c r="AR1" s="2" t="s">
        <v>567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1161</v>
      </c>
      <c r="BC1" s="2" t="s">
        <v>238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6" t="s">
        <v>953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9"/>
      <c r="H2" s="19"/>
      <c r="I2" s="19">
        <v>314</v>
      </c>
      <c r="J2" s="19">
        <v>314</v>
      </c>
      <c r="K2" s="19"/>
      <c r="L2" s="19"/>
      <c r="M2" s="19"/>
      <c r="N2" s="19"/>
      <c r="O2" s="19"/>
      <c r="P2" s="9"/>
      <c r="Q2" s="9"/>
      <c r="R2" s="9">
        <v>0.8</v>
      </c>
      <c r="S2" s="20"/>
      <c r="T2" s="19"/>
      <c r="U2" s="9"/>
      <c r="V2" s="19"/>
      <c r="W2" s="1">
        <v>0.25</v>
      </c>
      <c r="AL2" s="19">
        <f>15*Umrechnungsfaktoren!$B$15/Umrechnungsfaktoren!$B$7</f>
        <v>16.706008583690984</v>
      </c>
      <c r="AM2" s="19">
        <f>18*Umrechnungsfaktoren!$B$15/Umrechnungsfaktoren!$B$7</f>
        <v>20.047210300429182</v>
      </c>
      <c r="AN2" s="19"/>
      <c r="AO2" s="8">
        <f>400*Umrechnungsfaktoren!$B$15/Umrechnungsfaktoren!$B$7</f>
        <v>445.4935622317596</v>
      </c>
      <c r="AP2" s="8">
        <f>1000*Umrechnungsfaktoren!$B$15/Umrechnungsfaktoren!$B$7</f>
        <v>1113.7339055793991</v>
      </c>
      <c r="AQ2" s="8"/>
      <c r="AR2" s="19">
        <f>AVERAGE(Tabelle5897[[#This Row],[var. Kosten min. Lastverzicht €_2018/MWh]:[var. Kosten max. Lastverzicht €_2018/MWh]])</f>
        <v>779.61373390557935</v>
      </c>
      <c r="AS2" s="8">
        <f>0*Umrechnungsfaktoren!$B$15/Umrechnungsfaktoren!$B$7</f>
        <v>0</v>
      </c>
      <c r="AT2" s="8"/>
      <c r="AV2" s="1" t="s">
        <v>239</v>
      </c>
      <c r="AW2" s="1">
        <v>435</v>
      </c>
      <c r="AX2" s="1">
        <v>435</v>
      </c>
      <c r="AY2" s="13"/>
      <c r="BA2" s="13"/>
      <c r="BB2" s="13"/>
      <c r="BC2" s="13"/>
      <c r="BD2" s="13"/>
      <c r="BF2" s="13"/>
      <c r="BG2" s="13">
        <v>436</v>
      </c>
      <c r="BM2" s="1">
        <v>436</v>
      </c>
      <c r="BN2" s="1">
        <v>436</v>
      </c>
      <c r="BO2" s="1">
        <v>436</v>
      </c>
    </row>
    <row r="3" spans="1:70" x14ac:dyDescent="0.2">
      <c r="A3" s="1" t="s">
        <v>953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9"/>
      <c r="H3" s="19"/>
      <c r="I3" s="19">
        <v>314</v>
      </c>
      <c r="J3" s="19">
        <v>314</v>
      </c>
      <c r="K3" s="19"/>
      <c r="L3" s="19"/>
      <c r="M3" s="19"/>
      <c r="N3" s="19"/>
      <c r="O3" s="19"/>
      <c r="P3" s="9"/>
      <c r="Q3" s="9"/>
      <c r="R3" s="9">
        <v>0.8</v>
      </c>
      <c r="S3" s="20"/>
      <c r="T3" s="19"/>
      <c r="U3" s="9"/>
      <c r="V3" s="19"/>
      <c r="W3" s="1">
        <v>0.25</v>
      </c>
      <c r="AL3" s="19">
        <f>15*Umrechnungsfaktoren!$B$15/Umrechnungsfaktoren!$B$7</f>
        <v>16.706008583690984</v>
      </c>
      <c r="AM3" s="19">
        <f>18*Umrechnungsfaktoren!$B$15/Umrechnungsfaktoren!$B$7</f>
        <v>20.047210300429182</v>
      </c>
      <c r="AN3" s="19"/>
      <c r="AO3" s="8">
        <f>400*Umrechnungsfaktoren!$B$15/Umrechnungsfaktoren!$B$7</f>
        <v>445.4935622317596</v>
      </c>
      <c r="AP3" s="8">
        <f>1000*Umrechnungsfaktoren!$B$15/Umrechnungsfaktoren!$B$7</f>
        <v>1113.7339055793991</v>
      </c>
      <c r="AQ3" s="8"/>
      <c r="AR3" s="19">
        <f>AVERAGE(Tabelle5897[[#This Row],[var. Kosten min. Lastverzicht €_2018/MWh]:[var. Kosten max. Lastverzicht €_2018/MWh]])</f>
        <v>779.61373390557935</v>
      </c>
      <c r="AS3" s="8">
        <f>0*Umrechnungsfaktoren!$B$15/Umrechnungsfaktoren!$B$7</f>
        <v>0</v>
      </c>
      <c r="AT3" s="8"/>
      <c r="AV3" s="1" t="s">
        <v>239</v>
      </c>
      <c r="AY3" s="13"/>
      <c r="BA3" s="13"/>
      <c r="BB3" s="13"/>
      <c r="BC3" s="13"/>
      <c r="BD3" s="13"/>
      <c r="BF3" s="13"/>
      <c r="BG3" s="13"/>
    </row>
    <row r="4" spans="1:70" x14ac:dyDescent="0.2">
      <c r="A4" s="6" t="s">
        <v>29</v>
      </c>
      <c r="B4" s="1" t="s">
        <v>129</v>
      </c>
      <c r="C4" s="1">
        <v>2010</v>
      </c>
      <c r="D4" s="1">
        <v>1</v>
      </c>
      <c r="E4" s="1">
        <v>1</v>
      </c>
      <c r="F4" s="1">
        <v>0</v>
      </c>
      <c r="G4" s="19"/>
      <c r="H4" s="19"/>
      <c r="I4" s="19">
        <v>660</v>
      </c>
      <c r="J4" s="19">
        <v>660</v>
      </c>
      <c r="K4" s="19"/>
      <c r="L4" s="19"/>
      <c r="M4" s="19"/>
      <c r="N4" s="19"/>
      <c r="O4" s="19"/>
      <c r="P4" s="9">
        <v>0.8</v>
      </c>
      <c r="Q4" s="9">
        <v>0.4</v>
      </c>
      <c r="R4" s="9"/>
      <c r="S4" s="20"/>
      <c r="T4" s="19"/>
      <c r="U4" s="9">
        <v>0.9</v>
      </c>
      <c r="V4" s="19"/>
      <c r="W4" s="1">
        <v>0.25</v>
      </c>
      <c r="X4" s="68"/>
      <c r="AA4" s="1">
        <v>2</v>
      </c>
      <c r="AL4" s="19"/>
      <c r="AM4" s="19"/>
      <c r="AN4" s="8">
        <f>1*Umrechnungsfaktoren!$B$15/Umrechnungsfaktoren!$B$7</f>
        <v>1.1137339055793991</v>
      </c>
      <c r="AO4" s="8"/>
      <c r="AP4" s="8"/>
      <c r="AQ4" s="8"/>
      <c r="AR4" s="8">
        <f>100*Umrechnungsfaktoren!$B$15/Umrechnungsfaktoren!$B$7</f>
        <v>111.3733905579399</v>
      </c>
      <c r="AS4" s="8">
        <f>0*Umrechnungsfaktoren!$B$15/Umrechnungsfaktoren!$B$7</f>
        <v>0</v>
      </c>
      <c r="AT4" s="8"/>
      <c r="AV4" s="1" t="s">
        <v>236</v>
      </c>
      <c r="AW4" s="1">
        <v>435</v>
      </c>
      <c r="AX4" s="1">
        <v>435</v>
      </c>
      <c r="AY4" s="13">
        <v>434</v>
      </c>
      <c r="BA4" s="13">
        <v>434</v>
      </c>
      <c r="BB4" s="13">
        <v>434</v>
      </c>
      <c r="BC4" s="13"/>
      <c r="BD4" s="13"/>
      <c r="BE4" s="1">
        <v>434</v>
      </c>
      <c r="BF4" s="13"/>
      <c r="BG4" s="13">
        <v>436</v>
      </c>
      <c r="BH4" s="1">
        <v>434</v>
      </c>
      <c r="BM4" s="1">
        <v>436</v>
      </c>
      <c r="BN4" s="1">
        <v>436</v>
      </c>
      <c r="BO4" s="1">
        <v>436</v>
      </c>
    </row>
    <row r="5" spans="1:70" x14ac:dyDescent="0.2">
      <c r="A5" s="1" t="s">
        <v>29</v>
      </c>
      <c r="B5" s="1" t="s">
        <v>129</v>
      </c>
      <c r="C5" s="1">
        <v>2020</v>
      </c>
      <c r="D5" s="1">
        <v>1</v>
      </c>
      <c r="E5" s="1">
        <v>1</v>
      </c>
      <c r="F5" s="1">
        <v>0</v>
      </c>
      <c r="G5" s="19"/>
      <c r="H5" s="19"/>
      <c r="I5" s="19">
        <v>660</v>
      </c>
      <c r="J5" s="19">
        <v>660</v>
      </c>
      <c r="K5" s="19"/>
      <c r="L5" s="19"/>
      <c r="M5" s="19"/>
      <c r="N5" s="19"/>
      <c r="O5" s="19"/>
      <c r="P5" s="9">
        <v>0.8</v>
      </c>
      <c r="Q5" s="9">
        <v>0.4</v>
      </c>
      <c r="R5" s="9"/>
      <c r="S5" s="20"/>
      <c r="T5" s="19"/>
      <c r="U5" s="9">
        <v>0.9</v>
      </c>
      <c r="V5" s="19"/>
      <c r="W5" s="1">
        <v>0.25</v>
      </c>
      <c r="X5" s="68"/>
      <c r="AA5" s="1">
        <v>2</v>
      </c>
      <c r="AL5" s="19"/>
      <c r="AM5" s="19"/>
      <c r="AN5" s="8">
        <f>1*Umrechnungsfaktoren!$B$15/Umrechnungsfaktoren!$B$7</f>
        <v>1.1137339055793991</v>
      </c>
      <c r="AO5" s="8"/>
      <c r="AP5" s="8"/>
      <c r="AQ5" s="8"/>
      <c r="AR5" s="8">
        <f>100*Umrechnungsfaktoren!$B$15/Umrechnungsfaktoren!$B$7</f>
        <v>111.3733905579399</v>
      </c>
      <c r="AS5" s="8">
        <f>0*Umrechnungsfaktoren!$B$15/Umrechnungsfaktoren!$B$7</f>
        <v>0</v>
      </c>
      <c r="AT5" s="8"/>
      <c r="AV5" s="1" t="s">
        <v>236</v>
      </c>
      <c r="AY5" s="13"/>
      <c r="BA5" s="13"/>
      <c r="BB5" s="13"/>
      <c r="BC5" s="13"/>
      <c r="BD5" s="13"/>
      <c r="BF5" s="13"/>
      <c r="BG5" s="13"/>
    </row>
    <row r="6" spans="1:70" x14ac:dyDescent="0.2">
      <c r="A6" s="6" t="s">
        <v>54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/>
      <c r="J6" s="19">
        <v>227</v>
      </c>
      <c r="K6" s="19"/>
      <c r="L6" s="19"/>
      <c r="M6" s="19"/>
      <c r="N6" s="19"/>
      <c r="O6" s="19"/>
      <c r="P6" s="9">
        <v>0.95</v>
      </c>
      <c r="Q6" s="9">
        <v>0.25</v>
      </c>
      <c r="R6" s="9"/>
      <c r="S6" s="20"/>
      <c r="T6" s="19"/>
      <c r="U6" s="9">
        <v>0.98</v>
      </c>
      <c r="V6" s="19"/>
      <c r="W6" s="1">
        <v>0.25</v>
      </c>
      <c r="X6" s="68"/>
      <c r="AA6" s="1">
        <v>4</v>
      </c>
      <c r="AL6" s="19"/>
      <c r="AM6" s="19"/>
      <c r="AN6" s="8">
        <f>1*Umrechnungsfaktoren!$B$15/Umrechnungsfaktoren!$B$7</f>
        <v>1.1137339055793991</v>
      </c>
      <c r="AO6" s="8">
        <f>500*Umrechnungsfaktoren!$B$15/Umrechnungsfaktoren!$B$7</f>
        <v>556.86695278969955</v>
      </c>
      <c r="AP6" s="8">
        <f>1500*Umrechnungsfaktoren!$B$15/Umrechnungsfaktoren!$B$7</f>
        <v>1670.6008583690987</v>
      </c>
      <c r="AQ6" s="8"/>
      <c r="AR6" s="19">
        <f>AVERAGE(Tabelle5897[[#This Row],[var. Kosten min. Lastverzicht €_2018/MWh]:[var. Kosten max. Lastverzicht €_2018/MWh]])</f>
        <v>1113.7339055793991</v>
      </c>
      <c r="AS6" s="8">
        <f>0*Umrechnungsfaktoren!$B$15/Umrechnungsfaktoren!$B$7</f>
        <v>0</v>
      </c>
      <c r="AT6" s="8"/>
      <c r="AW6" s="1">
        <v>435</v>
      </c>
      <c r="AX6" s="1">
        <v>435</v>
      </c>
      <c r="AY6" s="13">
        <v>435</v>
      </c>
      <c r="BA6" s="13">
        <v>435</v>
      </c>
      <c r="BB6" s="13">
        <v>435</v>
      </c>
      <c r="BC6" s="13"/>
      <c r="BD6" s="13"/>
      <c r="BE6" s="1">
        <v>435</v>
      </c>
      <c r="BF6" s="13"/>
      <c r="BG6" s="13">
        <v>436</v>
      </c>
      <c r="BM6" s="1">
        <v>436</v>
      </c>
      <c r="BN6" s="1">
        <v>436</v>
      </c>
      <c r="BO6" s="1">
        <v>436</v>
      </c>
    </row>
    <row r="7" spans="1:70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/>
      <c r="J7" s="19">
        <v>227</v>
      </c>
      <c r="K7" s="19"/>
      <c r="L7" s="19"/>
      <c r="M7" s="19"/>
      <c r="N7" s="19"/>
      <c r="O7" s="19"/>
      <c r="P7" s="9">
        <v>0.95</v>
      </c>
      <c r="Q7" s="9">
        <v>0.25</v>
      </c>
      <c r="R7" s="9"/>
      <c r="S7" s="20"/>
      <c r="T7" s="19"/>
      <c r="U7" s="9">
        <v>0.98</v>
      </c>
      <c r="V7" s="19"/>
      <c r="W7" s="1">
        <v>0.25</v>
      </c>
      <c r="X7" s="68"/>
      <c r="AA7" s="1">
        <v>4</v>
      </c>
      <c r="AL7" s="19"/>
      <c r="AM7" s="19"/>
      <c r="AN7" s="8">
        <f>1*Umrechnungsfaktoren!$B$15/Umrechnungsfaktoren!$B$7</f>
        <v>1.1137339055793991</v>
      </c>
      <c r="AO7" s="8">
        <f>500*Umrechnungsfaktoren!$B$15/Umrechnungsfaktoren!$B$7</f>
        <v>556.86695278969955</v>
      </c>
      <c r="AP7" s="8">
        <f>1500*Umrechnungsfaktoren!$B$15/Umrechnungsfaktoren!$B$7</f>
        <v>1670.6008583690987</v>
      </c>
      <c r="AQ7" s="8"/>
      <c r="AR7" s="19">
        <f>AVERAGE(Tabelle5897[[#This Row],[var. Kosten min. Lastverzicht €_2018/MWh]:[var. Kosten max. Lastverzicht €_2018/MWh]])</f>
        <v>1113.7339055793991</v>
      </c>
      <c r="AS7" s="8">
        <f>0*Umrechnungsfaktoren!$B$15/Umrechnungsfaktoren!$B$7</f>
        <v>0</v>
      </c>
      <c r="AT7" s="8"/>
      <c r="AY7" s="13"/>
      <c r="BA7" s="13"/>
      <c r="BB7" s="13"/>
      <c r="BC7" s="13"/>
      <c r="BD7" s="13"/>
      <c r="BF7" s="13"/>
      <c r="BG7" s="13"/>
    </row>
    <row r="8" spans="1:70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0</v>
      </c>
      <c r="F8" s="1">
        <v>0</v>
      </c>
      <c r="G8" s="19"/>
      <c r="H8" s="19">
        <v>250</v>
      </c>
      <c r="I8" s="19">
        <v>312</v>
      </c>
      <c r="J8" s="19"/>
      <c r="K8" s="19"/>
      <c r="L8" s="19"/>
      <c r="M8" s="19">
        <v>62</v>
      </c>
      <c r="N8" s="19"/>
      <c r="O8" s="19"/>
      <c r="P8" s="9"/>
      <c r="Q8" s="9">
        <v>1</v>
      </c>
      <c r="R8" s="9">
        <v>0.9</v>
      </c>
      <c r="S8" s="20">
        <v>250</v>
      </c>
      <c r="T8" s="19"/>
      <c r="U8" s="9"/>
      <c r="V8" s="19">
        <v>312</v>
      </c>
      <c r="W8" s="1">
        <v>0.25</v>
      </c>
      <c r="X8" s="68"/>
      <c r="AE8" s="1">
        <v>1.5</v>
      </c>
      <c r="AL8" s="19">
        <f>12*Umrechnungsfaktoren!$B$15/Umrechnungsfaktoren!$B$7</f>
        <v>13.364806866952788</v>
      </c>
      <c r="AM8" s="19">
        <f>15*Umrechnungsfaktoren!$B$15/Umrechnungsfaktoren!$B$7</f>
        <v>16.706008583690984</v>
      </c>
      <c r="AN8" s="19"/>
      <c r="AO8" s="8"/>
      <c r="AP8" s="8"/>
      <c r="AQ8" s="8">
        <f>10*Umrechnungsfaktoren!$B$15/Umrechnungsfaktoren!$B$7</f>
        <v>11.137339055793991</v>
      </c>
      <c r="AR8" s="106"/>
      <c r="AS8" s="8">
        <f>0*Umrechnungsfaktoren!$B$15/Umrechnungsfaktoren!$B$7</f>
        <v>0</v>
      </c>
      <c r="AT8" s="8"/>
      <c r="AW8" s="1">
        <v>435</v>
      </c>
      <c r="AX8" s="1">
        <v>435</v>
      </c>
      <c r="AY8" s="13">
        <v>435</v>
      </c>
      <c r="AZ8" s="1">
        <v>435</v>
      </c>
      <c r="BA8" s="13"/>
      <c r="BB8" s="13">
        <v>435</v>
      </c>
      <c r="BC8" s="13">
        <v>435</v>
      </c>
      <c r="BD8" s="13"/>
      <c r="BF8" s="13">
        <v>435</v>
      </c>
      <c r="BG8" s="13">
        <v>436</v>
      </c>
      <c r="BI8" s="1">
        <v>435</v>
      </c>
      <c r="BM8" s="1">
        <v>436</v>
      </c>
      <c r="BN8" s="1">
        <v>436</v>
      </c>
      <c r="BO8" s="1">
        <v>436</v>
      </c>
    </row>
    <row r="9" spans="1:70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9"/>
      <c r="H9" s="19">
        <v>250</v>
      </c>
      <c r="I9" s="19">
        <v>312</v>
      </c>
      <c r="J9" s="19"/>
      <c r="K9" s="19"/>
      <c r="L9" s="19"/>
      <c r="M9" s="19">
        <v>62</v>
      </c>
      <c r="N9" s="19"/>
      <c r="O9" s="19"/>
      <c r="P9" s="9"/>
      <c r="Q9" s="9">
        <v>1</v>
      </c>
      <c r="R9" s="9">
        <v>0.9</v>
      </c>
      <c r="S9" s="20">
        <v>250</v>
      </c>
      <c r="T9" s="19"/>
      <c r="U9" s="9"/>
      <c r="V9" s="19">
        <v>312</v>
      </c>
      <c r="W9" s="1">
        <v>0.25</v>
      </c>
      <c r="X9" s="68"/>
      <c r="AE9" s="1">
        <v>1.5</v>
      </c>
      <c r="AL9" s="19">
        <f>12*Umrechnungsfaktoren!$B$15/Umrechnungsfaktoren!$B$7</f>
        <v>13.364806866952788</v>
      </c>
      <c r="AM9" s="19">
        <f>15*Umrechnungsfaktoren!$B$15/Umrechnungsfaktoren!$B$7</f>
        <v>16.706008583690984</v>
      </c>
      <c r="AN9" s="19"/>
      <c r="AO9" s="8"/>
      <c r="AP9" s="8"/>
      <c r="AQ9" s="8">
        <f>10*Umrechnungsfaktoren!$B$15/Umrechnungsfaktoren!$B$7</f>
        <v>11.137339055793991</v>
      </c>
      <c r="AR9" s="106"/>
      <c r="AS9" s="8">
        <f>0*Umrechnungsfaktoren!$B$15/Umrechnungsfaktoren!$B$7</f>
        <v>0</v>
      </c>
      <c r="AT9" s="8"/>
      <c r="AY9" s="13"/>
      <c r="BA9" s="13"/>
      <c r="BB9" s="13"/>
      <c r="BC9" s="13"/>
      <c r="BD9" s="13"/>
      <c r="BF9" s="13"/>
      <c r="BG9" s="13"/>
    </row>
    <row r="10" spans="1:70" x14ac:dyDescent="0.2">
      <c r="A10" s="1" t="s">
        <v>84</v>
      </c>
      <c r="B10" s="1" t="s">
        <v>129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/>
      <c r="J10" s="19">
        <v>1097</v>
      </c>
      <c r="K10" s="19"/>
      <c r="L10" s="19"/>
      <c r="M10" s="19"/>
      <c r="N10" s="19"/>
      <c r="O10" s="19"/>
      <c r="P10" s="20"/>
      <c r="Q10" s="9"/>
      <c r="R10" s="9">
        <v>0.75</v>
      </c>
      <c r="S10" s="19"/>
      <c r="T10" s="9"/>
      <c r="U10" s="19"/>
      <c r="V10" s="19"/>
      <c r="W10" s="1">
        <v>0.25</v>
      </c>
      <c r="X10" s="68"/>
      <c r="AA10" s="1">
        <v>0.5</v>
      </c>
      <c r="AK10" s="19"/>
      <c r="AL10" s="19"/>
      <c r="AM10" s="8"/>
      <c r="AN10" s="8">
        <f>1*Umrechnungsfaktoren!$B$15/Umrechnungsfaktoren!$B$7</f>
        <v>1.1137339055793991</v>
      </c>
      <c r="AO10" s="8"/>
      <c r="AP10" s="8"/>
      <c r="AQ10" s="8"/>
      <c r="AR10" s="8">
        <f>2000*Umrechnungsfaktoren!$B$15/Umrechnungsfaktoren!$B$7</f>
        <v>2227.4678111587982</v>
      </c>
      <c r="AS10" s="8">
        <f>0*Umrechnungsfaktoren!$B$15/Umrechnungsfaktoren!$B$7</f>
        <v>0</v>
      </c>
      <c r="AX10" s="13"/>
      <c r="AY10" s="13">
        <v>435</v>
      </c>
      <c r="AZ10" s="13"/>
      <c r="BA10" s="13"/>
      <c r="BB10" s="13"/>
      <c r="BC10" s="13">
        <v>435</v>
      </c>
      <c r="BD10" s="13"/>
      <c r="BE10" s="13"/>
      <c r="BG10" s="13">
        <v>436</v>
      </c>
      <c r="BH10" s="13">
        <v>435</v>
      </c>
      <c r="BM10" s="1">
        <v>436</v>
      </c>
      <c r="BN10" s="1">
        <v>436</v>
      </c>
      <c r="BO10" s="1">
        <v>436</v>
      </c>
    </row>
    <row r="11" spans="1:70" x14ac:dyDescent="0.2">
      <c r="A11" s="1" t="s">
        <v>84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/>
      <c r="J11" s="19">
        <v>1097</v>
      </c>
      <c r="K11" s="19"/>
      <c r="L11" s="19"/>
      <c r="M11" s="19"/>
      <c r="N11" s="19"/>
      <c r="O11" s="19"/>
      <c r="P11" s="20"/>
      <c r="Q11" s="9"/>
      <c r="R11" s="9">
        <v>0.75</v>
      </c>
      <c r="S11" s="19"/>
      <c r="T11" s="9"/>
      <c r="U11" s="19"/>
      <c r="V11" s="19"/>
      <c r="W11" s="1">
        <v>0.25</v>
      </c>
      <c r="X11" s="68"/>
      <c r="AA11" s="1">
        <v>0.5</v>
      </c>
      <c r="AK11" s="19"/>
      <c r="AL11" s="19"/>
      <c r="AM11" s="8"/>
      <c r="AN11" s="8">
        <f>1*Umrechnungsfaktoren!$B$15/Umrechnungsfaktoren!$B$7</f>
        <v>1.1137339055793991</v>
      </c>
      <c r="AO11" s="8"/>
      <c r="AP11" s="8"/>
      <c r="AQ11" s="8"/>
      <c r="AR11" s="8">
        <f>2000*Umrechnungsfaktoren!$B$15/Umrechnungsfaktoren!$B$7</f>
        <v>2227.4678111587982</v>
      </c>
      <c r="AS11" s="8">
        <f>0*Umrechnungsfaktoren!$B$15/Umrechnungsfaktoren!$B$7</f>
        <v>0</v>
      </c>
      <c r="AX11" s="13"/>
      <c r="AZ11" s="13"/>
      <c r="BA11" s="13"/>
      <c r="BB11" s="13"/>
      <c r="BD11" s="13"/>
      <c r="BE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CH66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N2" sqref="N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38.85546875" style="1" bestFit="1" customWidth="1"/>
    <col min="13" max="13" width="29.28515625" style="1" bestFit="1" customWidth="1"/>
    <col min="14" max="14" width="29.28515625" style="1" customWidth="1"/>
    <col min="15" max="15" width="38.42578125" style="1" bestFit="1" customWidth="1"/>
    <col min="16" max="19" width="24.5703125" style="1" customWidth="1"/>
    <col min="20" max="20" width="24.42578125" style="1" bestFit="1" customWidth="1"/>
    <col min="21" max="26" width="24.42578125" style="1" customWidth="1"/>
    <col min="27" max="27" width="37.7109375" style="1" bestFit="1" customWidth="1"/>
    <col min="28" max="29" width="24.7109375" style="1" customWidth="1"/>
    <col min="30" max="31" width="28.42578125" style="1" customWidth="1"/>
    <col min="32" max="32" width="27.42578125" style="1" bestFit="1" customWidth="1"/>
    <col min="33" max="34" width="27.42578125" style="1" customWidth="1"/>
    <col min="35" max="35" width="20.7109375" style="1" bestFit="1" customWidth="1"/>
    <col min="36" max="42" width="20.7109375" style="1" customWidth="1"/>
    <col min="43" max="43" width="25.85546875" style="1" bestFit="1" customWidth="1"/>
    <col min="44" max="44" width="29.7109375" style="1" bestFit="1" customWidth="1"/>
    <col min="45" max="45" width="24" style="1" bestFit="1" customWidth="1"/>
    <col min="46" max="46" width="38.28515625" style="1" bestFit="1" customWidth="1"/>
    <col min="47" max="52" width="38.28515625" style="1" customWidth="1"/>
    <col min="53" max="53" width="38.28515625" style="1" bestFit="1" customWidth="1"/>
    <col min="54" max="55" width="38.28515625" style="1" customWidth="1"/>
    <col min="56" max="56" width="33.42578125" style="1" bestFit="1" customWidth="1"/>
    <col min="57" max="57" width="33.42578125" style="1" customWidth="1"/>
    <col min="58" max="58" width="25.7109375" style="1" bestFit="1" customWidth="1"/>
    <col min="59" max="60" width="25.7109375" style="1" customWidth="1"/>
    <col min="61" max="61" width="56.7109375" style="1" bestFit="1" customWidth="1"/>
    <col min="62" max="64" width="35.5703125" style="1" customWidth="1"/>
    <col min="65" max="65" width="31.7109375" style="1" bestFit="1" customWidth="1"/>
    <col min="66" max="66" width="31.5703125" style="1" bestFit="1" customWidth="1"/>
    <col min="67" max="72" width="31.5703125" style="1" customWidth="1"/>
    <col min="73" max="73" width="37.42578125" style="1" bestFit="1" customWidth="1"/>
    <col min="74" max="74" width="37.42578125" style="1" customWidth="1"/>
    <col min="75" max="75" width="35.7109375" style="1" bestFit="1" customWidth="1"/>
    <col min="76" max="76" width="28.85546875" style="1" bestFit="1" customWidth="1"/>
    <col min="77" max="77" width="34" style="1" bestFit="1" customWidth="1"/>
    <col min="78" max="78" width="37.85546875" style="1" bestFit="1" customWidth="1"/>
    <col min="79" max="79" width="34.42578125" style="1" bestFit="1" customWidth="1"/>
    <col min="80" max="80" width="38.140625" style="1" bestFit="1" customWidth="1"/>
    <col min="81" max="81" width="22.85546875" style="1" bestFit="1" customWidth="1"/>
    <col min="82" max="82" width="28.5703125" style="1" bestFit="1" customWidth="1"/>
    <col min="83" max="83" width="28.28515625" style="1" bestFit="1" customWidth="1"/>
    <col min="84" max="84" width="28.28515625" style="1" customWidth="1"/>
    <col min="85" max="85" width="31" style="1" bestFit="1" customWidth="1"/>
    <col min="86" max="86" width="28.85546875" style="1" bestFit="1" customWidth="1"/>
    <col min="87" max="16384" width="11.42578125" style="1"/>
  </cols>
  <sheetData>
    <row r="1" spans="1:8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878</v>
      </c>
      <c r="H1" s="2" t="s">
        <v>879</v>
      </c>
      <c r="I1" s="2" t="s">
        <v>844</v>
      </c>
      <c r="J1" s="2" t="s">
        <v>49</v>
      </c>
      <c r="K1" s="2" t="s">
        <v>515</v>
      </c>
      <c r="L1" s="2" t="s">
        <v>149</v>
      </c>
      <c r="M1" s="2" t="s">
        <v>50</v>
      </c>
      <c r="N1" s="2" t="s">
        <v>548</v>
      </c>
      <c r="O1" s="2" t="s">
        <v>516</v>
      </c>
      <c r="P1" s="2" t="s">
        <v>97</v>
      </c>
      <c r="Q1" s="2" t="s">
        <v>156</v>
      </c>
      <c r="R1" s="2" t="s">
        <v>517</v>
      </c>
      <c r="S1" s="2" t="s">
        <v>158</v>
      </c>
      <c r="T1" s="2" t="s">
        <v>157</v>
      </c>
      <c r="U1" s="2" t="s">
        <v>518</v>
      </c>
      <c r="V1" s="2" t="s">
        <v>56</v>
      </c>
      <c r="W1" s="2" t="s">
        <v>55</v>
      </c>
      <c r="X1" s="2" t="s">
        <v>87</v>
      </c>
      <c r="Y1" s="2" t="s">
        <v>237</v>
      </c>
      <c r="Z1" s="2" t="s">
        <v>564</v>
      </c>
      <c r="AA1" s="2" t="s">
        <v>116</v>
      </c>
      <c r="AB1" s="2" t="s">
        <v>57</v>
      </c>
      <c r="AC1" s="2" t="s">
        <v>123</v>
      </c>
      <c r="AD1" s="2" t="s">
        <v>58</v>
      </c>
      <c r="AE1" s="2" t="s">
        <v>415</v>
      </c>
      <c r="AF1" s="2" t="s">
        <v>9</v>
      </c>
      <c r="AG1" s="2" t="s">
        <v>431</v>
      </c>
      <c r="AH1" s="2" t="s">
        <v>227</v>
      </c>
      <c r="AI1" s="2" t="s">
        <v>159</v>
      </c>
      <c r="AJ1" s="2" t="s">
        <v>1170</v>
      </c>
      <c r="AK1" s="2" t="s">
        <v>1177</v>
      </c>
      <c r="AL1" s="2" t="s">
        <v>229</v>
      </c>
      <c r="AM1" s="2" t="s">
        <v>230</v>
      </c>
      <c r="AN1" s="2" t="s">
        <v>160</v>
      </c>
      <c r="AO1" s="2" t="s">
        <v>216</v>
      </c>
      <c r="AP1" s="2" t="s">
        <v>217</v>
      </c>
      <c r="AQ1" s="2" t="s">
        <v>3</v>
      </c>
      <c r="AR1" s="2" t="s">
        <v>10</v>
      </c>
      <c r="AS1" s="2" t="s">
        <v>16</v>
      </c>
      <c r="AT1" s="2" t="s">
        <v>4</v>
      </c>
      <c r="AU1" s="2" t="s">
        <v>546</v>
      </c>
      <c r="AV1" s="2" t="s">
        <v>547</v>
      </c>
      <c r="AW1" s="2" t="s">
        <v>1179</v>
      </c>
      <c r="AX1" s="2" t="s">
        <v>1180</v>
      </c>
      <c r="AY1" s="2" t="s">
        <v>185</v>
      </c>
      <c r="AZ1" s="2" t="s">
        <v>184</v>
      </c>
      <c r="BA1" s="2" t="s">
        <v>12</v>
      </c>
      <c r="BB1" s="2" t="s">
        <v>233</v>
      </c>
      <c r="BC1" s="2" t="s">
        <v>1166</v>
      </c>
      <c r="BD1" s="2" t="s">
        <v>232</v>
      </c>
      <c r="BE1" s="2" t="s">
        <v>334</v>
      </c>
      <c r="BF1" s="2" t="s">
        <v>335</v>
      </c>
      <c r="BG1" s="2" t="s">
        <v>15</v>
      </c>
      <c r="BH1" s="2" t="s">
        <v>147</v>
      </c>
      <c r="BI1" s="2" t="s">
        <v>22</v>
      </c>
      <c r="BJ1" s="2" t="s">
        <v>164</v>
      </c>
      <c r="BK1" s="2" t="s">
        <v>165</v>
      </c>
      <c r="BL1" s="2" t="s">
        <v>880</v>
      </c>
      <c r="BM1" s="2" t="s">
        <v>1</v>
      </c>
      <c r="BN1" s="2" t="s">
        <v>2</v>
      </c>
      <c r="BO1" s="2" t="s">
        <v>59</v>
      </c>
      <c r="BP1" s="2" t="s">
        <v>1161</v>
      </c>
      <c r="BQ1" s="2" t="s">
        <v>238</v>
      </c>
      <c r="BR1" s="2" t="s">
        <v>524</v>
      </c>
      <c r="BS1" s="2" t="s">
        <v>117</v>
      </c>
      <c r="BT1" s="2" t="s">
        <v>60</v>
      </c>
      <c r="BU1" s="2" t="s">
        <v>61</v>
      </c>
      <c r="BV1" s="2" t="s">
        <v>416</v>
      </c>
      <c r="BW1" s="2" t="s">
        <v>98</v>
      </c>
      <c r="BX1" s="2" t="s">
        <v>5</v>
      </c>
      <c r="BY1" s="2" t="s">
        <v>6</v>
      </c>
      <c r="BZ1" s="2" t="s">
        <v>17</v>
      </c>
      <c r="CA1" s="2" t="s">
        <v>18</v>
      </c>
      <c r="CB1" s="2" t="s">
        <v>7</v>
      </c>
      <c r="CC1" s="2" t="s">
        <v>19</v>
      </c>
      <c r="CD1" s="2" t="s">
        <v>20</v>
      </c>
      <c r="CE1" s="2" t="s">
        <v>21</v>
      </c>
      <c r="CF1" s="2" t="s">
        <v>148</v>
      </c>
      <c r="CG1" s="2" t="s">
        <v>23</v>
      </c>
      <c r="CH1" s="2" t="s">
        <v>51</v>
      </c>
    </row>
    <row r="2" spans="1:86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/>
      <c r="M2" s="19">
        <v>281</v>
      </c>
      <c r="N2" s="19">
        <v>1126</v>
      </c>
      <c r="O2" s="19"/>
      <c r="P2" s="19"/>
      <c r="Q2" s="19"/>
      <c r="R2" s="19"/>
      <c r="S2" s="19"/>
      <c r="T2" s="19">
        <v>281</v>
      </c>
      <c r="U2" s="19"/>
      <c r="V2" s="19"/>
      <c r="W2" s="20"/>
      <c r="X2" s="9">
        <v>0.25</v>
      </c>
      <c r="Y2" s="9"/>
      <c r="Z2" s="49">
        <v>6100</v>
      </c>
      <c r="AA2" s="20">
        <v>1126</v>
      </c>
      <c r="AB2" s="19"/>
      <c r="AC2" s="9"/>
      <c r="AD2" s="19"/>
      <c r="AE2" s="9"/>
      <c r="AF2" s="1">
        <f t="shared" ref="AF2:AF13" si="0">5/60</f>
        <v>8.3333333333333329E-2</v>
      </c>
      <c r="AI2" s="1">
        <v>1</v>
      </c>
      <c r="AK2" s="1">
        <v>1</v>
      </c>
      <c r="AN2" s="1">
        <v>1</v>
      </c>
      <c r="AQ2" s="1">
        <v>2</v>
      </c>
      <c r="AU2" s="1">
        <v>20</v>
      </c>
      <c r="AV2" s="1">
        <v>50</v>
      </c>
      <c r="AW2" s="1">
        <v>20</v>
      </c>
      <c r="AX2" s="1">
        <v>50</v>
      </c>
      <c r="AY2" s="19"/>
      <c r="AZ2" s="19"/>
      <c r="BA2" s="8">
        <f>0.5*Umrechnungsfaktoren!$B$15/Umrechnungsfaktoren!$B$13</f>
        <v>0.5164179104477612</v>
      </c>
      <c r="BB2" s="8">
        <v>0</v>
      </c>
      <c r="BC2" s="8">
        <f>164*Umrechnungsfaktoren!$B$15/Umrechnungsfaktoren!$B$13</f>
        <v>169.38507462686567</v>
      </c>
      <c r="BD2" s="8"/>
      <c r="BE2" s="8"/>
      <c r="BF2" s="8">
        <f>0.05*Umrechnungsfaktoren!$B$15/Umrechnungsfaktoren!$B$13</f>
        <v>5.164179104477612E-2</v>
      </c>
      <c r="BG2" s="8"/>
      <c r="BJ2" s="1">
        <v>213</v>
      </c>
      <c r="BK2" s="1">
        <v>214</v>
      </c>
      <c r="BM2" s="13" t="s">
        <v>551</v>
      </c>
      <c r="BN2" s="13" t="s">
        <v>550</v>
      </c>
      <c r="BO2" s="13"/>
      <c r="BP2" s="13">
        <v>213</v>
      </c>
      <c r="BQ2" s="13"/>
      <c r="BR2" s="13">
        <v>213</v>
      </c>
      <c r="BS2" s="13"/>
      <c r="BU2" s="13"/>
      <c r="BV2" s="13"/>
      <c r="BW2" s="13">
        <v>242</v>
      </c>
      <c r="BX2" s="1">
        <v>213</v>
      </c>
      <c r="BY2" s="1">
        <v>213</v>
      </c>
      <c r="CB2" s="1">
        <v>213</v>
      </c>
      <c r="CC2" s="1" t="s">
        <v>560</v>
      </c>
      <c r="CD2" s="1" t="s">
        <v>561</v>
      </c>
      <c r="CE2" s="1" t="s">
        <v>560</v>
      </c>
    </row>
    <row r="3" spans="1:86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/>
      <c r="M3" s="19">
        <v>277</v>
      </c>
      <c r="N3" s="19">
        <v>1107</v>
      </c>
      <c r="O3" s="19"/>
      <c r="P3" s="19"/>
      <c r="Q3" s="19"/>
      <c r="R3" s="19"/>
      <c r="S3" s="19"/>
      <c r="T3" s="19">
        <v>277</v>
      </c>
      <c r="U3" s="19"/>
      <c r="V3" s="19"/>
      <c r="W3" s="20"/>
      <c r="X3" s="9">
        <v>0.25</v>
      </c>
      <c r="Y3" s="9"/>
      <c r="Z3" s="49">
        <v>6100</v>
      </c>
      <c r="AA3" s="20"/>
      <c r="AB3" s="19"/>
      <c r="AC3" s="9"/>
      <c r="AD3" s="19"/>
      <c r="AE3" s="9"/>
      <c r="AF3" s="1">
        <f t="shared" si="0"/>
        <v>8.3333333333333329E-2</v>
      </c>
      <c r="AI3" s="1">
        <v>1</v>
      </c>
      <c r="AK3" s="1">
        <v>1</v>
      </c>
      <c r="AN3" s="1">
        <v>1</v>
      </c>
      <c r="AQ3" s="1">
        <v>2</v>
      </c>
      <c r="AU3" s="1">
        <v>20</v>
      </c>
      <c r="AV3" s="1">
        <v>50</v>
      </c>
      <c r="AW3" s="1">
        <v>20</v>
      </c>
      <c r="AX3" s="1">
        <v>50</v>
      </c>
      <c r="AY3" s="19"/>
      <c r="AZ3" s="19"/>
      <c r="BA3" s="8">
        <f>0.5*Umrechnungsfaktoren!$B$15/Umrechnungsfaktoren!$B$13</f>
        <v>0.5164179104477612</v>
      </c>
      <c r="BB3" s="8">
        <v>0</v>
      </c>
      <c r="BC3" s="8">
        <f>164*Umrechnungsfaktoren!$B$15/Umrechnungsfaktoren!$B$13</f>
        <v>169.38507462686567</v>
      </c>
      <c r="BD3" s="8"/>
      <c r="BE3" s="8"/>
      <c r="BF3" s="8">
        <f>0.05*Umrechnungsfaktoren!$B$15/Umrechnungsfaktoren!$B$13</f>
        <v>5.164179104477612E-2</v>
      </c>
      <c r="BG3" s="8"/>
      <c r="BJ3" s="1">
        <v>213</v>
      </c>
      <c r="BK3" s="1">
        <v>214</v>
      </c>
      <c r="BM3" s="13" t="s">
        <v>551</v>
      </c>
      <c r="BN3" s="13" t="s">
        <v>550</v>
      </c>
      <c r="BO3" s="13"/>
      <c r="BP3" s="13">
        <v>213</v>
      </c>
      <c r="BQ3" s="13"/>
      <c r="BR3" s="13">
        <v>213</v>
      </c>
      <c r="BS3" s="13"/>
      <c r="BU3" s="13"/>
      <c r="BV3" s="13"/>
      <c r="BW3" s="13">
        <v>242</v>
      </c>
      <c r="BX3" s="1">
        <v>213</v>
      </c>
      <c r="BY3" s="1">
        <v>213</v>
      </c>
      <c r="CB3" s="1">
        <v>213</v>
      </c>
      <c r="CC3" s="1" t="s">
        <v>560</v>
      </c>
      <c r="CD3" s="1" t="s">
        <v>561</v>
      </c>
      <c r="CE3" s="1" t="s">
        <v>560</v>
      </c>
    </row>
    <row r="4" spans="1:86" x14ac:dyDescent="0.2">
      <c r="A4" s="1" t="s">
        <v>54</v>
      </c>
      <c r="B4" s="1" t="s">
        <v>129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/>
      <c r="M4" s="19">
        <v>257</v>
      </c>
      <c r="N4" s="19">
        <v>1029</v>
      </c>
      <c r="O4" s="19"/>
      <c r="P4" s="19"/>
      <c r="Q4" s="19"/>
      <c r="R4" s="19"/>
      <c r="S4" s="19"/>
      <c r="T4" s="19">
        <v>257</v>
      </c>
      <c r="U4" s="19"/>
      <c r="V4" s="19"/>
      <c r="W4" s="20"/>
      <c r="X4" s="9">
        <v>0.25</v>
      </c>
      <c r="Y4" s="9"/>
      <c r="Z4" s="49">
        <v>6100</v>
      </c>
      <c r="AA4" s="20"/>
      <c r="AB4" s="19"/>
      <c r="AC4" s="9"/>
      <c r="AD4" s="19"/>
      <c r="AE4" s="9"/>
      <c r="AF4" s="1">
        <f t="shared" si="0"/>
        <v>8.3333333333333329E-2</v>
      </c>
      <c r="AI4" s="1">
        <v>1</v>
      </c>
      <c r="AK4" s="1">
        <v>1</v>
      </c>
      <c r="AN4" s="1">
        <v>1</v>
      </c>
      <c r="AQ4" s="1">
        <v>2</v>
      </c>
      <c r="AU4" s="1">
        <v>20</v>
      </c>
      <c r="AV4" s="1">
        <v>50</v>
      </c>
      <c r="AW4" s="1">
        <v>20</v>
      </c>
      <c r="AX4" s="1">
        <v>50</v>
      </c>
      <c r="AY4" s="19"/>
      <c r="AZ4" s="19"/>
      <c r="BA4" s="8">
        <f>0.5*Umrechnungsfaktoren!$B$15/Umrechnungsfaktoren!$B$13</f>
        <v>0.5164179104477612</v>
      </c>
      <c r="BB4" s="8">
        <v>0</v>
      </c>
      <c r="BC4" s="8">
        <f>164*Umrechnungsfaktoren!$B$15/Umrechnungsfaktoren!$B$13</f>
        <v>169.38507462686567</v>
      </c>
      <c r="BD4" s="8"/>
      <c r="BE4" s="8"/>
      <c r="BF4" s="8">
        <f>0.05*Umrechnungsfaktoren!$B$15/Umrechnungsfaktoren!$B$13</f>
        <v>5.164179104477612E-2</v>
      </c>
      <c r="BG4" s="8"/>
      <c r="BJ4" s="1">
        <v>213</v>
      </c>
      <c r="BK4" s="1">
        <v>214</v>
      </c>
      <c r="BM4" s="13" t="s">
        <v>551</v>
      </c>
      <c r="BN4" s="13" t="s">
        <v>550</v>
      </c>
      <c r="BO4" s="13"/>
      <c r="BP4" s="13">
        <v>213</v>
      </c>
      <c r="BQ4" s="13"/>
      <c r="BR4" s="13">
        <v>213</v>
      </c>
      <c r="BS4" s="13"/>
      <c r="BU4" s="13"/>
      <c r="BV4" s="13"/>
      <c r="BW4" s="13">
        <v>242</v>
      </c>
      <c r="BX4" s="1">
        <v>213</v>
      </c>
      <c r="BY4" s="1">
        <v>213</v>
      </c>
      <c r="CB4" s="1">
        <v>213</v>
      </c>
      <c r="CC4" s="1" t="s">
        <v>560</v>
      </c>
      <c r="CD4" s="1" t="s">
        <v>561</v>
      </c>
      <c r="CE4" s="1" t="s">
        <v>560</v>
      </c>
    </row>
    <row r="5" spans="1:86" x14ac:dyDescent="0.2">
      <c r="A5" s="1" t="s">
        <v>54</v>
      </c>
      <c r="B5" s="1" t="s">
        <v>129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/>
      <c r="M5" s="19">
        <v>238</v>
      </c>
      <c r="N5" s="19">
        <v>951</v>
      </c>
      <c r="O5" s="19"/>
      <c r="P5" s="19"/>
      <c r="Q5" s="19"/>
      <c r="R5" s="19"/>
      <c r="S5" s="19"/>
      <c r="T5" s="19">
        <v>238</v>
      </c>
      <c r="U5" s="19"/>
      <c r="V5" s="19"/>
      <c r="W5" s="20"/>
      <c r="X5" s="9">
        <v>0.25</v>
      </c>
      <c r="Y5" s="9"/>
      <c r="Z5" s="49">
        <v>6100</v>
      </c>
      <c r="AA5" s="20"/>
      <c r="AB5" s="19"/>
      <c r="AC5" s="9"/>
      <c r="AD5" s="19"/>
      <c r="AE5" s="9"/>
      <c r="AF5" s="1">
        <f t="shared" si="0"/>
        <v>8.3333333333333329E-2</v>
      </c>
      <c r="AI5" s="1">
        <v>1</v>
      </c>
      <c r="AK5" s="1">
        <v>1</v>
      </c>
      <c r="AN5" s="1">
        <v>1</v>
      </c>
      <c r="AQ5" s="1">
        <v>2</v>
      </c>
      <c r="AU5" s="1">
        <v>20</v>
      </c>
      <c r="AV5" s="1">
        <v>50</v>
      </c>
      <c r="AW5" s="1">
        <v>20</v>
      </c>
      <c r="AX5" s="1">
        <v>50</v>
      </c>
      <c r="AY5" s="19"/>
      <c r="AZ5" s="19"/>
      <c r="BA5" s="8">
        <f>0.5*Umrechnungsfaktoren!$B$15/Umrechnungsfaktoren!$B$13</f>
        <v>0.5164179104477612</v>
      </c>
      <c r="BB5" s="8">
        <v>0</v>
      </c>
      <c r="BC5" s="8">
        <f>164*Umrechnungsfaktoren!$B$15/Umrechnungsfaktoren!$B$13</f>
        <v>169.38507462686567</v>
      </c>
      <c r="BD5" s="8"/>
      <c r="BE5" s="8"/>
      <c r="BF5" s="8">
        <f>0.05*Umrechnungsfaktoren!$B$15/Umrechnungsfaktoren!$B$13</f>
        <v>5.164179104477612E-2</v>
      </c>
      <c r="BG5" s="8"/>
      <c r="BJ5" s="1">
        <v>213</v>
      </c>
      <c r="BK5" s="1">
        <v>214</v>
      </c>
      <c r="BM5" s="13" t="s">
        <v>551</v>
      </c>
      <c r="BN5" s="13" t="s">
        <v>550</v>
      </c>
      <c r="BO5" s="13"/>
      <c r="BP5" s="13">
        <v>213</v>
      </c>
      <c r="BQ5" s="13"/>
      <c r="BR5" s="13">
        <v>213</v>
      </c>
      <c r="BS5" s="13"/>
      <c r="BU5" s="13"/>
      <c r="BV5" s="13"/>
      <c r="BW5" s="13">
        <v>242</v>
      </c>
      <c r="BX5" s="1">
        <v>213</v>
      </c>
      <c r="BY5" s="1">
        <v>213</v>
      </c>
      <c r="CB5" s="1">
        <v>213</v>
      </c>
      <c r="CC5" s="1" t="s">
        <v>560</v>
      </c>
      <c r="CD5" s="1" t="s">
        <v>561</v>
      </c>
      <c r="CE5" s="1" t="s">
        <v>560</v>
      </c>
    </row>
    <row r="6" spans="1:86" x14ac:dyDescent="0.2">
      <c r="A6" s="1" t="s">
        <v>29</v>
      </c>
      <c r="B6" s="1" t="s">
        <v>129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/>
      <c r="M6" s="19">
        <f>603-10</f>
        <v>593</v>
      </c>
      <c r="N6" s="19">
        <v>988</v>
      </c>
      <c r="O6" s="19"/>
      <c r="P6" s="19"/>
      <c r="Q6" s="19"/>
      <c r="R6" s="19"/>
      <c r="S6" s="19"/>
      <c r="T6" s="19">
        <v>603</v>
      </c>
      <c r="U6" s="19"/>
      <c r="V6" s="19"/>
      <c r="W6" s="20"/>
      <c r="X6" s="9">
        <v>0.6</v>
      </c>
      <c r="Y6" s="9"/>
      <c r="Z6" s="49">
        <v>7700</v>
      </c>
      <c r="AA6" s="20">
        <f>239+767</f>
        <v>1006</v>
      </c>
      <c r="AB6" s="19"/>
      <c r="AC6" s="9"/>
      <c r="AD6" s="19"/>
      <c r="AE6" s="9"/>
      <c r="AF6" s="1">
        <f t="shared" si="0"/>
        <v>8.3333333333333329E-2</v>
      </c>
      <c r="AI6" s="1">
        <v>1</v>
      </c>
      <c r="AK6" s="1">
        <v>1</v>
      </c>
      <c r="AN6" s="1">
        <v>1</v>
      </c>
      <c r="AQ6" s="1">
        <v>2</v>
      </c>
      <c r="AU6" s="1">
        <v>20</v>
      </c>
      <c r="AV6" s="1">
        <v>50</v>
      </c>
      <c r="AW6" s="1">
        <v>20</v>
      </c>
      <c r="AX6" s="1">
        <v>50</v>
      </c>
      <c r="AY6" s="19"/>
      <c r="AZ6" s="19"/>
      <c r="BA6" s="8">
        <f>0.5*Umrechnungsfaktoren!$B$15/Umrechnungsfaktoren!$B$13</f>
        <v>0.5164179104477612</v>
      </c>
      <c r="BB6" s="8">
        <v>0</v>
      </c>
      <c r="BC6" s="8">
        <f>96*Umrechnungsfaktoren!$B$15/Umrechnungsfaktoren!$B$13</f>
        <v>99.152238805970143</v>
      </c>
      <c r="BD6" s="8"/>
      <c r="BE6" s="8"/>
      <c r="BF6" s="8">
        <f>0.05*Umrechnungsfaktoren!$B$15/Umrechnungsfaktoren!$B$13</f>
        <v>5.164179104477612E-2</v>
      </c>
      <c r="BG6" s="8"/>
      <c r="BJ6" s="1">
        <v>213</v>
      </c>
      <c r="BK6" s="1">
        <v>214</v>
      </c>
      <c r="BM6" s="13" t="s">
        <v>551</v>
      </c>
      <c r="BN6" s="13" t="s">
        <v>550</v>
      </c>
      <c r="BO6" s="13"/>
      <c r="BP6" s="13">
        <v>213</v>
      </c>
      <c r="BQ6" s="13"/>
      <c r="BR6" s="13">
        <v>213</v>
      </c>
      <c r="BS6" s="13"/>
      <c r="BU6" s="13"/>
      <c r="BV6" s="13"/>
      <c r="BW6" s="13">
        <v>242</v>
      </c>
      <c r="BX6" s="1">
        <v>213</v>
      </c>
      <c r="BY6" s="1">
        <v>213</v>
      </c>
      <c r="CB6" s="1">
        <v>213</v>
      </c>
      <c r="CC6" s="1" t="s">
        <v>560</v>
      </c>
      <c r="CD6" s="1" t="s">
        <v>561</v>
      </c>
      <c r="CE6" s="1" t="s">
        <v>560</v>
      </c>
    </row>
    <row r="7" spans="1:86" x14ac:dyDescent="0.2">
      <c r="A7" s="1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/>
      <c r="M7" s="19">
        <f>$M$6/603*549</f>
        <v>539.8955223880597</v>
      </c>
      <c r="N7" s="19">
        <f>1270/1006*N6</f>
        <v>1247.2763419483101</v>
      </c>
      <c r="O7" s="19"/>
      <c r="P7" s="19"/>
      <c r="Q7" s="19"/>
      <c r="R7" s="19"/>
      <c r="S7" s="19"/>
      <c r="T7" s="19">
        <v>549</v>
      </c>
      <c r="U7" s="19"/>
      <c r="V7" s="19"/>
      <c r="W7" s="20"/>
      <c r="X7" s="9">
        <v>0.6</v>
      </c>
      <c r="Y7" s="9"/>
      <c r="Z7" s="49">
        <v>7700</v>
      </c>
      <c r="AA7" s="20"/>
      <c r="AB7" s="19"/>
      <c r="AC7" s="9"/>
      <c r="AD7" s="19"/>
      <c r="AE7" s="9"/>
      <c r="AF7" s="1">
        <f t="shared" si="0"/>
        <v>8.3333333333333329E-2</v>
      </c>
      <c r="AI7" s="1">
        <v>1</v>
      </c>
      <c r="AK7" s="1">
        <v>1</v>
      </c>
      <c r="AN7" s="1">
        <v>1</v>
      </c>
      <c r="AQ7" s="1">
        <v>2</v>
      </c>
      <c r="AU7" s="1">
        <v>20</v>
      </c>
      <c r="AV7" s="1">
        <v>50</v>
      </c>
      <c r="AW7" s="1">
        <v>20</v>
      </c>
      <c r="AX7" s="1">
        <v>50</v>
      </c>
      <c r="AY7" s="19"/>
      <c r="AZ7" s="19"/>
      <c r="BA7" s="8">
        <f>0.5*Umrechnungsfaktoren!$B$15/Umrechnungsfaktoren!$B$13</f>
        <v>0.5164179104477612</v>
      </c>
      <c r="BB7" s="8">
        <v>0</v>
      </c>
      <c r="BC7" s="8">
        <f>96*Umrechnungsfaktoren!$B$15/Umrechnungsfaktoren!$B$13</f>
        <v>99.152238805970143</v>
      </c>
      <c r="BD7" s="8"/>
      <c r="BE7" s="8"/>
      <c r="BF7" s="8">
        <f>0.05*Umrechnungsfaktoren!$B$15/Umrechnungsfaktoren!$B$13</f>
        <v>5.164179104477612E-2</v>
      </c>
      <c r="BG7" s="8"/>
      <c r="BJ7" s="1">
        <v>213</v>
      </c>
      <c r="BK7" s="1">
        <v>214</v>
      </c>
      <c r="BM7" s="13" t="s">
        <v>551</v>
      </c>
      <c r="BN7" s="13" t="s">
        <v>550</v>
      </c>
      <c r="BO7" s="13"/>
      <c r="BP7" s="13">
        <v>213</v>
      </c>
      <c r="BQ7" s="13"/>
      <c r="BR7" s="13">
        <v>213</v>
      </c>
      <c r="BS7" s="13"/>
      <c r="BU7" s="13"/>
      <c r="BV7" s="13"/>
      <c r="BW7" s="13">
        <v>242</v>
      </c>
      <c r="BX7" s="1">
        <v>213</v>
      </c>
      <c r="BY7" s="1">
        <v>213</v>
      </c>
      <c r="CB7" s="1">
        <v>213</v>
      </c>
      <c r="CC7" s="1" t="s">
        <v>560</v>
      </c>
      <c r="CD7" s="1" t="s">
        <v>561</v>
      </c>
      <c r="CE7" s="1" t="s">
        <v>560</v>
      </c>
    </row>
    <row r="8" spans="1:86" x14ac:dyDescent="0.2">
      <c r="A8" s="1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/>
      <c r="M8" s="19">
        <f>$M$6/603*718</f>
        <v>706.09286898839139</v>
      </c>
      <c r="N8" s="19">
        <f>1257/1006*N6</f>
        <v>1234.5089463220675</v>
      </c>
      <c r="O8" s="19"/>
      <c r="P8" s="19"/>
      <c r="Q8" s="19"/>
      <c r="R8" s="19"/>
      <c r="S8" s="19"/>
      <c r="T8" s="19">
        <v>718</v>
      </c>
      <c r="U8" s="19"/>
      <c r="V8" s="19"/>
      <c r="W8" s="20"/>
      <c r="X8" s="9">
        <v>0.6</v>
      </c>
      <c r="Y8" s="9"/>
      <c r="Z8" s="49">
        <v>7700</v>
      </c>
      <c r="AA8" s="20"/>
      <c r="AB8" s="19"/>
      <c r="AC8" s="9"/>
      <c r="AD8" s="19"/>
      <c r="AE8" s="9"/>
      <c r="AF8" s="1">
        <f t="shared" si="0"/>
        <v>8.3333333333333329E-2</v>
      </c>
      <c r="AI8" s="1">
        <v>1</v>
      </c>
      <c r="AK8" s="1">
        <v>1</v>
      </c>
      <c r="AN8" s="1">
        <v>1</v>
      </c>
      <c r="AQ8" s="1">
        <v>2</v>
      </c>
      <c r="AU8" s="1">
        <v>20</v>
      </c>
      <c r="AV8" s="1">
        <v>50</v>
      </c>
      <c r="AW8" s="1">
        <v>20</v>
      </c>
      <c r="AX8" s="1">
        <v>50</v>
      </c>
      <c r="AY8" s="19"/>
      <c r="AZ8" s="19"/>
      <c r="BA8" s="8">
        <f>0.5*Umrechnungsfaktoren!$B$15/Umrechnungsfaktoren!$B$13</f>
        <v>0.5164179104477612</v>
      </c>
      <c r="BB8" s="8">
        <v>0</v>
      </c>
      <c r="BC8" s="8">
        <f>96*Umrechnungsfaktoren!$B$15/Umrechnungsfaktoren!$B$13</f>
        <v>99.152238805970143</v>
      </c>
      <c r="BD8" s="8"/>
      <c r="BE8" s="8"/>
      <c r="BF8" s="8">
        <f>0.05*Umrechnungsfaktoren!$B$15/Umrechnungsfaktoren!$B$13</f>
        <v>5.164179104477612E-2</v>
      </c>
      <c r="BG8" s="8"/>
      <c r="BJ8" s="1">
        <v>213</v>
      </c>
      <c r="BK8" s="1">
        <v>214</v>
      </c>
      <c r="BM8" s="13" t="s">
        <v>551</v>
      </c>
      <c r="BN8" s="13" t="s">
        <v>550</v>
      </c>
      <c r="BO8" s="13"/>
      <c r="BP8" s="13">
        <v>213</v>
      </c>
      <c r="BQ8" s="13"/>
      <c r="BR8" s="13">
        <v>213</v>
      </c>
      <c r="BS8" s="13"/>
      <c r="BU8" s="13"/>
      <c r="BV8" s="13"/>
      <c r="BW8" s="13">
        <v>242</v>
      </c>
      <c r="BX8" s="1">
        <v>213</v>
      </c>
      <c r="BY8" s="1">
        <v>213</v>
      </c>
      <c r="CB8" s="1">
        <v>213</v>
      </c>
      <c r="CC8" s="1" t="s">
        <v>560</v>
      </c>
      <c r="CD8" s="1" t="s">
        <v>561</v>
      </c>
      <c r="CE8" s="1" t="s">
        <v>560</v>
      </c>
    </row>
    <row r="9" spans="1:86" x14ac:dyDescent="0.2">
      <c r="A9" s="1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/>
      <c r="M9" s="19">
        <f>$M$6/603*711</f>
        <v>699.20895522388059</v>
      </c>
      <c r="N9" s="19">
        <f>1643/1006*N6</f>
        <v>1613.6023856858847</v>
      </c>
      <c r="O9" s="19"/>
      <c r="P9" s="19"/>
      <c r="Q9" s="19"/>
      <c r="R9" s="19"/>
      <c r="S9" s="19"/>
      <c r="T9" s="19">
        <v>711</v>
      </c>
      <c r="U9" s="19"/>
      <c r="V9" s="19"/>
      <c r="W9" s="20"/>
      <c r="X9" s="9">
        <v>0.6</v>
      </c>
      <c r="Y9" s="9"/>
      <c r="Z9" s="49">
        <v>7700</v>
      </c>
      <c r="AA9" s="20"/>
      <c r="AB9" s="19"/>
      <c r="AC9" s="9"/>
      <c r="AD9" s="19"/>
      <c r="AE9" s="9"/>
      <c r="AF9" s="1">
        <f t="shared" si="0"/>
        <v>8.3333333333333329E-2</v>
      </c>
      <c r="AI9" s="1">
        <v>1</v>
      </c>
      <c r="AK9" s="1">
        <v>1</v>
      </c>
      <c r="AN9" s="1">
        <v>1</v>
      </c>
      <c r="AQ9" s="1">
        <v>2</v>
      </c>
      <c r="AU9" s="1">
        <v>20</v>
      </c>
      <c r="AV9" s="1">
        <v>50</v>
      </c>
      <c r="AW9" s="1">
        <v>20</v>
      </c>
      <c r="AX9" s="1">
        <v>50</v>
      </c>
      <c r="AY9" s="19"/>
      <c r="AZ9" s="19"/>
      <c r="BA9" s="8">
        <f>0.5*Umrechnungsfaktoren!$B$15/Umrechnungsfaktoren!$B$13</f>
        <v>0.5164179104477612</v>
      </c>
      <c r="BB9" s="8">
        <v>0</v>
      </c>
      <c r="BC9" s="8">
        <f>96*Umrechnungsfaktoren!$B$15/Umrechnungsfaktoren!$B$13</f>
        <v>99.152238805970143</v>
      </c>
      <c r="BD9" s="8"/>
      <c r="BE9" s="8"/>
      <c r="BF9" s="8">
        <f>0.05*Umrechnungsfaktoren!$B$15/Umrechnungsfaktoren!$B$13</f>
        <v>5.164179104477612E-2</v>
      </c>
      <c r="BG9" s="8"/>
      <c r="BJ9" s="1">
        <v>213</v>
      </c>
      <c r="BK9" s="1">
        <v>214</v>
      </c>
      <c r="BM9" s="13" t="s">
        <v>551</v>
      </c>
      <c r="BN9" s="13" t="s">
        <v>550</v>
      </c>
      <c r="BO9" s="13"/>
      <c r="BP9" s="13">
        <v>213</v>
      </c>
      <c r="BQ9" s="13"/>
      <c r="BR9" s="13">
        <v>213</v>
      </c>
      <c r="BS9" s="13"/>
      <c r="BU9" s="13"/>
      <c r="BV9" s="13"/>
      <c r="BW9" s="13">
        <v>242</v>
      </c>
      <c r="BX9" s="1">
        <v>213</v>
      </c>
      <c r="BY9" s="1">
        <v>213</v>
      </c>
      <c r="CB9" s="1">
        <v>213</v>
      </c>
      <c r="CC9" s="1" t="s">
        <v>560</v>
      </c>
      <c r="CD9" s="1" t="s">
        <v>561</v>
      </c>
      <c r="CE9" s="1" t="s">
        <v>560</v>
      </c>
    </row>
    <row r="10" spans="1:86" x14ac:dyDescent="0.2">
      <c r="A10" s="1" t="s">
        <v>77</v>
      </c>
      <c r="B10" s="1" t="s">
        <v>129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/>
      <c r="M10" s="19">
        <f>316+105-110</f>
        <v>311</v>
      </c>
      <c r="N10" s="19"/>
      <c r="O10" s="19"/>
      <c r="P10" s="19"/>
      <c r="Q10" s="19"/>
      <c r="R10" s="19"/>
      <c r="S10" s="19"/>
      <c r="T10" s="19">
        <f>316+105</f>
        <v>421</v>
      </c>
      <c r="U10" s="19"/>
      <c r="V10" s="19"/>
      <c r="W10" s="20"/>
      <c r="X10" s="9">
        <v>1</v>
      </c>
      <c r="Y10" s="9"/>
      <c r="Z10" s="49">
        <v>7500</v>
      </c>
      <c r="AA10" s="20">
        <f>316+105</f>
        <v>421</v>
      </c>
      <c r="AB10" s="19"/>
      <c r="AC10" s="9"/>
      <c r="AD10" s="19"/>
      <c r="AE10" s="9"/>
      <c r="AF10" s="1">
        <f t="shared" si="0"/>
        <v>8.3333333333333329E-2</v>
      </c>
      <c r="AI10" s="1">
        <v>1</v>
      </c>
      <c r="AK10" s="1">
        <v>1</v>
      </c>
      <c r="AN10" s="1">
        <v>1</v>
      </c>
      <c r="AQ10" s="1">
        <v>2</v>
      </c>
      <c r="AU10" s="1">
        <v>20</v>
      </c>
      <c r="AV10" s="1">
        <v>50</v>
      </c>
      <c r="AW10" s="1">
        <v>20</v>
      </c>
      <c r="AX10" s="1">
        <v>50</v>
      </c>
      <c r="AY10" s="19"/>
      <c r="AZ10" s="19"/>
      <c r="BA10" s="8">
        <f>0.5*Umrechnungsfaktoren!$B$15/Umrechnungsfaktoren!$B$13</f>
        <v>0.5164179104477612</v>
      </c>
      <c r="BB10" s="8">
        <v>0</v>
      </c>
      <c r="BC10" s="8">
        <f>433*Umrechnungsfaktoren!$B$15/Umrechnungsfaktoren!$B$13</f>
        <v>447.2179104477612</v>
      </c>
      <c r="BD10" s="8"/>
      <c r="BE10" s="8"/>
      <c r="BF10" s="8">
        <f>0.05*Umrechnungsfaktoren!$B$15/Umrechnungsfaktoren!$B$13</f>
        <v>5.164179104477612E-2</v>
      </c>
      <c r="BG10" s="8"/>
      <c r="BJ10" s="1">
        <v>213</v>
      </c>
      <c r="BK10" s="1">
        <v>214</v>
      </c>
      <c r="BM10" s="13" t="s">
        <v>551</v>
      </c>
      <c r="BN10" s="13" t="s">
        <v>550</v>
      </c>
      <c r="BO10" s="13"/>
      <c r="BP10" s="13">
        <v>213</v>
      </c>
      <c r="BQ10" s="13"/>
      <c r="BR10" s="13">
        <v>213</v>
      </c>
      <c r="BS10" s="13"/>
      <c r="BU10" s="13"/>
      <c r="BV10" s="13"/>
      <c r="BW10" s="13">
        <v>242</v>
      </c>
      <c r="BX10" s="1">
        <v>213</v>
      </c>
      <c r="BY10" s="1">
        <v>213</v>
      </c>
      <c r="CB10" s="1">
        <v>213</v>
      </c>
      <c r="CC10" s="1" t="s">
        <v>560</v>
      </c>
      <c r="CD10" s="1" t="s">
        <v>561</v>
      </c>
      <c r="CE10" s="1" t="s">
        <v>560</v>
      </c>
    </row>
    <row r="11" spans="1:86" x14ac:dyDescent="0.2">
      <c r="A11" s="1" t="s">
        <v>77</v>
      </c>
      <c r="B11" s="1" t="s">
        <v>129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/>
      <c r="M11" s="19">
        <f>311/421*391</f>
        <v>288.83847980997626</v>
      </c>
      <c r="N11" s="19"/>
      <c r="O11" s="19"/>
      <c r="P11" s="19"/>
      <c r="Q11" s="19"/>
      <c r="R11" s="19"/>
      <c r="S11" s="19"/>
      <c r="T11" s="19">
        <v>391</v>
      </c>
      <c r="U11" s="19"/>
      <c r="V11" s="19"/>
      <c r="W11" s="20"/>
      <c r="X11" s="9">
        <v>1</v>
      </c>
      <c r="Y11" s="9"/>
      <c r="Z11" s="49">
        <v>7500</v>
      </c>
      <c r="AA11" s="20"/>
      <c r="AB11" s="19"/>
      <c r="AC11" s="9"/>
      <c r="AD11" s="19"/>
      <c r="AE11" s="9"/>
      <c r="AF11" s="1">
        <f t="shared" si="0"/>
        <v>8.3333333333333329E-2</v>
      </c>
      <c r="AI11" s="1">
        <v>1</v>
      </c>
      <c r="AK11" s="1">
        <v>1</v>
      </c>
      <c r="AN11" s="1">
        <v>1</v>
      </c>
      <c r="AQ11" s="1">
        <v>2</v>
      </c>
      <c r="AU11" s="1">
        <v>20</v>
      </c>
      <c r="AV11" s="1">
        <v>50</v>
      </c>
      <c r="AW11" s="1">
        <v>20</v>
      </c>
      <c r="AX11" s="1">
        <v>50</v>
      </c>
      <c r="AY11" s="19"/>
      <c r="AZ11" s="19"/>
      <c r="BA11" s="8">
        <f>0.5*Umrechnungsfaktoren!$B$15/Umrechnungsfaktoren!$B$13</f>
        <v>0.5164179104477612</v>
      </c>
      <c r="BB11" s="8">
        <v>0</v>
      </c>
      <c r="BC11" s="8">
        <f>433*Umrechnungsfaktoren!$B$15/Umrechnungsfaktoren!$B$13</f>
        <v>447.2179104477612</v>
      </c>
      <c r="BD11" s="8"/>
      <c r="BE11" s="8"/>
      <c r="BF11" s="8">
        <f>0.05*Umrechnungsfaktoren!$B$15/Umrechnungsfaktoren!$B$13</f>
        <v>5.164179104477612E-2</v>
      </c>
      <c r="BG11" s="8"/>
      <c r="BJ11" s="1">
        <v>213</v>
      </c>
      <c r="BK11" s="1">
        <v>214</v>
      </c>
      <c r="BM11" s="13" t="s">
        <v>551</v>
      </c>
      <c r="BN11" s="13" t="s">
        <v>550</v>
      </c>
      <c r="BO11" s="13"/>
      <c r="BP11" s="13">
        <v>213</v>
      </c>
      <c r="BQ11" s="13"/>
      <c r="BR11" s="13">
        <v>213</v>
      </c>
      <c r="BS11" s="13"/>
      <c r="BU11" s="13"/>
      <c r="BV11" s="13"/>
      <c r="BW11" s="13">
        <v>242</v>
      </c>
      <c r="BX11" s="1">
        <v>213</v>
      </c>
      <c r="BY11" s="1">
        <v>213</v>
      </c>
      <c r="CB11" s="1">
        <v>213</v>
      </c>
      <c r="CC11" s="1" t="s">
        <v>560</v>
      </c>
      <c r="CD11" s="1" t="s">
        <v>561</v>
      </c>
      <c r="CE11" s="1" t="s">
        <v>560</v>
      </c>
    </row>
    <row r="12" spans="1:86" x14ac:dyDescent="0.2">
      <c r="A12" s="1" t="s">
        <v>77</v>
      </c>
      <c r="B12" s="1" t="s">
        <v>129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/>
      <c r="M12" s="19">
        <f>311/421*346</f>
        <v>255.59619952494063</v>
      </c>
      <c r="N12" s="19"/>
      <c r="O12" s="19"/>
      <c r="P12" s="19"/>
      <c r="Q12" s="19"/>
      <c r="R12" s="19"/>
      <c r="S12" s="19"/>
      <c r="T12" s="19">
        <v>346</v>
      </c>
      <c r="U12" s="19"/>
      <c r="V12" s="19"/>
      <c r="W12" s="20"/>
      <c r="X12" s="9">
        <v>1</v>
      </c>
      <c r="Y12" s="9"/>
      <c r="Z12" s="49">
        <v>7500</v>
      </c>
      <c r="AA12" s="20"/>
      <c r="AB12" s="19"/>
      <c r="AC12" s="9"/>
      <c r="AD12" s="19"/>
      <c r="AE12" s="9"/>
      <c r="AF12" s="1">
        <f t="shared" si="0"/>
        <v>8.3333333333333329E-2</v>
      </c>
      <c r="AI12" s="1">
        <v>1</v>
      </c>
      <c r="AK12" s="1">
        <v>1</v>
      </c>
      <c r="AN12" s="1">
        <v>1</v>
      </c>
      <c r="AQ12" s="1">
        <v>2</v>
      </c>
      <c r="AU12" s="1">
        <v>20</v>
      </c>
      <c r="AV12" s="1">
        <v>50</v>
      </c>
      <c r="AW12" s="1">
        <v>20</v>
      </c>
      <c r="AX12" s="1">
        <v>50</v>
      </c>
      <c r="AY12" s="19"/>
      <c r="AZ12" s="19"/>
      <c r="BA12" s="8">
        <f>0.5*Umrechnungsfaktoren!$B$15/Umrechnungsfaktoren!$B$13</f>
        <v>0.5164179104477612</v>
      </c>
      <c r="BB12" s="8">
        <v>0</v>
      </c>
      <c r="BC12" s="8">
        <f>433*Umrechnungsfaktoren!$B$15/Umrechnungsfaktoren!$B$13</f>
        <v>447.2179104477612</v>
      </c>
      <c r="BD12" s="8"/>
      <c r="BE12" s="8"/>
      <c r="BF12" s="8">
        <f>0.05*Umrechnungsfaktoren!$B$15/Umrechnungsfaktoren!$B$13</f>
        <v>5.164179104477612E-2</v>
      </c>
      <c r="BG12" s="8"/>
      <c r="BJ12" s="1">
        <v>213</v>
      </c>
      <c r="BK12" s="1">
        <v>214</v>
      </c>
      <c r="BM12" s="13" t="s">
        <v>551</v>
      </c>
      <c r="BN12" s="13" t="s">
        <v>550</v>
      </c>
      <c r="BO12" s="13"/>
      <c r="BP12" s="13">
        <v>213</v>
      </c>
      <c r="BQ12" s="13"/>
      <c r="BR12" s="13">
        <v>213</v>
      </c>
      <c r="BS12" s="13"/>
      <c r="BU12" s="13"/>
      <c r="BV12" s="13"/>
      <c r="BW12" s="13">
        <v>242</v>
      </c>
      <c r="BX12" s="1">
        <v>213</v>
      </c>
      <c r="BY12" s="1">
        <v>213</v>
      </c>
      <c r="CB12" s="1">
        <v>213</v>
      </c>
      <c r="CC12" s="1" t="s">
        <v>560</v>
      </c>
      <c r="CD12" s="1" t="s">
        <v>561</v>
      </c>
      <c r="CE12" s="1" t="s">
        <v>560</v>
      </c>
    </row>
    <row r="13" spans="1:86" x14ac:dyDescent="0.2">
      <c r="A13" s="1" t="s">
        <v>77</v>
      </c>
      <c r="B13" s="1" t="s">
        <v>129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/>
      <c r="M13" s="19">
        <f>311/421*307</f>
        <v>226.78622327790976</v>
      </c>
      <c r="N13" s="19"/>
      <c r="O13" s="19"/>
      <c r="P13" s="19"/>
      <c r="Q13" s="19"/>
      <c r="R13" s="19"/>
      <c r="S13" s="19"/>
      <c r="T13" s="19">
        <v>307</v>
      </c>
      <c r="U13" s="19"/>
      <c r="V13" s="19"/>
      <c r="W13" s="20"/>
      <c r="X13" s="9">
        <v>1</v>
      </c>
      <c r="Y13" s="9"/>
      <c r="Z13" s="49">
        <v>7500</v>
      </c>
      <c r="AA13" s="20"/>
      <c r="AB13" s="19"/>
      <c r="AC13" s="9"/>
      <c r="AD13" s="19"/>
      <c r="AE13" s="9"/>
      <c r="AF13" s="1">
        <f t="shared" si="0"/>
        <v>8.3333333333333329E-2</v>
      </c>
      <c r="AI13" s="1">
        <v>1</v>
      </c>
      <c r="AK13" s="1">
        <v>1</v>
      </c>
      <c r="AN13" s="1">
        <v>1</v>
      </c>
      <c r="AQ13" s="1">
        <v>2</v>
      </c>
      <c r="AU13" s="1">
        <v>20</v>
      </c>
      <c r="AV13" s="1">
        <v>50</v>
      </c>
      <c r="AW13" s="1">
        <v>20</v>
      </c>
      <c r="AX13" s="1">
        <v>50</v>
      </c>
      <c r="AY13" s="19"/>
      <c r="AZ13" s="19"/>
      <c r="BA13" s="8">
        <f>0.5*Umrechnungsfaktoren!$B$15/Umrechnungsfaktoren!$B$13</f>
        <v>0.5164179104477612</v>
      </c>
      <c r="BB13" s="8">
        <v>0</v>
      </c>
      <c r="BC13" s="8">
        <f>433*Umrechnungsfaktoren!$B$15/Umrechnungsfaktoren!$B$13</f>
        <v>447.2179104477612</v>
      </c>
      <c r="BD13" s="8"/>
      <c r="BE13" s="8"/>
      <c r="BF13" s="8">
        <f>0.05*Umrechnungsfaktoren!$B$15/Umrechnungsfaktoren!$B$13</f>
        <v>5.164179104477612E-2</v>
      </c>
      <c r="BG13" s="8"/>
      <c r="BJ13" s="1">
        <v>213</v>
      </c>
      <c r="BK13" s="1">
        <v>214</v>
      </c>
      <c r="BM13" s="13" t="s">
        <v>551</v>
      </c>
      <c r="BN13" s="13" t="s">
        <v>550</v>
      </c>
      <c r="BO13" s="13"/>
      <c r="BP13" s="13">
        <v>213</v>
      </c>
      <c r="BQ13" s="13"/>
      <c r="BR13" s="13">
        <v>213</v>
      </c>
      <c r="BS13" s="13"/>
      <c r="BU13" s="13"/>
      <c r="BV13" s="13"/>
      <c r="BW13" s="13">
        <v>242</v>
      </c>
      <c r="BX13" s="1">
        <v>213</v>
      </c>
      <c r="BY13" s="1">
        <v>213</v>
      </c>
      <c r="CB13" s="1">
        <v>213</v>
      </c>
      <c r="CC13" s="1" t="s">
        <v>560</v>
      </c>
      <c r="CD13" s="1" t="s">
        <v>561</v>
      </c>
      <c r="CE13" s="1" t="s">
        <v>560</v>
      </c>
    </row>
    <row r="14" spans="1:86" x14ac:dyDescent="0.2">
      <c r="A14" s="1" t="s">
        <v>190</v>
      </c>
      <c r="B14" s="1" t="s">
        <v>129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/>
      <c r="N14" s="19">
        <v>2720</v>
      </c>
      <c r="O14" s="19"/>
      <c r="P14" s="19"/>
      <c r="Q14" s="19"/>
      <c r="R14" s="19"/>
      <c r="S14" s="19"/>
      <c r="T14" s="19"/>
      <c r="U14" s="19"/>
      <c r="V14" s="19"/>
      <c r="W14" s="20"/>
      <c r="X14" s="9"/>
      <c r="Y14" s="9"/>
      <c r="Z14" s="49"/>
      <c r="AA14" s="20"/>
      <c r="AB14" s="19"/>
      <c r="AC14" s="9"/>
      <c r="AD14" s="19"/>
      <c r="AE14" s="9"/>
      <c r="AY14" s="19"/>
      <c r="AZ14" s="19"/>
      <c r="BA14" s="8">
        <f>0.5*Umrechnungsfaktoren!$B$15/Umrechnungsfaktoren!$B$13</f>
        <v>0.5164179104477612</v>
      </c>
      <c r="BB14" s="8">
        <v>0</v>
      </c>
      <c r="BC14" s="8">
        <f>433*Umrechnungsfaktoren!$B$15/Umrechnungsfaktoren!$B$13</f>
        <v>447.2179104477612</v>
      </c>
      <c r="BD14" s="8"/>
      <c r="BE14" s="8"/>
      <c r="BF14" s="8">
        <f>0.05*Umrechnungsfaktoren!$B$15/Umrechnungsfaktoren!$B$13</f>
        <v>5.164179104477612E-2</v>
      </c>
      <c r="BG14" s="8"/>
      <c r="BJ14" s="1">
        <v>213</v>
      </c>
      <c r="BK14" s="1">
        <v>214</v>
      </c>
      <c r="BM14" s="13" t="s">
        <v>552</v>
      </c>
      <c r="BO14" s="13"/>
      <c r="BP14" s="13">
        <v>213</v>
      </c>
      <c r="BQ14" s="13"/>
      <c r="BR14" s="13">
        <v>213</v>
      </c>
      <c r="BS14" s="13"/>
      <c r="BU14" s="13"/>
      <c r="BV14" s="13"/>
      <c r="BW14" s="13"/>
      <c r="CB14" s="1">
        <v>213</v>
      </c>
      <c r="CC14" s="1" t="s">
        <v>560</v>
      </c>
      <c r="CD14" s="1" t="s">
        <v>561</v>
      </c>
      <c r="CE14" s="1" t="s">
        <v>560</v>
      </c>
    </row>
    <row r="15" spans="1:86" x14ac:dyDescent="0.2">
      <c r="A15" s="1" t="s">
        <v>190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/>
      <c r="N15" s="19">
        <f>3095/3335*N14</f>
        <v>2524.257871064468</v>
      </c>
      <c r="O15" s="19"/>
      <c r="P15" s="19"/>
      <c r="Q15" s="19"/>
      <c r="R15" s="19"/>
      <c r="S15" s="19"/>
      <c r="T15" s="19"/>
      <c r="U15" s="19"/>
      <c r="V15" s="19"/>
      <c r="W15" s="20"/>
      <c r="X15" s="9"/>
      <c r="Y15" s="9"/>
      <c r="Z15" s="49"/>
      <c r="AA15" s="20"/>
      <c r="AB15" s="19"/>
      <c r="AC15" s="9"/>
      <c r="AD15" s="19"/>
      <c r="AE15" s="9"/>
      <c r="AY15" s="19"/>
      <c r="AZ15" s="19"/>
      <c r="BA15" s="8">
        <f>0.5*Umrechnungsfaktoren!$B$15/Umrechnungsfaktoren!$B$13</f>
        <v>0.5164179104477612</v>
      </c>
      <c r="BB15" s="8">
        <v>0</v>
      </c>
      <c r="BC15" s="8">
        <f>433*Umrechnungsfaktoren!$B$15/Umrechnungsfaktoren!$B$13</f>
        <v>447.2179104477612</v>
      </c>
      <c r="BD15" s="8"/>
      <c r="BE15" s="8"/>
      <c r="BF15" s="8">
        <f>0.05*Umrechnungsfaktoren!$B$15/Umrechnungsfaktoren!$B$13</f>
        <v>5.164179104477612E-2</v>
      </c>
      <c r="BG15" s="8"/>
      <c r="BJ15" s="1">
        <v>213</v>
      </c>
      <c r="BK15" s="1">
        <v>214</v>
      </c>
      <c r="BM15" s="13" t="s">
        <v>552</v>
      </c>
      <c r="BO15" s="13"/>
      <c r="BP15" s="13">
        <v>213</v>
      </c>
      <c r="BQ15" s="13"/>
      <c r="BR15" s="13">
        <v>213</v>
      </c>
      <c r="BS15" s="13"/>
      <c r="BU15" s="13"/>
      <c r="BV15" s="13"/>
      <c r="BW15" s="13"/>
      <c r="CB15" s="1">
        <v>213</v>
      </c>
      <c r="CC15" s="1" t="s">
        <v>560</v>
      </c>
      <c r="CD15" s="1" t="s">
        <v>561</v>
      </c>
      <c r="CE15" s="1" t="s">
        <v>560</v>
      </c>
    </row>
    <row r="16" spans="1:86" x14ac:dyDescent="0.2">
      <c r="A16" s="1" t="s">
        <v>190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/>
      <c r="N16" s="19">
        <f>2743/3335*N14</f>
        <v>2237.1694152923537</v>
      </c>
      <c r="O16" s="19"/>
      <c r="P16" s="19"/>
      <c r="Q16" s="19"/>
      <c r="R16" s="19"/>
      <c r="S16" s="19"/>
      <c r="T16" s="19"/>
      <c r="U16" s="19"/>
      <c r="V16" s="19"/>
      <c r="W16" s="20"/>
      <c r="X16" s="9"/>
      <c r="Y16" s="9"/>
      <c r="Z16" s="49"/>
      <c r="AA16" s="20"/>
      <c r="AB16" s="19"/>
      <c r="AC16" s="9"/>
      <c r="AD16" s="19"/>
      <c r="AE16" s="9"/>
      <c r="AY16" s="19"/>
      <c r="AZ16" s="19"/>
      <c r="BA16" s="8">
        <f>0.5*Umrechnungsfaktoren!$B$15/Umrechnungsfaktoren!$B$13</f>
        <v>0.5164179104477612</v>
      </c>
      <c r="BB16" s="8">
        <v>0</v>
      </c>
      <c r="BC16" s="8">
        <f>433*Umrechnungsfaktoren!$B$15/Umrechnungsfaktoren!$B$13</f>
        <v>447.2179104477612</v>
      </c>
      <c r="BD16" s="8"/>
      <c r="BE16" s="8"/>
      <c r="BF16" s="8">
        <f>0.05*Umrechnungsfaktoren!$B$15/Umrechnungsfaktoren!$B$13</f>
        <v>5.164179104477612E-2</v>
      </c>
      <c r="BG16" s="8"/>
      <c r="BJ16" s="1">
        <v>213</v>
      </c>
      <c r="BK16" s="1">
        <v>214</v>
      </c>
      <c r="BM16" s="13" t="s">
        <v>552</v>
      </c>
      <c r="BO16" s="13"/>
      <c r="BP16" s="13">
        <v>213</v>
      </c>
      <c r="BQ16" s="13"/>
      <c r="BR16" s="13">
        <v>213</v>
      </c>
      <c r="BS16" s="13"/>
      <c r="BU16" s="13"/>
      <c r="BV16" s="13"/>
      <c r="BW16" s="13"/>
      <c r="CB16" s="1">
        <v>213</v>
      </c>
      <c r="CC16" s="1" t="s">
        <v>560</v>
      </c>
      <c r="CD16" s="1" t="s">
        <v>561</v>
      </c>
      <c r="CE16" s="1" t="s">
        <v>560</v>
      </c>
    </row>
    <row r="17" spans="1:86" x14ac:dyDescent="0.2">
      <c r="A17" s="1" t="s">
        <v>190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/>
      <c r="N17" s="19">
        <f>2433/3335*N14</f>
        <v>1984.3358320839582</v>
      </c>
      <c r="O17" s="19"/>
      <c r="P17" s="19"/>
      <c r="Q17" s="19"/>
      <c r="R17" s="19"/>
      <c r="S17" s="19"/>
      <c r="T17" s="19"/>
      <c r="U17" s="19"/>
      <c r="V17" s="19"/>
      <c r="W17" s="20"/>
      <c r="X17" s="9"/>
      <c r="Y17" s="9"/>
      <c r="Z17" s="49"/>
      <c r="AA17" s="20"/>
      <c r="AB17" s="19"/>
      <c r="AC17" s="9"/>
      <c r="AD17" s="19"/>
      <c r="AE17" s="9"/>
      <c r="AY17" s="19"/>
      <c r="AZ17" s="19"/>
      <c r="BA17" s="8">
        <f>0.5*Umrechnungsfaktoren!$B$15/Umrechnungsfaktoren!$B$13</f>
        <v>0.5164179104477612</v>
      </c>
      <c r="BB17" s="8">
        <v>0</v>
      </c>
      <c r="BC17" s="8">
        <f>433*Umrechnungsfaktoren!$B$15/Umrechnungsfaktoren!$B$13</f>
        <v>447.2179104477612</v>
      </c>
      <c r="BD17" s="8"/>
      <c r="BE17" s="8"/>
      <c r="BF17" s="8">
        <f>0.05*Umrechnungsfaktoren!$B$15/Umrechnungsfaktoren!$B$13</f>
        <v>5.164179104477612E-2</v>
      </c>
      <c r="BG17" s="8"/>
      <c r="BJ17" s="1">
        <v>213</v>
      </c>
      <c r="BK17" s="1">
        <v>214</v>
      </c>
      <c r="BM17" s="13" t="s">
        <v>552</v>
      </c>
      <c r="BO17" s="13"/>
      <c r="BP17" s="13">
        <v>213</v>
      </c>
      <c r="BQ17" s="13"/>
      <c r="BR17" s="13">
        <v>213</v>
      </c>
      <c r="BS17" s="13"/>
      <c r="BU17" s="13"/>
      <c r="BV17" s="13"/>
      <c r="BW17" s="13"/>
      <c r="CB17" s="1">
        <v>213</v>
      </c>
      <c r="CC17" s="1" t="s">
        <v>560</v>
      </c>
      <c r="CD17" s="1" t="s">
        <v>561</v>
      </c>
      <c r="CE17" s="1" t="s">
        <v>560</v>
      </c>
    </row>
    <row r="18" spans="1:86" x14ac:dyDescent="0.2">
      <c r="A18" s="1" t="s">
        <v>84</v>
      </c>
      <c r="B18" s="1" t="s">
        <v>129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/>
      <c r="M18" s="25">
        <f>753-40</f>
        <v>713</v>
      </c>
      <c r="N18" s="25">
        <v>1114</v>
      </c>
      <c r="O18" s="25"/>
      <c r="P18" s="25"/>
      <c r="Q18" s="25"/>
      <c r="R18" s="25"/>
      <c r="S18" s="25"/>
      <c r="T18" s="25">
        <v>753</v>
      </c>
      <c r="U18" s="25"/>
      <c r="V18" s="25"/>
      <c r="W18" s="26"/>
      <c r="X18" s="27">
        <v>0.75</v>
      </c>
      <c r="Y18" s="27"/>
      <c r="Z18" s="50">
        <v>6100</v>
      </c>
      <c r="AA18" s="26">
        <v>1004</v>
      </c>
      <c r="AB18" s="25"/>
      <c r="AC18" s="27"/>
      <c r="AD18" s="25"/>
      <c r="AE18" s="27"/>
      <c r="AF18" s="1">
        <f t="shared" ref="AF18:AF25" si="1">5/60</f>
        <v>8.3333333333333329E-2</v>
      </c>
      <c r="AG18" s="24"/>
      <c r="AH18" s="24"/>
      <c r="AI18" s="1">
        <v>1</v>
      </c>
      <c r="AK18" s="1">
        <v>1</v>
      </c>
      <c r="AM18" s="24"/>
      <c r="AN18" s="1">
        <v>1</v>
      </c>
      <c r="AO18" s="24"/>
      <c r="AP18" s="24"/>
      <c r="AQ18" s="24">
        <v>2</v>
      </c>
      <c r="AR18" s="24"/>
      <c r="AS18" s="24"/>
      <c r="AT18" s="24"/>
      <c r="AU18" s="1">
        <v>20</v>
      </c>
      <c r="AV18" s="1">
        <v>50</v>
      </c>
      <c r="AW18" s="1">
        <v>20</v>
      </c>
      <c r="AX18" s="1">
        <v>50</v>
      </c>
      <c r="AY18" s="25"/>
      <c r="AZ18" s="25"/>
      <c r="BA18" s="8">
        <f>0.5*Umrechnungsfaktoren!$B$15/Umrechnungsfaktoren!$B$13</f>
        <v>0.5164179104477612</v>
      </c>
      <c r="BB18" s="8">
        <v>0</v>
      </c>
      <c r="BC18" s="8">
        <f>392*Umrechnungsfaktoren!$B$15/Umrechnungsfaktoren!$B$13</f>
        <v>404.87164179104474</v>
      </c>
      <c r="BD18" s="28"/>
      <c r="BE18" s="28"/>
      <c r="BF18" s="28">
        <f>0.05*Umrechnungsfaktoren!$B$15/Umrechnungsfaktoren!$B$13</f>
        <v>5.164179104477612E-2</v>
      </c>
      <c r="BG18" s="28"/>
      <c r="BH18" s="24"/>
      <c r="BI18" s="24"/>
      <c r="BJ18" s="1">
        <v>213</v>
      </c>
      <c r="BK18" s="1">
        <v>214</v>
      </c>
      <c r="BL18" s="24"/>
      <c r="BM18" s="13" t="s">
        <v>551</v>
      </c>
      <c r="BN18" s="13" t="s">
        <v>550</v>
      </c>
      <c r="BO18" s="29"/>
      <c r="BP18" s="13">
        <v>213</v>
      </c>
      <c r="BQ18" s="29"/>
      <c r="BR18" s="13">
        <v>213</v>
      </c>
      <c r="BS18" s="29"/>
      <c r="BT18" s="24"/>
      <c r="BU18" s="29"/>
      <c r="BV18" s="29"/>
      <c r="BW18" s="29">
        <v>242</v>
      </c>
      <c r="BX18" s="1">
        <v>213</v>
      </c>
      <c r="BY18" s="1">
        <v>213</v>
      </c>
      <c r="BZ18" s="24"/>
      <c r="CA18" s="24"/>
      <c r="CB18" s="1">
        <v>213</v>
      </c>
      <c r="CC18" s="1" t="s">
        <v>560</v>
      </c>
      <c r="CD18" s="1" t="s">
        <v>561</v>
      </c>
      <c r="CE18" s="1" t="s">
        <v>560</v>
      </c>
      <c r="CF18" s="24"/>
      <c r="CG18" s="24"/>
      <c r="CH18" s="24"/>
    </row>
    <row r="19" spans="1:86" x14ac:dyDescent="0.2">
      <c r="A19" s="1" t="s">
        <v>84</v>
      </c>
      <c r="B19" s="1" t="s">
        <v>129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/>
      <c r="M19" s="25">
        <f>713/753*750</f>
        <v>710.15936254980079</v>
      </c>
      <c r="N19" s="25">
        <f>1164/1169*N18</f>
        <v>1109.2352437981181</v>
      </c>
      <c r="O19" s="25"/>
      <c r="P19" s="25"/>
      <c r="Q19" s="25"/>
      <c r="R19" s="25"/>
      <c r="S19" s="25"/>
      <c r="T19" s="25">
        <v>750</v>
      </c>
      <c r="U19" s="25"/>
      <c r="V19" s="25"/>
      <c r="W19" s="26"/>
      <c r="X19" s="27">
        <v>0.75</v>
      </c>
      <c r="Y19" s="27"/>
      <c r="Z19" s="50">
        <v>6100</v>
      </c>
      <c r="AA19" s="26"/>
      <c r="AB19" s="25"/>
      <c r="AC19" s="27"/>
      <c r="AD19" s="25"/>
      <c r="AE19" s="27"/>
      <c r="AF19" s="1">
        <f t="shared" si="1"/>
        <v>8.3333333333333329E-2</v>
      </c>
      <c r="AG19" s="24"/>
      <c r="AH19" s="24"/>
      <c r="AI19" s="1">
        <v>1</v>
      </c>
      <c r="AK19" s="1">
        <v>1</v>
      </c>
      <c r="AM19" s="24"/>
      <c r="AN19" s="1">
        <v>1</v>
      </c>
      <c r="AO19" s="24"/>
      <c r="AP19" s="24"/>
      <c r="AQ19" s="24">
        <v>2</v>
      </c>
      <c r="AR19" s="24"/>
      <c r="AS19" s="24"/>
      <c r="AT19" s="24"/>
      <c r="AU19" s="1">
        <v>20</v>
      </c>
      <c r="AV19" s="1">
        <v>50</v>
      </c>
      <c r="AW19" s="1">
        <v>20</v>
      </c>
      <c r="AX19" s="1">
        <v>50</v>
      </c>
      <c r="AY19" s="25"/>
      <c r="AZ19" s="25"/>
      <c r="BA19" s="8">
        <f>0.5*Umrechnungsfaktoren!$B$15/Umrechnungsfaktoren!$B$13</f>
        <v>0.5164179104477612</v>
      </c>
      <c r="BB19" s="8">
        <v>0</v>
      </c>
      <c r="BC19" s="8">
        <f>392*Umrechnungsfaktoren!$B$15/Umrechnungsfaktoren!$B$13</f>
        <v>404.87164179104474</v>
      </c>
      <c r="BD19" s="28"/>
      <c r="BE19" s="28"/>
      <c r="BF19" s="28">
        <f>0.05*Umrechnungsfaktoren!$B$15/Umrechnungsfaktoren!$B$13</f>
        <v>5.164179104477612E-2</v>
      </c>
      <c r="BG19" s="28"/>
      <c r="BH19" s="24"/>
      <c r="BI19" s="24"/>
      <c r="BJ19" s="1">
        <v>213</v>
      </c>
      <c r="BK19" s="1">
        <v>214</v>
      </c>
      <c r="BL19" s="24"/>
      <c r="BM19" s="13" t="s">
        <v>551</v>
      </c>
      <c r="BN19" s="13" t="s">
        <v>550</v>
      </c>
      <c r="BO19" s="29"/>
      <c r="BP19" s="13">
        <v>213</v>
      </c>
      <c r="BQ19" s="29"/>
      <c r="BR19" s="13">
        <v>213</v>
      </c>
      <c r="BS19" s="29"/>
      <c r="BT19" s="24"/>
      <c r="BU19" s="29"/>
      <c r="BV19" s="29"/>
      <c r="BW19" s="29">
        <v>242</v>
      </c>
      <c r="BX19" s="1">
        <v>213</v>
      </c>
      <c r="BY19" s="1">
        <v>213</v>
      </c>
      <c r="BZ19" s="24"/>
      <c r="CA19" s="24"/>
      <c r="CB19" s="1">
        <v>213</v>
      </c>
      <c r="CC19" s="1" t="s">
        <v>560</v>
      </c>
      <c r="CD19" s="1" t="s">
        <v>561</v>
      </c>
      <c r="CE19" s="1" t="s">
        <v>560</v>
      </c>
      <c r="CF19" s="24"/>
      <c r="CG19" s="24"/>
      <c r="CH19" s="24"/>
    </row>
    <row r="20" spans="1:86" x14ac:dyDescent="0.2">
      <c r="A20" s="1" t="s">
        <v>84</v>
      </c>
      <c r="B20" s="1" t="s">
        <v>129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/>
      <c r="M20" s="25">
        <f>713/753*773</f>
        <v>731.93758300132811</v>
      </c>
      <c r="N20" s="25">
        <f>1210/1169*N18</f>
        <v>1153.071000855432</v>
      </c>
      <c r="O20" s="25"/>
      <c r="P20" s="25"/>
      <c r="Q20" s="25"/>
      <c r="R20" s="25"/>
      <c r="S20" s="25"/>
      <c r="T20" s="25">
        <v>773</v>
      </c>
      <c r="U20" s="25"/>
      <c r="V20" s="25"/>
      <c r="W20" s="26"/>
      <c r="X20" s="27">
        <v>0.75</v>
      </c>
      <c r="Y20" s="27"/>
      <c r="Z20" s="50">
        <v>6100</v>
      </c>
      <c r="AA20" s="26"/>
      <c r="AB20" s="25"/>
      <c r="AC20" s="27"/>
      <c r="AD20" s="25"/>
      <c r="AE20" s="27"/>
      <c r="AF20" s="1">
        <f t="shared" si="1"/>
        <v>8.3333333333333329E-2</v>
      </c>
      <c r="AG20" s="24"/>
      <c r="AH20" s="24"/>
      <c r="AI20" s="1">
        <v>1</v>
      </c>
      <c r="AK20" s="1">
        <v>1</v>
      </c>
      <c r="AM20" s="24"/>
      <c r="AN20" s="1">
        <v>1</v>
      </c>
      <c r="AO20" s="24"/>
      <c r="AP20" s="24"/>
      <c r="AQ20" s="24">
        <v>2</v>
      </c>
      <c r="AR20" s="24"/>
      <c r="AS20" s="24"/>
      <c r="AT20" s="24"/>
      <c r="AU20" s="1">
        <v>20</v>
      </c>
      <c r="AV20" s="1">
        <v>50</v>
      </c>
      <c r="AW20" s="1">
        <v>20</v>
      </c>
      <c r="AX20" s="1">
        <v>50</v>
      </c>
      <c r="AY20" s="25"/>
      <c r="AZ20" s="25"/>
      <c r="BA20" s="8">
        <f>0.5*Umrechnungsfaktoren!$B$15/Umrechnungsfaktoren!$B$13</f>
        <v>0.5164179104477612</v>
      </c>
      <c r="BB20" s="8">
        <v>0</v>
      </c>
      <c r="BC20" s="8">
        <f>392*Umrechnungsfaktoren!$B$15/Umrechnungsfaktoren!$B$13</f>
        <v>404.87164179104474</v>
      </c>
      <c r="BD20" s="28"/>
      <c r="BE20" s="28"/>
      <c r="BF20" s="28">
        <f>0.05*Umrechnungsfaktoren!$B$15/Umrechnungsfaktoren!$B$13</f>
        <v>5.164179104477612E-2</v>
      </c>
      <c r="BG20" s="28"/>
      <c r="BH20" s="24"/>
      <c r="BI20" s="24"/>
      <c r="BJ20" s="1">
        <v>213</v>
      </c>
      <c r="BK20" s="1">
        <v>214</v>
      </c>
      <c r="BL20" s="24"/>
      <c r="BM20" s="13" t="s">
        <v>551</v>
      </c>
      <c r="BN20" s="13" t="s">
        <v>550</v>
      </c>
      <c r="BO20" s="29"/>
      <c r="BP20" s="13">
        <v>213</v>
      </c>
      <c r="BQ20" s="29"/>
      <c r="BR20" s="13">
        <v>213</v>
      </c>
      <c r="BS20" s="29"/>
      <c r="BT20" s="24"/>
      <c r="BU20" s="29"/>
      <c r="BV20" s="29"/>
      <c r="BW20" s="29">
        <v>242</v>
      </c>
      <c r="BX20" s="1">
        <v>213</v>
      </c>
      <c r="BY20" s="1">
        <v>213</v>
      </c>
      <c r="BZ20" s="24"/>
      <c r="CA20" s="24"/>
      <c r="CB20" s="1">
        <v>213</v>
      </c>
      <c r="CC20" s="1" t="s">
        <v>560</v>
      </c>
      <c r="CD20" s="1" t="s">
        <v>561</v>
      </c>
      <c r="CE20" s="1" t="s">
        <v>560</v>
      </c>
      <c r="CF20" s="24"/>
      <c r="CG20" s="24"/>
      <c r="CH20" s="24"/>
    </row>
    <row r="21" spans="1:86" x14ac:dyDescent="0.2">
      <c r="A21" s="1" t="s">
        <v>84</v>
      </c>
      <c r="B21" s="1" t="s">
        <v>129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/>
      <c r="M21" s="25">
        <f>713/753*755</f>
        <v>714.89375830013284</v>
      </c>
      <c r="N21" s="25">
        <f>1172/1169*N18</f>
        <v>1116.8588537211292</v>
      </c>
      <c r="O21" s="25"/>
      <c r="P21" s="25"/>
      <c r="Q21" s="25"/>
      <c r="R21" s="25"/>
      <c r="S21" s="25"/>
      <c r="T21" s="25">
        <v>755</v>
      </c>
      <c r="U21" s="25"/>
      <c r="V21" s="25"/>
      <c r="W21" s="26"/>
      <c r="X21" s="27">
        <v>0.75</v>
      </c>
      <c r="Y21" s="27"/>
      <c r="Z21" s="50">
        <v>6100</v>
      </c>
      <c r="AA21" s="26"/>
      <c r="AB21" s="25"/>
      <c r="AC21" s="27"/>
      <c r="AD21" s="25"/>
      <c r="AE21" s="27"/>
      <c r="AF21" s="1">
        <f t="shared" si="1"/>
        <v>8.3333333333333329E-2</v>
      </c>
      <c r="AG21" s="24"/>
      <c r="AH21" s="24"/>
      <c r="AI21" s="1">
        <v>1</v>
      </c>
      <c r="AK21" s="1">
        <v>1</v>
      </c>
      <c r="AM21" s="24"/>
      <c r="AN21" s="1">
        <v>1</v>
      </c>
      <c r="AO21" s="24"/>
      <c r="AP21" s="24"/>
      <c r="AQ21" s="24">
        <v>2</v>
      </c>
      <c r="AR21" s="24"/>
      <c r="AS21" s="24"/>
      <c r="AT21" s="24"/>
      <c r="AU21" s="1">
        <v>20</v>
      </c>
      <c r="AV21" s="1">
        <v>50</v>
      </c>
      <c r="AW21" s="1">
        <v>20</v>
      </c>
      <c r="AX21" s="1">
        <v>50</v>
      </c>
      <c r="AY21" s="25"/>
      <c r="AZ21" s="25"/>
      <c r="BA21" s="8">
        <f>0.5*Umrechnungsfaktoren!$B$15/Umrechnungsfaktoren!$B$13</f>
        <v>0.5164179104477612</v>
      </c>
      <c r="BB21" s="8">
        <v>0</v>
      </c>
      <c r="BC21" s="8">
        <f>392*Umrechnungsfaktoren!$B$15/Umrechnungsfaktoren!$B$13</f>
        <v>404.87164179104474</v>
      </c>
      <c r="BD21" s="28"/>
      <c r="BE21" s="28"/>
      <c r="BF21" s="28">
        <f>0.05*Umrechnungsfaktoren!$B$15/Umrechnungsfaktoren!$B$13</f>
        <v>5.164179104477612E-2</v>
      </c>
      <c r="BG21" s="28"/>
      <c r="BH21" s="24"/>
      <c r="BI21" s="24"/>
      <c r="BJ21" s="1">
        <v>213</v>
      </c>
      <c r="BK21" s="1">
        <v>214</v>
      </c>
      <c r="BL21" s="24"/>
      <c r="BM21" s="13" t="s">
        <v>551</v>
      </c>
      <c r="BN21" s="13" t="s">
        <v>550</v>
      </c>
      <c r="BO21" s="29"/>
      <c r="BP21" s="13">
        <v>213</v>
      </c>
      <c r="BQ21" s="29"/>
      <c r="BR21" s="13">
        <v>213</v>
      </c>
      <c r="BS21" s="29"/>
      <c r="BT21" s="24"/>
      <c r="BU21" s="29"/>
      <c r="BV21" s="29"/>
      <c r="BW21" s="29">
        <v>242</v>
      </c>
      <c r="BX21" s="1">
        <v>213</v>
      </c>
      <c r="BY21" s="1">
        <v>213</v>
      </c>
      <c r="BZ21" s="24"/>
      <c r="CA21" s="24"/>
      <c r="CB21" s="1">
        <v>213</v>
      </c>
      <c r="CC21" s="1" t="s">
        <v>560</v>
      </c>
      <c r="CD21" s="1" t="s">
        <v>561</v>
      </c>
      <c r="CE21" s="1" t="s">
        <v>560</v>
      </c>
      <c r="CF21" s="24"/>
      <c r="CG21" s="24"/>
      <c r="CH21" s="24"/>
    </row>
    <row r="22" spans="1:86" x14ac:dyDescent="0.2">
      <c r="A22" s="1" t="s">
        <v>953</v>
      </c>
      <c r="B22" s="1" t="s">
        <v>129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/>
      <c r="M22" s="25">
        <f>53+121-20</f>
        <v>154</v>
      </c>
      <c r="N22" s="25">
        <v>921</v>
      </c>
      <c r="O22" s="25"/>
      <c r="P22" s="25"/>
      <c r="Q22" s="25"/>
      <c r="R22" s="25"/>
      <c r="S22" s="25"/>
      <c r="T22" s="25">
        <v>174</v>
      </c>
      <c r="U22" s="25"/>
      <c r="V22" s="25"/>
      <c r="W22" s="26"/>
      <c r="X22" s="27">
        <v>0.4</v>
      </c>
      <c r="Y22" s="27"/>
      <c r="Z22" s="50">
        <v>5500</v>
      </c>
      <c r="AA22" s="26">
        <f>131+301</f>
        <v>432</v>
      </c>
      <c r="AB22" s="25"/>
      <c r="AC22" s="27"/>
      <c r="AD22" s="25"/>
      <c r="AE22" s="27"/>
      <c r="AF22" s="1">
        <f t="shared" si="1"/>
        <v>8.3333333333333329E-2</v>
      </c>
      <c r="AG22" s="24"/>
      <c r="AH22" s="24"/>
      <c r="AI22" s="1">
        <v>1</v>
      </c>
      <c r="AK22" s="1">
        <v>1</v>
      </c>
      <c r="AM22" s="24"/>
      <c r="AN22" s="1">
        <v>1</v>
      </c>
      <c r="AO22" s="24"/>
      <c r="AP22" s="24"/>
      <c r="AQ22" s="24">
        <v>4</v>
      </c>
      <c r="AR22" s="24"/>
      <c r="AS22" s="1" t="s">
        <v>545</v>
      </c>
      <c r="AT22" s="24"/>
      <c r="AU22" s="1">
        <v>20</v>
      </c>
      <c r="AV22" s="1">
        <v>50</v>
      </c>
      <c r="AW22" s="1">
        <v>20</v>
      </c>
      <c r="AX22" s="1">
        <v>50</v>
      </c>
      <c r="AY22" s="25"/>
      <c r="AZ22" s="25"/>
      <c r="BA22" s="8">
        <f>0.5*Umrechnungsfaktoren!$B$15/Umrechnungsfaktoren!$B$13</f>
        <v>0.5164179104477612</v>
      </c>
      <c r="BB22" s="8">
        <v>0</v>
      </c>
      <c r="BC22" s="8">
        <f>317*Umrechnungsfaktoren!$B$15/Umrechnungsfaktoren!$B$13</f>
        <v>327.40895522388058</v>
      </c>
      <c r="BD22" s="28"/>
      <c r="BE22" s="28"/>
      <c r="BF22" s="28">
        <f>0.05*Umrechnungsfaktoren!$B$15/Umrechnungsfaktoren!$B$13</f>
        <v>5.164179104477612E-2</v>
      </c>
      <c r="BG22" s="28"/>
      <c r="BH22" s="24"/>
      <c r="BI22" s="24"/>
      <c r="BJ22" s="1">
        <v>213</v>
      </c>
      <c r="BK22" s="1">
        <v>214</v>
      </c>
      <c r="BL22" s="24"/>
      <c r="BM22" s="13" t="s">
        <v>551</v>
      </c>
      <c r="BN22" s="13" t="s">
        <v>550</v>
      </c>
      <c r="BO22" s="29"/>
      <c r="BP22" s="13">
        <v>213</v>
      </c>
      <c r="BQ22" s="29"/>
      <c r="BR22" s="13">
        <v>213</v>
      </c>
      <c r="BS22" s="29"/>
      <c r="BT22" s="24"/>
      <c r="BU22" s="29"/>
      <c r="BV22" s="29"/>
      <c r="BW22" s="29">
        <v>242</v>
      </c>
      <c r="BX22" s="1">
        <v>213</v>
      </c>
      <c r="BY22" s="1">
        <v>213</v>
      </c>
      <c r="BZ22" s="24"/>
      <c r="CA22" s="24">
        <v>212</v>
      </c>
      <c r="CB22" s="1">
        <v>213</v>
      </c>
      <c r="CC22" s="1" t="s">
        <v>560</v>
      </c>
      <c r="CD22" s="1" t="s">
        <v>561</v>
      </c>
      <c r="CE22" s="1" t="s">
        <v>560</v>
      </c>
      <c r="CF22" s="24"/>
      <c r="CG22" s="24"/>
      <c r="CH22" s="24"/>
    </row>
    <row r="23" spans="1:86" x14ac:dyDescent="0.2">
      <c r="A23" s="1" t="s">
        <v>953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/>
      <c r="M23" s="25">
        <f>154/174*172</f>
        <v>152.22988505747128</v>
      </c>
      <c r="N23" s="25">
        <f>1040/1045*N22</f>
        <v>916.59330143540672</v>
      </c>
      <c r="O23" s="25"/>
      <c r="P23" s="25"/>
      <c r="Q23" s="25"/>
      <c r="R23" s="25"/>
      <c r="S23" s="25"/>
      <c r="T23" s="25">
        <v>172</v>
      </c>
      <c r="U23" s="25"/>
      <c r="V23" s="25"/>
      <c r="W23" s="26"/>
      <c r="X23" s="27">
        <v>0.4</v>
      </c>
      <c r="Y23" s="27"/>
      <c r="Z23" s="50">
        <v>5500</v>
      </c>
      <c r="AA23" s="26"/>
      <c r="AB23" s="25"/>
      <c r="AC23" s="27"/>
      <c r="AD23" s="25"/>
      <c r="AE23" s="27"/>
      <c r="AF23" s="1">
        <f t="shared" si="1"/>
        <v>8.3333333333333329E-2</v>
      </c>
      <c r="AG23" s="24"/>
      <c r="AH23" s="24"/>
      <c r="AI23" s="1">
        <v>1</v>
      </c>
      <c r="AK23" s="1">
        <v>1</v>
      </c>
      <c r="AM23" s="24"/>
      <c r="AN23" s="1">
        <v>1</v>
      </c>
      <c r="AO23" s="24"/>
      <c r="AP23" s="24"/>
      <c r="AQ23" s="24">
        <v>4</v>
      </c>
      <c r="AR23" s="24"/>
      <c r="AT23" s="24"/>
      <c r="AU23" s="1">
        <v>20</v>
      </c>
      <c r="AV23" s="1">
        <v>50</v>
      </c>
      <c r="AW23" s="1">
        <v>20</v>
      </c>
      <c r="AX23" s="1">
        <v>50</v>
      </c>
      <c r="AY23" s="25"/>
      <c r="AZ23" s="25"/>
      <c r="BA23" s="8">
        <f>0.5*Umrechnungsfaktoren!$B$15/Umrechnungsfaktoren!$B$13</f>
        <v>0.5164179104477612</v>
      </c>
      <c r="BB23" s="8">
        <v>0</v>
      </c>
      <c r="BC23" s="8">
        <f>317*Umrechnungsfaktoren!$B$15/Umrechnungsfaktoren!$B$13</f>
        <v>327.40895522388058</v>
      </c>
      <c r="BD23" s="28"/>
      <c r="BE23" s="28"/>
      <c r="BF23" s="28">
        <f>0.05*Umrechnungsfaktoren!$B$15/Umrechnungsfaktoren!$B$13</f>
        <v>5.164179104477612E-2</v>
      </c>
      <c r="BG23" s="28"/>
      <c r="BH23" s="24"/>
      <c r="BI23" s="24"/>
      <c r="BJ23" s="1">
        <v>213</v>
      </c>
      <c r="BK23" s="1">
        <v>214</v>
      </c>
      <c r="BL23" s="24"/>
      <c r="BM23" s="13" t="s">
        <v>551</v>
      </c>
      <c r="BN23" s="13" t="s">
        <v>550</v>
      </c>
      <c r="BO23" s="29"/>
      <c r="BP23" s="13">
        <v>213</v>
      </c>
      <c r="BQ23" s="29"/>
      <c r="BR23" s="13">
        <v>213</v>
      </c>
      <c r="BS23" s="29"/>
      <c r="BT23" s="24"/>
      <c r="BU23" s="29"/>
      <c r="BV23" s="29"/>
      <c r="BW23" s="29">
        <v>242</v>
      </c>
      <c r="BX23" s="1">
        <v>213</v>
      </c>
      <c r="BY23" s="1">
        <v>213</v>
      </c>
      <c r="BZ23" s="24"/>
      <c r="CA23" s="24">
        <v>212</v>
      </c>
      <c r="CB23" s="1">
        <v>213</v>
      </c>
      <c r="CC23" s="1" t="s">
        <v>560</v>
      </c>
      <c r="CD23" s="1" t="s">
        <v>561</v>
      </c>
      <c r="CE23" s="1" t="s">
        <v>560</v>
      </c>
      <c r="CF23" s="24"/>
      <c r="CG23" s="24"/>
      <c r="CH23" s="24"/>
    </row>
    <row r="24" spans="1:86" x14ac:dyDescent="0.2">
      <c r="A24" s="1" t="s">
        <v>953</v>
      </c>
      <c r="B24" s="1" t="s">
        <v>129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/>
      <c r="M24" s="25">
        <f>154/174*171</f>
        <v>151.34482758620689</v>
      </c>
      <c r="N24" s="25">
        <f>1033/1045*N22</f>
        <v>910.42392344497603</v>
      </c>
      <c r="O24" s="25"/>
      <c r="P24" s="25"/>
      <c r="Q24" s="25"/>
      <c r="R24" s="25"/>
      <c r="S24" s="25"/>
      <c r="T24" s="25">
        <v>171</v>
      </c>
      <c r="U24" s="25"/>
      <c r="V24" s="25"/>
      <c r="W24" s="26"/>
      <c r="X24" s="27">
        <v>0.4</v>
      </c>
      <c r="Y24" s="27"/>
      <c r="Z24" s="50">
        <v>5500</v>
      </c>
      <c r="AA24" s="26"/>
      <c r="AB24" s="25"/>
      <c r="AC24" s="27"/>
      <c r="AD24" s="25"/>
      <c r="AE24" s="27"/>
      <c r="AF24" s="1">
        <f t="shared" si="1"/>
        <v>8.3333333333333329E-2</v>
      </c>
      <c r="AG24" s="24"/>
      <c r="AH24" s="24"/>
      <c r="AI24" s="1">
        <v>1</v>
      </c>
      <c r="AK24" s="1">
        <v>1</v>
      </c>
      <c r="AM24" s="24"/>
      <c r="AN24" s="1">
        <v>1</v>
      </c>
      <c r="AO24" s="24"/>
      <c r="AP24" s="24"/>
      <c r="AQ24" s="24">
        <v>4</v>
      </c>
      <c r="AR24" s="24"/>
      <c r="AT24" s="24"/>
      <c r="AU24" s="1">
        <v>20</v>
      </c>
      <c r="AV24" s="1">
        <v>50</v>
      </c>
      <c r="AW24" s="1">
        <v>20</v>
      </c>
      <c r="AX24" s="1">
        <v>50</v>
      </c>
      <c r="AY24" s="25"/>
      <c r="AZ24" s="25"/>
      <c r="BA24" s="8">
        <f>0.5*Umrechnungsfaktoren!$B$15/Umrechnungsfaktoren!$B$13</f>
        <v>0.5164179104477612</v>
      </c>
      <c r="BB24" s="8">
        <v>0</v>
      </c>
      <c r="BC24" s="8">
        <f>317*Umrechnungsfaktoren!$B$15/Umrechnungsfaktoren!$B$13</f>
        <v>327.40895522388058</v>
      </c>
      <c r="BD24" s="28"/>
      <c r="BE24" s="28"/>
      <c r="BF24" s="28">
        <f>0.05*Umrechnungsfaktoren!$B$15/Umrechnungsfaktoren!$B$13</f>
        <v>5.164179104477612E-2</v>
      </c>
      <c r="BG24" s="28"/>
      <c r="BH24" s="24"/>
      <c r="BI24" s="24"/>
      <c r="BJ24" s="1">
        <v>213</v>
      </c>
      <c r="BK24" s="1">
        <v>214</v>
      </c>
      <c r="BL24" s="24"/>
      <c r="BM24" s="13" t="s">
        <v>551</v>
      </c>
      <c r="BN24" s="13" t="s">
        <v>550</v>
      </c>
      <c r="BO24" s="29"/>
      <c r="BP24" s="13">
        <v>213</v>
      </c>
      <c r="BQ24" s="29"/>
      <c r="BR24" s="13">
        <v>213</v>
      </c>
      <c r="BS24" s="29"/>
      <c r="BT24" s="24"/>
      <c r="BU24" s="29"/>
      <c r="BV24" s="29"/>
      <c r="BW24" s="29">
        <v>242</v>
      </c>
      <c r="BX24" s="1">
        <v>213</v>
      </c>
      <c r="BY24" s="1">
        <v>213</v>
      </c>
      <c r="BZ24" s="24"/>
      <c r="CA24" s="24">
        <v>212</v>
      </c>
      <c r="CB24" s="1">
        <v>213</v>
      </c>
      <c r="CC24" s="1" t="s">
        <v>560</v>
      </c>
      <c r="CD24" s="1" t="s">
        <v>561</v>
      </c>
      <c r="CE24" s="1" t="s">
        <v>560</v>
      </c>
      <c r="CF24" s="24"/>
      <c r="CG24" s="24"/>
      <c r="CH24" s="24"/>
    </row>
    <row r="25" spans="1:86" x14ac:dyDescent="0.2">
      <c r="A25" s="1" t="s">
        <v>953</v>
      </c>
      <c r="B25" s="1" t="s">
        <v>129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/>
      <c r="M25" s="25">
        <f>154/174*169</f>
        <v>149.57471264367817</v>
      </c>
      <c r="N25" s="25">
        <f>1023/1045*N22</f>
        <v>901.61052631578957</v>
      </c>
      <c r="O25" s="25"/>
      <c r="P25" s="25"/>
      <c r="Q25" s="25"/>
      <c r="R25" s="25"/>
      <c r="S25" s="25"/>
      <c r="T25" s="25">
        <v>169</v>
      </c>
      <c r="U25" s="25"/>
      <c r="V25" s="25"/>
      <c r="W25" s="26"/>
      <c r="X25" s="27">
        <v>0.4</v>
      </c>
      <c r="Y25" s="27"/>
      <c r="Z25" s="50">
        <v>5500</v>
      </c>
      <c r="AA25" s="26"/>
      <c r="AB25" s="25"/>
      <c r="AC25" s="27"/>
      <c r="AD25" s="25"/>
      <c r="AE25" s="27"/>
      <c r="AF25" s="1">
        <f t="shared" si="1"/>
        <v>8.3333333333333329E-2</v>
      </c>
      <c r="AG25" s="24"/>
      <c r="AH25" s="24"/>
      <c r="AI25" s="1">
        <v>1</v>
      </c>
      <c r="AK25" s="1">
        <v>1</v>
      </c>
      <c r="AM25" s="24"/>
      <c r="AN25" s="1">
        <v>1</v>
      </c>
      <c r="AO25" s="24"/>
      <c r="AP25" s="24"/>
      <c r="AQ25" s="24">
        <v>4</v>
      </c>
      <c r="AR25" s="24"/>
      <c r="AT25" s="24"/>
      <c r="AU25" s="1">
        <v>20</v>
      </c>
      <c r="AV25" s="1">
        <v>50</v>
      </c>
      <c r="AW25" s="1">
        <v>20</v>
      </c>
      <c r="AX25" s="1">
        <v>50</v>
      </c>
      <c r="AY25" s="25"/>
      <c r="AZ25" s="25"/>
      <c r="BA25" s="8">
        <f>0.5*Umrechnungsfaktoren!$B$15/Umrechnungsfaktoren!$B$13</f>
        <v>0.5164179104477612</v>
      </c>
      <c r="BB25" s="8">
        <v>0</v>
      </c>
      <c r="BC25" s="8">
        <f>317*Umrechnungsfaktoren!$B$15/Umrechnungsfaktoren!$B$13</f>
        <v>327.40895522388058</v>
      </c>
      <c r="BD25" s="28"/>
      <c r="BE25" s="28"/>
      <c r="BF25" s="28">
        <f>0.05*Umrechnungsfaktoren!$B$15/Umrechnungsfaktoren!$B$13</f>
        <v>5.164179104477612E-2</v>
      </c>
      <c r="BG25" s="28"/>
      <c r="BH25" s="24"/>
      <c r="BI25" s="24"/>
      <c r="BJ25" s="1">
        <v>213</v>
      </c>
      <c r="BK25" s="1">
        <v>214</v>
      </c>
      <c r="BL25" s="24"/>
      <c r="BM25" s="13" t="s">
        <v>551</v>
      </c>
      <c r="BN25" s="13" t="s">
        <v>550</v>
      </c>
      <c r="BO25" s="29"/>
      <c r="BP25" s="13">
        <v>213</v>
      </c>
      <c r="BQ25" s="29"/>
      <c r="BR25" s="13">
        <v>213</v>
      </c>
      <c r="BS25" s="29"/>
      <c r="BT25" s="24"/>
      <c r="BU25" s="29"/>
      <c r="BV25" s="29"/>
      <c r="BW25" s="29">
        <v>242</v>
      </c>
      <c r="BX25" s="1">
        <v>213</v>
      </c>
      <c r="BY25" s="1">
        <v>213</v>
      </c>
      <c r="BZ25" s="24"/>
      <c r="CA25" s="24">
        <v>212</v>
      </c>
      <c r="CB25" s="1">
        <v>213</v>
      </c>
      <c r="CC25" s="1" t="s">
        <v>560</v>
      </c>
      <c r="CD25" s="1" t="s">
        <v>561</v>
      </c>
      <c r="CE25" s="1" t="s">
        <v>560</v>
      </c>
      <c r="CF25" s="24"/>
      <c r="CG25" s="24"/>
      <c r="CH25" s="24"/>
    </row>
    <row r="26" spans="1:86" x14ac:dyDescent="0.2">
      <c r="A26" s="1" t="s">
        <v>211</v>
      </c>
      <c r="B26" s="1" t="s">
        <v>129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/>
      <c r="M26" s="19">
        <v>1000</v>
      </c>
      <c r="N26" s="19"/>
      <c r="O26" s="19"/>
      <c r="P26" s="19"/>
      <c r="Q26" s="19"/>
      <c r="R26" s="19"/>
      <c r="S26" s="19"/>
      <c r="T26" s="19">
        <v>1250</v>
      </c>
      <c r="U26" s="19"/>
      <c r="V26" s="19"/>
      <c r="W26" s="20"/>
      <c r="X26" s="9"/>
      <c r="Y26" s="9"/>
      <c r="Z26" s="49"/>
      <c r="AA26" s="20"/>
      <c r="AB26" s="19"/>
      <c r="AC26" s="9"/>
      <c r="AD26" s="19"/>
      <c r="AE26" s="9"/>
      <c r="AY26" s="19"/>
      <c r="AZ26" s="19"/>
      <c r="BA26" s="25">
        <f>6.2*Umrechnungsfaktoren!$B$15/Umrechnungsfaktoren!$B$13</f>
        <v>6.4035820895522386</v>
      </c>
      <c r="BB26" s="8"/>
      <c r="BC26" s="8"/>
      <c r="BD26" s="8"/>
      <c r="BE26" s="8"/>
      <c r="BF26" s="8"/>
      <c r="BG26" s="8"/>
      <c r="BH26" s="25">
        <f>3000*Umrechnungsfaktoren!$B$15/Umrechnungsfaktoren!$B$13</f>
        <v>3098.5074626865671</v>
      </c>
      <c r="BM26" s="13"/>
      <c r="BO26" s="13"/>
      <c r="BP26" s="13"/>
      <c r="BQ26" s="13"/>
      <c r="BR26" s="13"/>
      <c r="BS26" s="13"/>
      <c r="BU26" s="13"/>
      <c r="BV26" s="13"/>
      <c r="BW26" s="13"/>
      <c r="CC26" s="1" t="s">
        <v>559</v>
      </c>
      <c r="CF26" s="1">
        <v>244</v>
      </c>
    </row>
    <row r="27" spans="1:86" x14ac:dyDescent="0.2">
      <c r="A27" s="1" t="s">
        <v>211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20"/>
      <c r="X27" s="9"/>
      <c r="Y27" s="9">
        <f>600/8760</f>
        <v>6.8493150684931503E-2</v>
      </c>
      <c r="Z27" s="49"/>
      <c r="AA27" s="20"/>
      <c r="AB27" s="19"/>
      <c r="AC27" s="9"/>
      <c r="AD27" s="19"/>
      <c r="AE27" s="9"/>
      <c r="AY27" s="19"/>
      <c r="AZ27" s="19"/>
      <c r="BA27" s="25">
        <v>5.6</v>
      </c>
      <c r="BB27" s="8"/>
      <c r="BC27" s="8"/>
      <c r="BD27" s="8"/>
      <c r="BE27" s="8"/>
      <c r="BF27" s="8"/>
      <c r="BG27" s="8"/>
      <c r="BH27" s="25">
        <f>2550*Umrechnungsfaktoren!$B$15/Umrechnungsfaktoren!$B$13</f>
        <v>2633.7313432835822</v>
      </c>
      <c r="BM27" s="13"/>
      <c r="BO27" s="13"/>
      <c r="BP27" s="13"/>
      <c r="BQ27" s="13"/>
      <c r="BR27" s="13"/>
      <c r="BS27" s="13"/>
      <c r="BU27" s="13"/>
      <c r="BV27" s="13"/>
      <c r="BW27" s="13"/>
      <c r="CC27" s="1" t="s">
        <v>559</v>
      </c>
      <c r="CF27" s="1">
        <v>244</v>
      </c>
    </row>
    <row r="28" spans="1:86" x14ac:dyDescent="0.2">
      <c r="A28" s="1" t="s">
        <v>211</v>
      </c>
      <c r="B28" s="1" t="s">
        <v>129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20"/>
      <c r="X28" s="9"/>
      <c r="Y28" s="9">
        <f>600/8760</f>
        <v>6.8493150684931503E-2</v>
      </c>
      <c r="Z28" s="49"/>
      <c r="AA28" s="20"/>
      <c r="AB28" s="19"/>
      <c r="AC28" s="9"/>
      <c r="AD28" s="19"/>
      <c r="AE28" s="9"/>
      <c r="AY28" s="19"/>
      <c r="AZ28" s="19"/>
      <c r="BA28" s="25">
        <v>5.3</v>
      </c>
      <c r="BB28" s="8"/>
      <c r="BC28" s="8"/>
      <c r="BD28" s="8"/>
      <c r="BE28" s="8"/>
      <c r="BF28" s="8"/>
      <c r="BG28" s="8"/>
      <c r="BH28" s="25">
        <f>2100*Umrechnungsfaktoren!$B$15/Umrechnungsfaktoren!$B$13</f>
        <v>2168.9552238805968</v>
      </c>
      <c r="BM28" s="13"/>
      <c r="BO28" s="13"/>
      <c r="BP28" s="13"/>
      <c r="BQ28" s="13"/>
      <c r="BR28" s="13"/>
      <c r="BS28" s="13"/>
      <c r="BU28" s="13"/>
      <c r="BV28" s="13"/>
      <c r="BW28" s="13"/>
      <c r="CC28" s="1" t="s">
        <v>559</v>
      </c>
      <c r="CF28" s="1">
        <v>244</v>
      </c>
    </row>
    <row r="29" spans="1:86" x14ac:dyDescent="0.2">
      <c r="A29" s="1" t="s">
        <v>211</v>
      </c>
      <c r="B29" s="1" t="s">
        <v>129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20"/>
      <c r="X29" s="9"/>
      <c r="Y29" s="9">
        <f>600/8760</f>
        <v>6.8493150684931503E-2</v>
      </c>
      <c r="Z29" s="49"/>
      <c r="AA29" s="20"/>
      <c r="AB29" s="19"/>
      <c r="AC29" s="9"/>
      <c r="AD29" s="19"/>
      <c r="AE29" s="9"/>
      <c r="AY29" s="19"/>
      <c r="AZ29" s="19"/>
      <c r="BA29" s="25">
        <v>4.9000000000000004</v>
      </c>
      <c r="BB29" s="8"/>
      <c r="BC29" s="8"/>
      <c r="BD29" s="8"/>
      <c r="BE29" s="8"/>
      <c r="BF29" s="8"/>
      <c r="BG29" s="8"/>
      <c r="BH29" s="25">
        <f>1650*Umrechnungsfaktoren!$B$15/Umrechnungsfaktoren!$B$13</f>
        <v>1704.1791044776119</v>
      </c>
      <c r="BM29" s="13"/>
      <c r="BO29" s="13"/>
      <c r="BP29" s="13"/>
      <c r="BQ29" s="13"/>
      <c r="BR29" s="13"/>
      <c r="BS29" s="13"/>
      <c r="BU29" s="13"/>
      <c r="BV29" s="13"/>
      <c r="BW29" s="13"/>
      <c r="CC29" s="1" t="s">
        <v>559</v>
      </c>
      <c r="CF29" s="1">
        <v>244</v>
      </c>
    </row>
    <row r="30" spans="1:86" x14ac:dyDescent="0.2">
      <c r="A30" s="1" t="s">
        <v>213</v>
      </c>
      <c r="B30" s="1" t="s">
        <v>129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/>
      <c r="N30" s="19">
        <v>1000</v>
      </c>
      <c r="O30" s="19"/>
      <c r="P30" s="19"/>
      <c r="Q30" s="19"/>
      <c r="R30" s="19"/>
      <c r="S30" s="19"/>
      <c r="T30" s="19"/>
      <c r="U30" s="19"/>
      <c r="V30" s="19"/>
      <c r="W30" s="20"/>
      <c r="X30" s="9"/>
      <c r="Y30" s="9"/>
      <c r="Z30" s="49"/>
      <c r="AA30" s="20"/>
      <c r="AB30" s="19"/>
      <c r="AC30" s="9"/>
      <c r="AD30" s="19"/>
      <c r="AE30" s="9"/>
      <c r="AG30" s="68"/>
      <c r="AH30" s="68"/>
      <c r="AJ30" s="1">
        <v>0.25</v>
      </c>
      <c r="AK30" s="1">
        <v>2</v>
      </c>
      <c r="AY30" s="19"/>
      <c r="AZ30" s="19"/>
      <c r="BA30" s="25">
        <f>6.2*Umrechnungsfaktoren!$B$15/Umrechnungsfaktoren!$B$13</f>
        <v>6.4035820895522386</v>
      </c>
      <c r="BB30" s="8"/>
      <c r="BC30" s="8"/>
      <c r="BD30" s="8"/>
      <c r="BE30" s="8"/>
      <c r="BF30" s="8"/>
      <c r="BG30" s="8"/>
      <c r="BH30" s="25">
        <f>3000*Umrechnungsfaktoren!$B$15/Umrechnungsfaktoren!$B$13</f>
        <v>3098.5074626865671</v>
      </c>
      <c r="BM30" s="13"/>
      <c r="BO30" s="13"/>
      <c r="BP30" s="13"/>
      <c r="BQ30" s="13"/>
      <c r="BR30" s="13"/>
      <c r="BS30" s="13"/>
      <c r="BU30" s="13"/>
      <c r="BV30" s="13"/>
      <c r="BW30" s="13"/>
      <c r="BX30" s="1">
        <v>211</v>
      </c>
      <c r="CC30" s="1" t="s">
        <v>559</v>
      </c>
      <c r="CF30" s="1">
        <v>244</v>
      </c>
    </row>
    <row r="31" spans="1:86" x14ac:dyDescent="0.2">
      <c r="A31" s="1" t="s">
        <v>213</v>
      </c>
      <c r="B31" s="1" t="s">
        <v>129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20"/>
      <c r="X31" s="9"/>
      <c r="Y31" s="9">
        <f>600/8760</f>
        <v>6.8493150684931503E-2</v>
      </c>
      <c r="Z31" s="49"/>
      <c r="AA31" s="20"/>
      <c r="AB31" s="19"/>
      <c r="AC31" s="9"/>
      <c r="AD31" s="19"/>
      <c r="AE31" s="9"/>
      <c r="AY31" s="19"/>
      <c r="AZ31" s="19"/>
      <c r="BA31" s="25">
        <v>5.6</v>
      </c>
      <c r="BB31" s="8"/>
      <c r="BC31" s="8"/>
      <c r="BD31" s="8"/>
      <c r="BE31" s="8"/>
      <c r="BF31" s="8"/>
      <c r="BG31" s="8"/>
      <c r="BH31" s="25">
        <f>2550*Umrechnungsfaktoren!$B$15/Umrechnungsfaktoren!$B$13</f>
        <v>2633.7313432835822</v>
      </c>
      <c r="BM31" s="13"/>
      <c r="BO31" s="13"/>
      <c r="BP31" s="13"/>
      <c r="BQ31" s="13"/>
      <c r="BR31" s="13"/>
      <c r="BS31" s="13"/>
      <c r="BU31" s="13"/>
      <c r="BV31" s="13"/>
      <c r="BW31" s="13"/>
      <c r="CC31" s="1" t="s">
        <v>559</v>
      </c>
      <c r="CF31" s="1">
        <v>244</v>
      </c>
    </row>
    <row r="32" spans="1:86" x14ac:dyDescent="0.2">
      <c r="A32" s="1" t="s">
        <v>213</v>
      </c>
      <c r="B32" s="1" t="s">
        <v>129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20"/>
      <c r="X32" s="9"/>
      <c r="Y32" s="9">
        <f>600/8760</f>
        <v>6.8493150684931503E-2</v>
      </c>
      <c r="Z32" s="49"/>
      <c r="AA32" s="20"/>
      <c r="AB32" s="19"/>
      <c r="AC32" s="9"/>
      <c r="AD32" s="19"/>
      <c r="AE32" s="9"/>
      <c r="AY32" s="19"/>
      <c r="AZ32" s="19"/>
      <c r="BA32" s="25">
        <v>5.3</v>
      </c>
      <c r="BB32" s="8"/>
      <c r="BC32" s="8"/>
      <c r="BD32" s="8"/>
      <c r="BE32" s="8"/>
      <c r="BF32" s="8"/>
      <c r="BG32" s="8"/>
      <c r="BH32" s="25">
        <f>2100*Umrechnungsfaktoren!$B$15/Umrechnungsfaktoren!$B$13</f>
        <v>2168.9552238805968</v>
      </c>
      <c r="BM32" s="13"/>
      <c r="BO32" s="13"/>
      <c r="BP32" s="13"/>
      <c r="BQ32" s="13"/>
      <c r="BR32" s="13"/>
      <c r="BS32" s="13"/>
      <c r="BU32" s="13"/>
      <c r="BV32" s="13"/>
      <c r="BW32" s="13"/>
      <c r="CC32" s="1" t="s">
        <v>559</v>
      </c>
      <c r="CF32" s="1">
        <v>244</v>
      </c>
    </row>
    <row r="33" spans="1:84" x14ac:dyDescent="0.2">
      <c r="A33" s="1" t="s">
        <v>213</v>
      </c>
      <c r="B33" s="1" t="s">
        <v>129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20"/>
      <c r="X33" s="9"/>
      <c r="Y33" s="9">
        <f>600/8760</f>
        <v>6.8493150684931503E-2</v>
      </c>
      <c r="Z33" s="49"/>
      <c r="AA33" s="20"/>
      <c r="AB33" s="19"/>
      <c r="AC33" s="9"/>
      <c r="AD33" s="19"/>
      <c r="AE33" s="9"/>
      <c r="AY33" s="19"/>
      <c r="AZ33" s="19"/>
      <c r="BA33" s="25">
        <v>4.9000000000000004</v>
      </c>
      <c r="BB33" s="8"/>
      <c r="BC33" s="8"/>
      <c r="BD33" s="8"/>
      <c r="BE33" s="8"/>
      <c r="BF33" s="8"/>
      <c r="BG33" s="8"/>
      <c r="BH33" s="25">
        <f>1650*Umrechnungsfaktoren!$B$15/Umrechnungsfaktoren!$B$13</f>
        <v>1704.1791044776119</v>
      </c>
      <c r="BM33" s="13"/>
      <c r="BO33" s="13"/>
      <c r="BP33" s="13"/>
      <c r="BQ33" s="13"/>
      <c r="BR33" s="13"/>
      <c r="BS33" s="13"/>
      <c r="BU33" s="13"/>
      <c r="BV33" s="13"/>
      <c r="BW33" s="13"/>
      <c r="CC33" s="1" t="s">
        <v>559</v>
      </c>
      <c r="CF33" s="1">
        <v>244</v>
      </c>
    </row>
    <row r="34" spans="1:84" x14ac:dyDescent="0.2">
      <c r="A34" s="1" t="s">
        <v>224</v>
      </c>
      <c r="B34" s="1" t="s">
        <v>129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/>
      <c r="M34" s="19">
        <v>2000</v>
      </c>
      <c r="N34" s="19"/>
      <c r="O34" s="19"/>
      <c r="P34" s="19"/>
      <c r="Q34" s="19"/>
      <c r="R34" s="19"/>
      <c r="S34" s="19"/>
      <c r="T34" s="19">
        <v>2000</v>
      </c>
      <c r="U34" s="19"/>
      <c r="V34" s="19"/>
      <c r="W34" s="20"/>
      <c r="X34" s="9"/>
      <c r="Y34" s="9"/>
      <c r="Z34" s="49"/>
      <c r="AA34" s="20"/>
      <c r="AB34" s="19"/>
      <c r="AC34" s="9"/>
      <c r="AD34" s="19"/>
      <c r="AE34" s="9"/>
      <c r="AY34" s="19"/>
      <c r="AZ34" s="19"/>
      <c r="BA34" s="25">
        <f>6.2*Umrechnungsfaktoren!$B$15/Umrechnungsfaktoren!$B$13</f>
        <v>6.4035820895522386</v>
      </c>
      <c r="BB34" s="8"/>
      <c r="BC34" s="8"/>
      <c r="BD34" s="8"/>
      <c r="BE34" s="8"/>
      <c r="BF34" s="8"/>
      <c r="BG34" s="8"/>
      <c r="BH34" s="25">
        <f>3000*Umrechnungsfaktoren!$B$15/Umrechnungsfaktoren!$B$13</f>
        <v>3098.5074626865671</v>
      </c>
      <c r="BM34" s="13"/>
      <c r="BO34" s="13"/>
      <c r="BP34" s="13"/>
      <c r="BQ34" s="13"/>
      <c r="BR34" s="13"/>
      <c r="BS34" s="13"/>
      <c r="BU34" s="13"/>
      <c r="BV34" s="13"/>
      <c r="BW34" s="13"/>
      <c r="CC34" s="1" t="s">
        <v>559</v>
      </c>
      <c r="CF34" s="1">
        <v>244</v>
      </c>
    </row>
    <row r="35" spans="1:84" x14ac:dyDescent="0.2">
      <c r="A35" s="1" t="s">
        <v>224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20"/>
      <c r="X35" s="9"/>
      <c r="Y35" s="9">
        <f t="shared" ref="Y35:Y41" si="2">600/8760</f>
        <v>6.8493150684931503E-2</v>
      </c>
      <c r="Z35" s="49"/>
      <c r="AA35" s="20"/>
      <c r="AB35" s="19"/>
      <c r="AC35" s="9"/>
      <c r="AD35" s="19"/>
      <c r="AE35" s="9"/>
      <c r="AF35" s="1">
        <f>5/60</f>
        <v>8.3333333333333329E-2</v>
      </c>
      <c r="AY35" s="19"/>
      <c r="AZ35" s="19"/>
      <c r="BA35" s="25">
        <v>5.6</v>
      </c>
      <c r="BB35" s="8"/>
      <c r="BC35" s="8"/>
      <c r="BD35" s="8"/>
      <c r="BE35" s="8"/>
      <c r="BF35" s="8"/>
      <c r="BG35" s="8"/>
      <c r="BH35" s="25">
        <f>2550*Umrechnungsfaktoren!$B$15/Umrechnungsfaktoren!$B$13</f>
        <v>2633.7313432835822</v>
      </c>
      <c r="BM35" s="13"/>
      <c r="BO35" s="13"/>
      <c r="BP35" s="13"/>
      <c r="BQ35" s="13"/>
      <c r="BR35" s="13"/>
      <c r="BS35" s="13"/>
      <c r="BU35" s="13"/>
      <c r="BV35" s="13"/>
      <c r="BW35" s="13"/>
      <c r="CC35" s="1" t="s">
        <v>559</v>
      </c>
      <c r="CF35" s="1">
        <v>244</v>
      </c>
    </row>
    <row r="36" spans="1:84" x14ac:dyDescent="0.2">
      <c r="A36" s="1" t="s">
        <v>224</v>
      </c>
      <c r="B36" s="1" t="s">
        <v>129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20"/>
      <c r="X36" s="9"/>
      <c r="Y36" s="9">
        <f t="shared" si="2"/>
        <v>6.8493150684931503E-2</v>
      </c>
      <c r="Z36" s="49"/>
      <c r="AA36" s="20"/>
      <c r="AB36" s="19"/>
      <c r="AC36" s="9"/>
      <c r="AD36" s="19"/>
      <c r="AE36" s="9"/>
      <c r="AF36" s="1">
        <f>5/60</f>
        <v>8.3333333333333329E-2</v>
      </c>
      <c r="AY36" s="19"/>
      <c r="AZ36" s="19"/>
      <c r="BA36" s="25">
        <v>5.3</v>
      </c>
      <c r="BB36" s="8"/>
      <c r="BC36" s="8"/>
      <c r="BD36" s="8"/>
      <c r="BE36" s="8"/>
      <c r="BF36" s="8"/>
      <c r="BG36" s="8"/>
      <c r="BH36" s="25">
        <f>2100*Umrechnungsfaktoren!$B$15/Umrechnungsfaktoren!$B$13</f>
        <v>2168.9552238805968</v>
      </c>
      <c r="BM36" s="13"/>
      <c r="BO36" s="13"/>
      <c r="BP36" s="13"/>
      <c r="BQ36" s="13"/>
      <c r="BR36" s="13"/>
      <c r="BS36" s="13"/>
      <c r="BU36" s="13"/>
      <c r="BV36" s="13"/>
      <c r="BW36" s="13"/>
      <c r="CC36" s="1" t="s">
        <v>559</v>
      </c>
      <c r="CF36" s="1">
        <v>244</v>
      </c>
    </row>
    <row r="37" spans="1:84" x14ac:dyDescent="0.2">
      <c r="A37" s="1" t="s">
        <v>224</v>
      </c>
      <c r="B37" s="1" t="s">
        <v>129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20"/>
      <c r="X37" s="9"/>
      <c r="Y37" s="9">
        <f t="shared" si="2"/>
        <v>6.8493150684931503E-2</v>
      </c>
      <c r="Z37" s="49"/>
      <c r="AA37" s="20"/>
      <c r="AB37" s="19"/>
      <c r="AC37" s="9"/>
      <c r="AD37" s="19"/>
      <c r="AE37" s="9"/>
      <c r="AF37" s="1">
        <f>5/60</f>
        <v>8.3333333333333329E-2</v>
      </c>
      <c r="AY37" s="19"/>
      <c r="AZ37" s="19"/>
      <c r="BA37" s="25">
        <v>4.9000000000000004</v>
      </c>
      <c r="BB37" s="8"/>
      <c r="BC37" s="8"/>
      <c r="BD37" s="8"/>
      <c r="BE37" s="8"/>
      <c r="BF37" s="8"/>
      <c r="BG37" s="8"/>
      <c r="BH37" s="25">
        <f>1650*Umrechnungsfaktoren!$B$15/Umrechnungsfaktoren!$B$13</f>
        <v>1704.1791044776119</v>
      </c>
      <c r="BM37" s="13"/>
      <c r="BO37" s="13"/>
      <c r="BP37" s="13"/>
      <c r="BQ37" s="13"/>
      <c r="BR37" s="13"/>
      <c r="BS37" s="13"/>
      <c r="BU37" s="13"/>
      <c r="BV37" s="13"/>
      <c r="BW37" s="13"/>
      <c r="CC37" s="1" t="s">
        <v>559</v>
      </c>
      <c r="CF37" s="1">
        <v>244</v>
      </c>
    </row>
    <row r="38" spans="1:84" x14ac:dyDescent="0.2">
      <c r="A38" s="1" t="s">
        <v>141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/>
      <c r="M38" s="19">
        <v>9400</v>
      </c>
      <c r="N38" s="19"/>
      <c r="O38" s="19">
        <v>180</v>
      </c>
      <c r="P38" s="19"/>
      <c r="Q38" s="19">
        <v>0</v>
      </c>
      <c r="R38" s="19">
        <v>31</v>
      </c>
      <c r="S38" s="19"/>
      <c r="T38" s="19">
        <v>9400</v>
      </c>
      <c r="U38" s="19">
        <v>350</v>
      </c>
      <c r="V38" s="19"/>
      <c r="W38" s="20"/>
      <c r="X38" s="9"/>
      <c r="Y38" s="9">
        <f t="shared" si="2"/>
        <v>6.8493150684931503E-2</v>
      </c>
      <c r="Z38" s="49">
        <v>3000</v>
      </c>
      <c r="AA38" s="20"/>
      <c r="AB38" s="19"/>
      <c r="AC38" s="9"/>
      <c r="AD38" s="19"/>
      <c r="AE38" s="9">
        <v>1</v>
      </c>
      <c r="AF38" s="1">
        <f t="shared" ref="AF38:AF45" si="3">5/60</f>
        <v>8.3333333333333329E-2</v>
      </c>
      <c r="AG38" s="1">
        <v>0.5</v>
      </c>
      <c r="AH38" s="1">
        <v>3</v>
      </c>
      <c r="AL38" s="1">
        <v>0.5</v>
      </c>
      <c r="AM38" s="1">
        <v>3</v>
      </c>
      <c r="AO38" s="1">
        <v>3</v>
      </c>
      <c r="AP38" s="1">
        <v>8</v>
      </c>
      <c r="AQ38" s="1">
        <v>8</v>
      </c>
      <c r="AS38" s="1" t="s">
        <v>522</v>
      </c>
      <c r="AY38" s="19"/>
      <c r="AZ38" s="19"/>
      <c r="BA38" s="19"/>
      <c r="BB38" s="8"/>
      <c r="BC38" s="8"/>
      <c r="BD38" s="8"/>
      <c r="BE38" s="8"/>
      <c r="BF38" s="8"/>
      <c r="BG38" s="8"/>
      <c r="BL38" s="1">
        <v>101</v>
      </c>
      <c r="BM38" s="13" t="s">
        <v>528</v>
      </c>
      <c r="BN38" s="1" t="s">
        <v>527</v>
      </c>
      <c r="BO38" s="13"/>
      <c r="BP38" s="13"/>
      <c r="BQ38" s="13">
        <v>111</v>
      </c>
      <c r="BR38" s="13">
        <v>111</v>
      </c>
      <c r="BS38" s="13">
        <v>111</v>
      </c>
      <c r="BU38" s="13"/>
      <c r="BV38" s="13">
        <v>111</v>
      </c>
      <c r="BW38" s="13">
        <v>111</v>
      </c>
      <c r="BX38" s="1" t="s">
        <v>523</v>
      </c>
      <c r="BY38" s="1" t="s">
        <v>526</v>
      </c>
      <c r="CA38" s="1" t="s">
        <v>530</v>
      </c>
      <c r="CE38" s="1" t="s">
        <v>525</v>
      </c>
      <c r="CF38" s="1" t="s">
        <v>525</v>
      </c>
    </row>
    <row r="39" spans="1:84" x14ac:dyDescent="0.2">
      <c r="A39" s="1" t="s">
        <v>141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/>
      <c r="M39" s="19">
        <v>7300</v>
      </c>
      <c r="N39" s="19"/>
      <c r="O39" s="19">
        <f>Tabelle58971119[[#This Row],[Stromverbrauch in TWh]]/$I$38*$O$38</f>
        <v>110.76923076923077</v>
      </c>
      <c r="P39" s="19"/>
      <c r="Q39" s="19">
        <v>0</v>
      </c>
      <c r="R39" s="19">
        <f>Tabelle58971119[[#This Row],[Stromverbrauch in TWh]]/$I$38*$R$38</f>
        <v>19.076923076923077</v>
      </c>
      <c r="S39" s="19"/>
      <c r="T39" s="19">
        <v>7300</v>
      </c>
      <c r="U39" s="19">
        <f>Tabelle58971119[[#This Row],[Stromverbrauch in TWh]]/$I$38*$U$38</f>
        <v>215.38461538461539</v>
      </c>
      <c r="V39" s="19"/>
      <c r="W39" s="20"/>
      <c r="X39" s="9"/>
      <c r="Y39" s="9">
        <f t="shared" si="2"/>
        <v>6.8493150684931503E-2</v>
      </c>
      <c r="Z39" s="49">
        <v>3000</v>
      </c>
      <c r="AA39" s="20"/>
      <c r="AB39" s="19"/>
      <c r="AC39" s="9"/>
      <c r="AD39" s="19"/>
      <c r="AE39" s="9">
        <v>1</v>
      </c>
      <c r="AF39" s="1">
        <f t="shared" si="3"/>
        <v>8.3333333333333329E-2</v>
      </c>
      <c r="AG39" s="1">
        <v>0.5</v>
      </c>
      <c r="AH39" s="1">
        <v>3</v>
      </c>
      <c r="AL39" s="1">
        <v>0.5</v>
      </c>
      <c r="AM39" s="1">
        <v>3</v>
      </c>
      <c r="AO39" s="1">
        <v>3</v>
      </c>
      <c r="AP39" s="1">
        <v>8</v>
      </c>
      <c r="AS39" s="1" t="s">
        <v>522</v>
      </c>
      <c r="AY39" s="19"/>
      <c r="AZ39" s="19"/>
      <c r="BA39" s="19"/>
      <c r="BB39" s="8"/>
      <c r="BC39" s="8"/>
      <c r="BD39" s="8"/>
      <c r="BE39" s="8"/>
      <c r="BF39" s="8"/>
      <c r="BG39" s="8">
        <f>59*Umrechnungsfaktoren!$B$15/Umrechnungsfaktoren!$B$13</f>
        <v>60.937313432835815</v>
      </c>
      <c r="BH39" s="1">
        <f>310*Umrechnungsfaktoren!$B$15/Umrechnungsfaktoren!$B$13</f>
        <v>320.17910447761193</v>
      </c>
      <c r="BL39" s="1">
        <v>101</v>
      </c>
      <c r="BM39" s="13">
        <v>112</v>
      </c>
      <c r="BN39" s="13">
        <v>112</v>
      </c>
      <c r="BO39" s="13"/>
      <c r="BP39" s="13"/>
      <c r="BQ39" s="13">
        <v>111</v>
      </c>
      <c r="BR39" s="13">
        <v>111</v>
      </c>
      <c r="BS39" s="13">
        <v>111</v>
      </c>
      <c r="BU39" s="13"/>
      <c r="BV39" s="13">
        <v>111</v>
      </c>
      <c r="BW39" s="13">
        <v>111</v>
      </c>
      <c r="BX39" s="1" t="s">
        <v>523</v>
      </c>
      <c r="BY39" s="1" t="s">
        <v>526</v>
      </c>
      <c r="CA39" s="1" t="s">
        <v>530</v>
      </c>
      <c r="CE39" s="1">
        <v>111</v>
      </c>
      <c r="CF39" s="1">
        <v>111</v>
      </c>
    </row>
    <row r="40" spans="1:84" x14ac:dyDescent="0.2">
      <c r="A40" s="1" t="s">
        <v>141</v>
      </c>
      <c r="B40" s="1" t="s">
        <v>142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/>
      <c r="M40" s="19">
        <v>5600</v>
      </c>
      <c r="N40" s="19"/>
      <c r="O40" s="19">
        <f>Tabelle58971119[[#This Row],[Stromverbrauch in TWh]]/$I$38*$O$38</f>
        <v>83.07692307692308</v>
      </c>
      <c r="P40" s="19"/>
      <c r="Q40" s="19">
        <v>0</v>
      </c>
      <c r="R40" s="19">
        <f>Tabelle58971119[[#This Row],[Stromverbrauch in TWh]]/$I$38*$R$38</f>
        <v>14.307692307692308</v>
      </c>
      <c r="S40" s="19"/>
      <c r="T40" s="19">
        <v>5600</v>
      </c>
      <c r="U40" s="19">
        <f>Tabelle58971119[[#This Row],[Stromverbrauch in TWh]]/$I$38*$U$38</f>
        <v>161.53846153846155</v>
      </c>
      <c r="V40" s="19"/>
      <c r="W40" s="20"/>
      <c r="X40" s="9"/>
      <c r="Y40" s="9">
        <f t="shared" si="2"/>
        <v>6.8493150684931503E-2</v>
      </c>
      <c r="Z40" s="49">
        <v>3000</v>
      </c>
      <c r="AA40" s="20"/>
      <c r="AB40" s="19"/>
      <c r="AC40" s="9"/>
      <c r="AD40" s="19"/>
      <c r="AE40" s="9">
        <v>1</v>
      </c>
      <c r="AF40" s="1">
        <f t="shared" si="3"/>
        <v>8.3333333333333329E-2</v>
      </c>
      <c r="AG40" s="1">
        <v>0.5</v>
      </c>
      <c r="AH40" s="1">
        <v>3</v>
      </c>
      <c r="AL40" s="1">
        <v>0.5</v>
      </c>
      <c r="AM40" s="1">
        <v>3</v>
      </c>
      <c r="AO40" s="1">
        <v>3</v>
      </c>
      <c r="AP40" s="1">
        <v>8</v>
      </c>
      <c r="AS40" s="1" t="s">
        <v>522</v>
      </c>
      <c r="AY40" s="19"/>
      <c r="AZ40" s="19"/>
      <c r="BA40" s="19"/>
      <c r="BB40" s="8"/>
      <c r="BC40" s="8"/>
      <c r="BD40" s="8"/>
      <c r="BE40" s="8"/>
      <c r="BF40" s="8"/>
      <c r="BG40" s="8">
        <f>50*Umrechnungsfaktoren!$B$15/Umrechnungsfaktoren!$B$13</f>
        <v>51.64179104477612</v>
      </c>
      <c r="BH40" s="1">
        <f>265*Umrechnungsfaktoren!$B$15/Umrechnungsfaktoren!$B$13</f>
        <v>273.70149253731341</v>
      </c>
      <c r="BL40" s="1">
        <v>101</v>
      </c>
      <c r="BM40" s="13">
        <v>112</v>
      </c>
      <c r="BN40" s="13">
        <v>112</v>
      </c>
      <c r="BO40" s="13"/>
      <c r="BP40" s="13"/>
      <c r="BQ40" s="13">
        <v>111</v>
      </c>
      <c r="BR40" s="13">
        <v>111</v>
      </c>
      <c r="BS40" s="13">
        <v>111</v>
      </c>
      <c r="BU40" s="13"/>
      <c r="BV40" s="13">
        <v>111</v>
      </c>
      <c r="BW40" s="13">
        <v>111</v>
      </c>
      <c r="BX40" s="1" t="s">
        <v>523</v>
      </c>
      <c r="BY40" s="1" t="s">
        <v>526</v>
      </c>
      <c r="CA40" s="1" t="s">
        <v>530</v>
      </c>
      <c r="CE40" s="1">
        <v>111</v>
      </c>
      <c r="CF40" s="1">
        <v>111</v>
      </c>
    </row>
    <row r="41" spans="1:84" x14ac:dyDescent="0.2">
      <c r="A41" s="1" t="s">
        <v>141</v>
      </c>
      <c r="B41" s="1" t="s">
        <v>142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/>
      <c r="M41" s="19">
        <v>3900</v>
      </c>
      <c r="N41" s="19"/>
      <c r="O41" s="19">
        <f>Tabelle58971119[[#This Row],[Stromverbrauch in TWh]]/$I$38*$O$38</f>
        <v>69.230769230769241</v>
      </c>
      <c r="P41" s="19"/>
      <c r="Q41" s="19">
        <v>0</v>
      </c>
      <c r="R41" s="19">
        <f>Tabelle58971119[[#This Row],[Stromverbrauch in TWh]]/$I$38*$R$38</f>
        <v>11.923076923076923</v>
      </c>
      <c r="S41" s="19"/>
      <c r="T41" s="19">
        <v>3900</v>
      </c>
      <c r="U41" s="19">
        <f>Tabelle58971119[[#This Row],[Stromverbrauch in TWh]]/$I$38*$U$38</f>
        <v>134.61538461538461</v>
      </c>
      <c r="V41" s="19"/>
      <c r="W41" s="20"/>
      <c r="X41" s="9"/>
      <c r="Y41" s="9">
        <f t="shared" si="2"/>
        <v>6.8493150684931503E-2</v>
      </c>
      <c r="Z41" s="49">
        <v>3000</v>
      </c>
      <c r="AA41" s="20"/>
      <c r="AB41" s="19"/>
      <c r="AC41" s="9"/>
      <c r="AD41" s="19"/>
      <c r="AE41" s="9">
        <v>1</v>
      </c>
      <c r="AF41" s="1">
        <f t="shared" si="3"/>
        <v>8.3333333333333329E-2</v>
      </c>
      <c r="AG41" s="1">
        <v>2</v>
      </c>
      <c r="AH41" s="1">
        <v>30</v>
      </c>
      <c r="AL41" s="1">
        <v>0.5</v>
      </c>
      <c r="AM41" s="1">
        <v>3</v>
      </c>
      <c r="AO41" s="1">
        <v>3</v>
      </c>
      <c r="AP41" s="1">
        <v>8</v>
      </c>
      <c r="AS41" s="1" t="s">
        <v>522</v>
      </c>
      <c r="AY41" s="19"/>
      <c r="AZ41" s="19"/>
      <c r="BA41" s="19"/>
      <c r="BB41" s="8"/>
      <c r="BC41" s="8"/>
      <c r="BD41" s="8"/>
      <c r="BE41" s="8"/>
      <c r="BF41" s="8"/>
      <c r="BG41" s="8">
        <f>42*Umrechnungsfaktoren!$B$15/Umrechnungsfaktoren!$B$13</f>
        <v>43.379104477611939</v>
      </c>
      <c r="BH41" s="1">
        <f>220*Umrechnungsfaktoren!$B$15/Umrechnungsfaktoren!$B$13</f>
        <v>227.22388059701493</v>
      </c>
      <c r="BL41" s="1">
        <v>101</v>
      </c>
      <c r="BM41" s="13" t="s">
        <v>528</v>
      </c>
      <c r="BN41" s="1" t="s">
        <v>527</v>
      </c>
      <c r="BO41" s="13"/>
      <c r="BP41" s="13"/>
      <c r="BQ41" s="13">
        <v>111</v>
      </c>
      <c r="BR41" s="13">
        <v>111</v>
      </c>
      <c r="BS41" s="13">
        <v>111</v>
      </c>
      <c r="BU41" s="13"/>
      <c r="BV41" s="13">
        <v>111</v>
      </c>
      <c r="BW41" s="13">
        <v>111</v>
      </c>
      <c r="BX41" s="1" t="s">
        <v>523</v>
      </c>
      <c r="BY41" s="1" t="s">
        <v>526</v>
      </c>
      <c r="CA41" s="1" t="s">
        <v>530</v>
      </c>
      <c r="CE41" s="1" t="s">
        <v>532</v>
      </c>
      <c r="CF41" s="1" t="s">
        <v>532</v>
      </c>
    </row>
    <row r="42" spans="1:84" x14ac:dyDescent="0.2">
      <c r="A42" s="1" t="s">
        <v>137</v>
      </c>
      <c r="B42" s="1" t="s">
        <v>142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/>
      <c r="M42" s="19">
        <v>990</v>
      </c>
      <c r="N42" s="19"/>
      <c r="O42" s="19">
        <v>18</v>
      </c>
      <c r="P42" s="19"/>
      <c r="Q42" s="19">
        <v>0</v>
      </c>
      <c r="R42" s="19">
        <v>10</v>
      </c>
      <c r="S42" s="19"/>
      <c r="T42" s="19">
        <v>320</v>
      </c>
      <c r="U42" s="19">
        <v>120</v>
      </c>
      <c r="V42" s="19"/>
      <c r="W42" s="20"/>
      <c r="X42" s="9"/>
      <c r="Y42" s="9">
        <f>2000/8760</f>
        <v>0.22831050228310501</v>
      </c>
      <c r="Z42" s="49">
        <v>3000</v>
      </c>
      <c r="AA42" s="20"/>
      <c r="AB42" s="19"/>
      <c r="AC42" s="9"/>
      <c r="AD42" s="19"/>
      <c r="AE42" s="9">
        <v>1</v>
      </c>
      <c r="AF42" s="1">
        <f t="shared" si="3"/>
        <v>8.3333333333333329E-2</v>
      </c>
      <c r="AG42" s="1">
        <v>2</v>
      </c>
      <c r="AH42" s="1">
        <v>107</v>
      </c>
      <c r="AI42" s="1">
        <v>2</v>
      </c>
      <c r="AL42" s="1">
        <v>2</v>
      </c>
      <c r="AN42" s="1">
        <v>3</v>
      </c>
      <c r="AO42" s="1">
        <v>3</v>
      </c>
      <c r="AP42" s="1">
        <v>67</v>
      </c>
      <c r="AS42" s="1" t="s">
        <v>521</v>
      </c>
      <c r="AY42" s="19"/>
      <c r="AZ42" s="19"/>
      <c r="BA42" s="19"/>
      <c r="BB42" s="8"/>
      <c r="BC42" s="8"/>
      <c r="BD42" s="8"/>
      <c r="BE42" s="8"/>
      <c r="BF42" s="8"/>
      <c r="BG42" s="8"/>
      <c r="BL42" s="1">
        <v>102</v>
      </c>
      <c r="BM42" s="13">
        <v>112</v>
      </c>
      <c r="BN42" s="1">
        <v>112</v>
      </c>
      <c r="BO42" s="13"/>
      <c r="BP42" s="13"/>
      <c r="BQ42" s="13">
        <v>112</v>
      </c>
      <c r="BR42" s="13">
        <v>112</v>
      </c>
      <c r="BS42" s="13">
        <v>112</v>
      </c>
      <c r="BU42" s="13"/>
      <c r="BV42" s="13">
        <v>112</v>
      </c>
      <c r="BW42" s="13">
        <v>112</v>
      </c>
      <c r="BX42" s="1" t="s">
        <v>529</v>
      </c>
      <c r="BY42" s="1" t="s">
        <v>527</v>
      </c>
      <c r="CA42" s="1" t="s">
        <v>531</v>
      </c>
      <c r="CE42" s="1">
        <v>112</v>
      </c>
      <c r="CF42" s="1">
        <v>112</v>
      </c>
    </row>
    <row r="43" spans="1:84" x14ac:dyDescent="0.2">
      <c r="A43" s="1" t="s">
        <v>137</v>
      </c>
      <c r="B43" s="1" t="s">
        <v>142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/>
      <c r="M43" s="19">
        <v>1500</v>
      </c>
      <c r="N43" s="19"/>
      <c r="O43" s="19">
        <f>Tabelle58971119[[#This Row],[Stromverbrauch in TWh]]/$I$42*$O$42</f>
        <v>31.5</v>
      </c>
      <c r="P43" s="19"/>
      <c r="Q43" s="19">
        <v>0</v>
      </c>
      <c r="R43" s="19">
        <f>Tabelle58971119[[#This Row],[Stromverbrauch in TWh]]/$I$42*$R$42</f>
        <v>17.5</v>
      </c>
      <c r="S43" s="19"/>
      <c r="T43" s="19">
        <f>Tabelle58971119[[#This Row],[Stromverbrauch in TWh]]/$I$42*$T$42</f>
        <v>560</v>
      </c>
      <c r="U43" s="19">
        <f>Tabelle58971119[[#This Row],[Stromverbrauch in TWh]]/$I$42*$U$42</f>
        <v>210</v>
      </c>
      <c r="V43" s="19"/>
      <c r="W43" s="20"/>
      <c r="X43" s="9"/>
      <c r="Y43" s="9">
        <f>2000/8760</f>
        <v>0.22831050228310501</v>
      </c>
      <c r="Z43" s="49">
        <v>3000</v>
      </c>
      <c r="AA43" s="20"/>
      <c r="AB43" s="19"/>
      <c r="AC43" s="9"/>
      <c r="AD43" s="19"/>
      <c r="AE43" s="9">
        <v>1</v>
      </c>
      <c r="AF43" s="1">
        <f t="shared" si="3"/>
        <v>8.3333333333333329E-2</v>
      </c>
      <c r="AG43" s="1">
        <v>2</v>
      </c>
      <c r="AH43" s="1">
        <v>107</v>
      </c>
      <c r="AI43" s="1">
        <v>2</v>
      </c>
      <c r="AL43" s="1">
        <v>2</v>
      </c>
      <c r="AN43" s="1">
        <v>3</v>
      </c>
      <c r="AO43" s="1">
        <v>3</v>
      </c>
      <c r="AP43" s="1">
        <v>67</v>
      </c>
      <c r="AS43" s="1" t="s">
        <v>521</v>
      </c>
      <c r="AY43" s="19"/>
      <c r="AZ43" s="19"/>
      <c r="BA43" s="19"/>
      <c r="BB43" s="8"/>
      <c r="BC43" s="8"/>
      <c r="BD43" s="8"/>
      <c r="BE43" s="8"/>
      <c r="BF43" s="8"/>
      <c r="BG43" s="8">
        <f>59*Umrechnungsfaktoren!$B$15/Umrechnungsfaktoren!$B$13</f>
        <v>60.937313432835815</v>
      </c>
      <c r="BH43" s="1">
        <f>310*Umrechnungsfaktoren!$B$15/Umrechnungsfaktoren!$B$13</f>
        <v>320.17910447761193</v>
      </c>
      <c r="BL43" s="1">
        <v>102</v>
      </c>
      <c r="BM43" s="13">
        <v>112</v>
      </c>
      <c r="BN43" s="1">
        <v>112</v>
      </c>
      <c r="BO43" s="13"/>
      <c r="BP43" s="13"/>
      <c r="BQ43" s="13">
        <v>112</v>
      </c>
      <c r="BR43" s="13">
        <v>112</v>
      </c>
      <c r="BS43" s="13">
        <v>112</v>
      </c>
      <c r="BU43" s="13"/>
      <c r="BV43" s="13">
        <v>112</v>
      </c>
      <c r="BW43" s="13">
        <v>112</v>
      </c>
      <c r="BX43" s="1" t="s">
        <v>529</v>
      </c>
      <c r="BY43" s="1" t="s">
        <v>527</v>
      </c>
      <c r="CA43" s="1" t="s">
        <v>531</v>
      </c>
      <c r="CE43" s="1">
        <v>112</v>
      </c>
      <c r="CF43" s="1">
        <v>112</v>
      </c>
    </row>
    <row r="44" spans="1:84" x14ac:dyDescent="0.2">
      <c r="A44" s="1" t="s">
        <v>137</v>
      </c>
      <c r="B44" s="1" t="s">
        <v>142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/>
      <c r="M44" s="19">
        <v>1900</v>
      </c>
      <c r="N44" s="19"/>
      <c r="O44" s="19">
        <f>Tabelle58971119[[#This Row],[Stromverbrauch in TWh]]/$I$42*$O$42</f>
        <v>40.5</v>
      </c>
      <c r="P44" s="19"/>
      <c r="Q44" s="19">
        <v>0</v>
      </c>
      <c r="R44" s="19">
        <f>Tabelle58971119[[#This Row],[Stromverbrauch in TWh]]/$I$42*$R$42</f>
        <v>22.5</v>
      </c>
      <c r="S44" s="19"/>
      <c r="T44" s="19">
        <f>Tabelle58971119[[#This Row],[Stromverbrauch in TWh]]/$I$42*$T$42</f>
        <v>720</v>
      </c>
      <c r="U44" s="19">
        <f>Tabelle58971119[[#This Row],[Stromverbrauch in TWh]]/$I$42*$U$42</f>
        <v>270</v>
      </c>
      <c r="V44" s="19"/>
      <c r="W44" s="20"/>
      <c r="X44" s="9"/>
      <c r="Y44" s="9">
        <f>2000/8760</f>
        <v>0.22831050228310501</v>
      </c>
      <c r="Z44" s="49">
        <v>3000</v>
      </c>
      <c r="AA44" s="20"/>
      <c r="AB44" s="19"/>
      <c r="AC44" s="9"/>
      <c r="AD44" s="19"/>
      <c r="AE44" s="9">
        <v>1</v>
      </c>
      <c r="AF44" s="1">
        <f t="shared" si="3"/>
        <v>8.3333333333333329E-2</v>
      </c>
      <c r="AG44" s="1">
        <v>2</v>
      </c>
      <c r="AH44" s="1">
        <v>107</v>
      </c>
      <c r="AI44" s="1">
        <v>2</v>
      </c>
      <c r="AL44" s="1">
        <v>2</v>
      </c>
      <c r="AN44" s="1">
        <v>3</v>
      </c>
      <c r="AO44" s="1">
        <v>3</v>
      </c>
      <c r="AP44" s="1">
        <v>67</v>
      </c>
      <c r="AS44" s="1" t="s">
        <v>521</v>
      </c>
      <c r="AY44" s="19"/>
      <c r="AZ44" s="19"/>
      <c r="BA44" s="19"/>
      <c r="BB44" s="8"/>
      <c r="BC44" s="8"/>
      <c r="BD44" s="8"/>
      <c r="BE44" s="8"/>
      <c r="BF44" s="8"/>
      <c r="BG44" s="8">
        <f>50*Umrechnungsfaktoren!$B$15/Umrechnungsfaktoren!$B$13</f>
        <v>51.64179104477612</v>
      </c>
      <c r="BH44" s="1">
        <f>265*Umrechnungsfaktoren!$B$15/Umrechnungsfaktoren!$B$13</f>
        <v>273.70149253731341</v>
      </c>
      <c r="BL44" s="1">
        <v>102</v>
      </c>
      <c r="BM44" s="13">
        <v>112</v>
      </c>
      <c r="BN44" s="1">
        <v>112</v>
      </c>
      <c r="BO44" s="13"/>
      <c r="BP44" s="13"/>
      <c r="BQ44" s="13">
        <v>112</v>
      </c>
      <c r="BR44" s="13">
        <v>112</v>
      </c>
      <c r="BS44" s="13">
        <v>112</v>
      </c>
      <c r="BU44" s="13"/>
      <c r="BV44" s="13">
        <v>112</v>
      </c>
      <c r="BW44" s="13">
        <v>112</v>
      </c>
      <c r="BX44" s="1" t="s">
        <v>529</v>
      </c>
      <c r="BY44" s="1" t="s">
        <v>527</v>
      </c>
      <c r="CA44" s="1" t="s">
        <v>531</v>
      </c>
      <c r="CE44" s="1">
        <v>112</v>
      </c>
      <c r="CF44" s="1">
        <v>112</v>
      </c>
    </row>
    <row r="45" spans="1:84" x14ac:dyDescent="0.2">
      <c r="A45" s="1" t="s">
        <v>137</v>
      </c>
      <c r="B45" s="1" t="s">
        <v>142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/>
      <c r="M45" s="19">
        <v>2400</v>
      </c>
      <c r="N45" s="19"/>
      <c r="O45" s="19">
        <f>Tabelle58971119[[#This Row],[Stromverbrauch in TWh]]/$I$42*$O$42</f>
        <v>47</v>
      </c>
      <c r="P45" s="19"/>
      <c r="Q45" s="19">
        <v>0</v>
      </c>
      <c r="R45" s="19">
        <f>Tabelle58971119[[#This Row],[Stromverbrauch in TWh]]/$I$42*$R$42</f>
        <v>26.111111111111111</v>
      </c>
      <c r="S45" s="19"/>
      <c r="T45" s="19">
        <f>Tabelle58971119[[#This Row],[Stromverbrauch in TWh]]/$I$42*$T$42</f>
        <v>835.55555555555554</v>
      </c>
      <c r="U45" s="19">
        <f>Tabelle58971119[[#This Row],[Stromverbrauch in TWh]]/$I$42*$U$42</f>
        <v>313.33333333333331</v>
      </c>
      <c r="V45" s="19"/>
      <c r="W45" s="20"/>
      <c r="X45" s="9"/>
      <c r="Y45" s="9">
        <f>2000/8760</f>
        <v>0.22831050228310501</v>
      </c>
      <c r="Z45" s="49">
        <v>3000</v>
      </c>
      <c r="AA45" s="20"/>
      <c r="AB45" s="19"/>
      <c r="AC45" s="9"/>
      <c r="AD45" s="19"/>
      <c r="AE45" s="9">
        <v>1</v>
      </c>
      <c r="AF45" s="1">
        <f t="shared" si="3"/>
        <v>8.3333333333333329E-2</v>
      </c>
      <c r="AG45" s="1">
        <v>2</v>
      </c>
      <c r="AH45" s="1">
        <v>107</v>
      </c>
      <c r="AI45" s="1">
        <v>2</v>
      </c>
      <c r="AL45" s="1">
        <v>2</v>
      </c>
      <c r="AN45" s="1">
        <v>3</v>
      </c>
      <c r="AO45" s="1">
        <v>3</v>
      </c>
      <c r="AP45" s="1">
        <v>67</v>
      </c>
      <c r="AS45" s="1" t="s">
        <v>521</v>
      </c>
      <c r="AY45" s="19"/>
      <c r="AZ45" s="19"/>
      <c r="BA45" s="19"/>
      <c r="BB45" s="8"/>
      <c r="BC45" s="8"/>
      <c r="BD45" s="8"/>
      <c r="BE45" s="8"/>
      <c r="BF45" s="8"/>
      <c r="BG45" s="8">
        <f>42*Umrechnungsfaktoren!$B$15/Umrechnungsfaktoren!$B$13</f>
        <v>43.379104477611939</v>
      </c>
      <c r="BH45" s="1">
        <f>220*Umrechnungsfaktoren!$B$15/Umrechnungsfaktoren!$B$13</f>
        <v>227.22388059701493</v>
      </c>
      <c r="BL45" s="1">
        <v>102</v>
      </c>
      <c r="BM45" s="13">
        <v>112</v>
      </c>
      <c r="BN45" s="1">
        <v>112</v>
      </c>
      <c r="BO45" s="13"/>
      <c r="BP45" s="13"/>
      <c r="BQ45" s="13">
        <v>112</v>
      </c>
      <c r="BR45" s="13">
        <v>112</v>
      </c>
      <c r="BS45" s="13">
        <v>112</v>
      </c>
      <c r="BU45" s="13"/>
      <c r="BV45" s="13">
        <v>112</v>
      </c>
      <c r="BW45" s="13">
        <v>112</v>
      </c>
      <c r="BX45" s="1" t="s">
        <v>529</v>
      </c>
      <c r="BY45" s="1" t="s">
        <v>527</v>
      </c>
      <c r="CA45" s="1" t="s">
        <v>531</v>
      </c>
      <c r="CE45" s="1">
        <v>107</v>
      </c>
      <c r="CF45" s="1">
        <v>107</v>
      </c>
    </row>
    <row r="46" spans="1:84" x14ac:dyDescent="0.2">
      <c r="A46" s="1" t="s">
        <v>138</v>
      </c>
      <c r="B46" s="1" t="s">
        <v>142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/>
      <c r="M46" s="19">
        <v>500</v>
      </c>
      <c r="N46" s="19"/>
      <c r="O46" s="19">
        <v>500</v>
      </c>
      <c r="P46" s="19"/>
      <c r="Q46" s="19">
        <v>500</v>
      </c>
      <c r="R46" s="19">
        <v>500</v>
      </c>
      <c r="S46" s="19"/>
      <c r="T46" s="19">
        <v>7400</v>
      </c>
      <c r="U46" s="19">
        <v>7400</v>
      </c>
      <c r="V46" s="19"/>
      <c r="W46" s="20"/>
      <c r="X46" s="9"/>
      <c r="Y46" s="9"/>
      <c r="Z46" s="49"/>
      <c r="AA46" s="20"/>
      <c r="AB46" s="19"/>
      <c r="AC46" s="9"/>
      <c r="AD46" s="19"/>
      <c r="AE46" s="9"/>
      <c r="AN46" s="1">
        <v>3</v>
      </c>
      <c r="AY46" s="19"/>
      <c r="AZ46" s="19"/>
      <c r="BA46" s="19"/>
      <c r="BB46" s="8"/>
      <c r="BC46" s="8"/>
      <c r="BD46" s="8"/>
      <c r="BE46" s="8"/>
      <c r="BF46" s="8"/>
      <c r="BG46" s="8"/>
      <c r="BM46" s="13">
        <v>109</v>
      </c>
      <c r="BN46" s="1">
        <v>109</v>
      </c>
      <c r="BO46" s="13"/>
      <c r="BP46" s="13"/>
      <c r="BQ46" s="13"/>
      <c r="BR46" s="13"/>
      <c r="BS46" s="13"/>
      <c r="BU46" s="13"/>
      <c r="BV46" s="13"/>
      <c r="BW46" s="13"/>
      <c r="BX46" s="1">
        <v>109</v>
      </c>
    </row>
    <row r="47" spans="1:84" x14ac:dyDescent="0.2">
      <c r="A47" s="1" t="s">
        <v>138</v>
      </c>
      <c r="B47" s="1" t="s">
        <v>142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/>
      <c r="M47" s="19">
        <v>500</v>
      </c>
      <c r="N47" s="19"/>
      <c r="O47" s="19">
        <v>500</v>
      </c>
      <c r="P47" s="19"/>
      <c r="Q47" s="19">
        <v>500</v>
      </c>
      <c r="R47" s="19">
        <v>500</v>
      </c>
      <c r="S47" s="19"/>
      <c r="T47" s="19">
        <v>7400</v>
      </c>
      <c r="U47" s="19">
        <v>7400</v>
      </c>
      <c r="V47" s="19"/>
      <c r="W47" s="20"/>
      <c r="X47" s="9"/>
      <c r="Y47" s="9"/>
      <c r="Z47" s="49"/>
      <c r="AA47" s="20"/>
      <c r="AB47" s="19"/>
      <c r="AC47" s="9"/>
      <c r="AD47" s="19"/>
      <c r="AE47" s="9"/>
      <c r="AN47" s="1">
        <v>3</v>
      </c>
      <c r="AY47" s="19"/>
      <c r="AZ47" s="19"/>
      <c r="BA47" s="19"/>
      <c r="BB47" s="8"/>
      <c r="BC47" s="8"/>
      <c r="BD47" s="8"/>
      <c r="BE47" s="8"/>
      <c r="BF47" s="8"/>
      <c r="BG47" s="8">
        <f>59*Umrechnungsfaktoren!$B$15/Umrechnungsfaktoren!$B$13</f>
        <v>60.937313432835815</v>
      </c>
      <c r="BH47" s="1">
        <f>310*Umrechnungsfaktoren!$B$15/Umrechnungsfaktoren!$B$13</f>
        <v>320.17910447761193</v>
      </c>
      <c r="BM47" s="13">
        <v>109</v>
      </c>
      <c r="BN47" s="1">
        <v>109</v>
      </c>
      <c r="BO47" s="13"/>
      <c r="BP47" s="13"/>
      <c r="BQ47" s="13"/>
      <c r="BR47" s="13"/>
      <c r="BS47" s="13"/>
      <c r="BU47" s="13"/>
      <c r="BV47" s="13"/>
      <c r="BW47" s="13"/>
    </row>
    <row r="48" spans="1:84" x14ac:dyDescent="0.2">
      <c r="A48" s="1" t="s">
        <v>138</v>
      </c>
      <c r="B48" s="1" t="s">
        <v>142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/>
      <c r="M48" s="19">
        <v>500</v>
      </c>
      <c r="N48" s="19"/>
      <c r="O48" s="19">
        <v>500</v>
      </c>
      <c r="P48" s="19"/>
      <c r="Q48" s="19">
        <v>500</v>
      </c>
      <c r="R48" s="19">
        <v>500</v>
      </c>
      <c r="S48" s="19"/>
      <c r="T48" s="19">
        <v>7400</v>
      </c>
      <c r="U48" s="19">
        <v>7400</v>
      </c>
      <c r="V48" s="19"/>
      <c r="W48" s="20"/>
      <c r="X48" s="9"/>
      <c r="Y48" s="9"/>
      <c r="Z48" s="49"/>
      <c r="AA48" s="20"/>
      <c r="AB48" s="19"/>
      <c r="AC48" s="9"/>
      <c r="AD48" s="19"/>
      <c r="AE48" s="9"/>
      <c r="AN48" s="1">
        <v>3</v>
      </c>
      <c r="AY48" s="19"/>
      <c r="AZ48" s="19"/>
      <c r="BA48" s="19"/>
      <c r="BB48" s="8"/>
      <c r="BC48" s="8"/>
      <c r="BD48" s="8"/>
      <c r="BE48" s="8"/>
      <c r="BF48" s="8"/>
      <c r="BG48" s="8">
        <f>50*Umrechnungsfaktoren!$B$15/Umrechnungsfaktoren!$B$13</f>
        <v>51.64179104477612</v>
      </c>
      <c r="BH48" s="1">
        <f>265*Umrechnungsfaktoren!$B$15/Umrechnungsfaktoren!$B$13</f>
        <v>273.70149253731341</v>
      </c>
      <c r="BM48" s="13">
        <v>109</v>
      </c>
      <c r="BN48" s="1">
        <v>109</v>
      </c>
      <c r="BO48" s="13"/>
      <c r="BP48" s="13"/>
      <c r="BQ48" s="13"/>
      <c r="BR48" s="13"/>
      <c r="BS48" s="13"/>
      <c r="BU48" s="13"/>
      <c r="BV48" s="13"/>
      <c r="BW48" s="13"/>
    </row>
    <row r="49" spans="1:84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/>
      <c r="M49" s="19">
        <v>500</v>
      </c>
      <c r="N49" s="19"/>
      <c r="O49" s="19">
        <v>500</v>
      </c>
      <c r="P49" s="19"/>
      <c r="Q49" s="19">
        <v>500</v>
      </c>
      <c r="R49" s="19">
        <v>500</v>
      </c>
      <c r="S49" s="19"/>
      <c r="T49" s="19">
        <v>7400</v>
      </c>
      <c r="U49" s="19">
        <v>7400</v>
      </c>
      <c r="V49" s="19"/>
      <c r="W49" s="20"/>
      <c r="X49" s="9"/>
      <c r="Y49" s="9"/>
      <c r="Z49" s="49"/>
      <c r="AA49" s="20"/>
      <c r="AB49" s="19"/>
      <c r="AC49" s="9"/>
      <c r="AD49" s="19"/>
      <c r="AE49" s="9"/>
      <c r="AN49" s="1">
        <v>3</v>
      </c>
      <c r="AY49" s="19"/>
      <c r="AZ49" s="19"/>
      <c r="BA49" s="19"/>
      <c r="BB49" s="8"/>
      <c r="BC49" s="8"/>
      <c r="BD49" s="8"/>
      <c r="BE49" s="8"/>
      <c r="BF49" s="8"/>
      <c r="BG49" s="8">
        <f>42*Umrechnungsfaktoren!$B$15/Umrechnungsfaktoren!$B$13</f>
        <v>43.379104477611939</v>
      </c>
      <c r="BH49" s="1">
        <f>220*Umrechnungsfaktoren!$B$15/Umrechnungsfaktoren!$B$13</f>
        <v>227.22388059701493</v>
      </c>
      <c r="BM49" s="13">
        <v>109</v>
      </c>
      <c r="BN49" s="1">
        <v>109</v>
      </c>
      <c r="BO49" s="13"/>
      <c r="BP49" s="13"/>
      <c r="BQ49" s="13"/>
      <c r="BR49" s="13"/>
      <c r="BS49" s="13"/>
      <c r="BU49" s="13"/>
      <c r="BV49" s="13"/>
      <c r="BW49" s="13"/>
    </row>
    <row r="50" spans="1:84" x14ac:dyDescent="0.2">
      <c r="A50" s="1" t="s">
        <v>394</v>
      </c>
      <c r="B50" s="1" t="s">
        <v>142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/>
      <c r="M50" s="19">
        <v>0</v>
      </c>
      <c r="N50" s="19"/>
      <c r="O50" s="19"/>
      <c r="P50" s="19"/>
      <c r="Q50" s="19"/>
      <c r="R50" s="19"/>
      <c r="S50" s="19"/>
      <c r="T50" s="19">
        <v>0</v>
      </c>
      <c r="U50" s="19"/>
      <c r="V50" s="19"/>
      <c r="W50" s="20"/>
      <c r="X50" s="9"/>
      <c r="Y50" s="9"/>
      <c r="Z50" s="49"/>
      <c r="AA50" s="20"/>
      <c r="AB50" s="19"/>
      <c r="AC50" s="9"/>
      <c r="AD50" s="19"/>
      <c r="AE50" s="9">
        <v>1</v>
      </c>
      <c r="AH50" s="1">
        <v>1</v>
      </c>
      <c r="AY50" s="19"/>
      <c r="AZ50" s="19"/>
      <c r="BA50" s="19"/>
      <c r="BB50" s="8"/>
      <c r="BC50" s="8"/>
      <c r="BD50" s="8"/>
      <c r="BE50" s="8"/>
      <c r="BF50" s="8"/>
      <c r="BG50" s="8"/>
      <c r="BI50" s="1" t="s">
        <v>533</v>
      </c>
      <c r="BM50" s="13">
        <v>142</v>
      </c>
      <c r="BN50" s="13">
        <v>142</v>
      </c>
      <c r="BO50" s="13"/>
      <c r="BP50" s="13"/>
      <c r="BQ50" s="13"/>
      <c r="BR50" s="13"/>
      <c r="BS50" s="13"/>
      <c r="BU50" s="13"/>
      <c r="BV50" s="1" t="s">
        <v>538</v>
      </c>
      <c r="BW50" s="13"/>
      <c r="BX50" s="1">
        <v>131</v>
      </c>
      <c r="BY50" s="1">
        <v>142</v>
      </c>
      <c r="CA50" s="1">
        <v>142</v>
      </c>
      <c r="CE50" s="1">
        <v>142</v>
      </c>
      <c r="CF50" s="1">
        <v>142</v>
      </c>
    </row>
    <row r="51" spans="1:84" x14ac:dyDescent="0.2">
      <c r="A51" s="1" t="s">
        <v>394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/>
      <c r="M51" s="19">
        <v>300</v>
      </c>
      <c r="N51" s="19"/>
      <c r="O51" s="19"/>
      <c r="P51" s="19"/>
      <c r="Q51" s="19"/>
      <c r="R51" s="19"/>
      <c r="S51" s="19"/>
      <c r="T51" s="19">
        <v>300</v>
      </c>
      <c r="U51" s="19"/>
      <c r="V51" s="19"/>
      <c r="W51" s="20"/>
      <c r="X51" s="9"/>
      <c r="Y51" s="9"/>
      <c r="Z51" s="49"/>
      <c r="AA51" s="20"/>
      <c r="AB51" s="19"/>
      <c r="AC51" s="9"/>
      <c r="AD51" s="19"/>
      <c r="AE51" s="9">
        <v>1</v>
      </c>
      <c r="AH51" s="1">
        <v>3</v>
      </c>
      <c r="AY51" s="19"/>
      <c r="AZ51" s="19"/>
      <c r="BA51" s="19"/>
      <c r="BB51" s="8"/>
      <c r="BC51" s="8"/>
      <c r="BD51" s="8"/>
      <c r="BE51" s="8"/>
      <c r="BF51" s="8"/>
      <c r="BG51" s="8"/>
      <c r="BI51" s="1" t="s">
        <v>533</v>
      </c>
      <c r="BM51" s="13">
        <v>142</v>
      </c>
      <c r="BN51" s="13">
        <v>142</v>
      </c>
      <c r="BO51" s="13"/>
      <c r="BP51" s="13"/>
      <c r="BQ51" s="13"/>
      <c r="BR51" s="13"/>
      <c r="BS51" s="13"/>
      <c r="BU51" s="13"/>
      <c r="BV51" s="1" t="s">
        <v>538</v>
      </c>
      <c r="BW51" s="13"/>
      <c r="BX51" s="1">
        <v>131</v>
      </c>
      <c r="BY51" s="1">
        <v>142</v>
      </c>
      <c r="CA51" s="1">
        <v>142</v>
      </c>
      <c r="CE51" s="1">
        <v>142</v>
      </c>
      <c r="CF51" s="1">
        <v>142</v>
      </c>
    </row>
    <row r="52" spans="1:84" x14ac:dyDescent="0.2">
      <c r="A52" s="1" t="s">
        <v>394</v>
      </c>
      <c r="B52" s="1" t="s">
        <v>142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/>
      <c r="M52" s="19">
        <v>700</v>
      </c>
      <c r="N52" s="19"/>
      <c r="O52" s="19"/>
      <c r="P52" s="19"/>
      <c r="Q52" s="19"/>
      <c r="R52" s="19"/>
      <c r="S52" s="19"/>
      <c r="T52" s="19">
        <v>700</v>
      </c>
      <c r="U52" s="19"/>
      <c r="V52" s="19"/>
      <c r="W52" s="20"/>
      <c r="X52" s="9"/>
      <c r="Y52" s="9"/>
      <c r="Z52" s="49"/>
      <c r="AA52" s="20"/>
      <c r="AB52" s="19"/>
      <c r="AC52" s="9"/>
      <c r="AD52" s="19"/>
      <c r="AE52" s="9"/>
      <c r="AY52" s="19"/>
      <c r="AZ52" s="19"/>
      <c r="BA52" s="19"/>
      <c r="BB52" s="8"/>
      <c r="BC52" s="8"/>
      <c r="BD52" s="8"/>
      <c r="BE52" s="8"/>
      <c r="BF52" s="8"/>
      <c r="BG52" s="8"/>
      <c r="BM52" s="13">
        <v>142</v>
      </c>
      <c r="BN52" s="13">
        <v>142</v>
      </c>
      <c r="BO52" s="13"/>
      <c r="BP52" s="13"/>
      <c r="BQ52" s="13"/>
      <c r="BR52" s="13"/>
      <c r="BS52" s="13"/>
      <c r="BU52" s="13"/>
      <c r="BV52" s="1" t="s">
        <v>538</v>
      </c>
      <c r="BW52" s="13"/>
      <c r="BY52" s="1">
        <v>142</v>
      </c>
      <c r="CA52" s="1">
        <v>142</v>
      </c>
      <c r="CE52" s="1">
        <v>142</v>
      </c>
      <c r="CF52" s="1">
        <v>142</v>
      </c>
    </row>
    <row r="53" spans="1:84" x14ac:dyDescent="0.2">
      <c r="A53" s="1" t="s">
        <v>394</v>
      </c>
      <c r="B53" s="1" t="s">
        <v>142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/>
      <c r="M53" s="19">
        <v>1200</v>
      </c>
      <c r="N53" s="19"/>
      <c r="O53" s="19"/>
      <c r="P53" s="19"/>
      <c r="Q53" s="19"/>
      <c r="R53" s="19"/>
      <c r="S53" s="19"/>
      <c r="T53" s="19">
        <v>1200</v>
      </c>
      <c r="U53" s="19"/>
      <c r="V53" s="19"/>
      <c r="W53" s="20"/>
      <c r="X53" s="9"/>
      <c r="Y53" s="9"/>
      <c r="Z53" s="49"/>
      <c r="AA53" s="20"/>
      <c r="AB53" s="19"/>
      <c r="AC53" s="9"/>
      <c r="AD53" s="19"/>
      <c r="AE53" s="9"/>
      <c r="AY53" s="19"/>
      <c r="AZ53" s="19"/>
      <c r="BA53" s="19"/>
      <c r="BB53" s="8"/>
      <c r="BC53" s="8"/>
      <c r="BD53" s="8"/>
      <c r="BE53" s="8"/>
      <c r="BF53" s="8"/>
      <c r="BG53" s="8"/>
      <c r="BM53" s="13">
        <v>142</v>
      </c>
      <c r="BN53" s="13">
        <v>142</v>
      </c>
      <c r="BO53" s="13"/>
      <c r="BP53" s="13"/>
      <c r="BQ53" s="13"/>
      <c r="BR53" s="13"/>
      <c r="BS53" s="13"/>
      <c r="BU53" s="13"/>
      <c r="BV53" s="1" t="s">
        <v>538</v>
      </c>
      <c r="BW53" s="13"/>
      <c r="BY53" s="1">
        <v>142</v>
      </c>
      <c r="CA53" s="1">
        <v>142</v>
      </c>
      <c r="CE53" s="1">
        <v>142</v>
      </c>
      <c r="CF53" s="1">
        <v>142</v>
      </c>
    </row>
    <row r="54" spans="1:84" x14ac:dyDescent="0.2">
      <c r="A54" s="1" t="s">
        <v>167</v>
      </c>
      <c r="B54" s="1" t="s">
        <v>142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/>
      <c r="M54" s="19">
        <v>0</v>
      </c>
      <c r="N54" s="19"/>
      <c r="O54" s="19"/>
      <c r="P54" s="19"/>
      <c r="Q54" s="19"/>
      <c r="R54" s="19"/>
      <c r="S54" s="19"/>
      <c r="T54" s="19">
        <v>0</v>
      </c>
      <c r="U54" s="19"/>
      <c r="V54" s="19"/>
      <c r="W54" s="20"/>
      <c r="X54" s="9"/>
      <c r="Y54" s="9"/>
      <c r="Z54" s="49"/>
      <c r="AA54" s="20"/>
      <c r="AB54" s="19"/>
      <c r="AC54" s="9"/>
      <c r="AD54" s="19"/>
      <c r="AE54" s="9"/>
      <c r="AI54" s="1">
        <v>2</v>
      </c>
      <c r="AM54" s="1">
        <v>5</v>
      </c>
      <c r="AO54" s="1">
        <v>0</v>
      </c>
      <c r="AP54" s="1">
        <v>12</v>
      </c>
      <c r="AQ54" s="1">
        <v>3</v>
      </c>
      <c r="AS54" s="1" t="s">
        <v>534</v>
      </c>
      <c r="AY54" s="19"/>
      <c r="AZ54" s="19"/>
      <c r="BA54" s="19"/>
      <c r="BB54" s="8"/>
      <c r="BC54" s="8"/>
      <c r="BD54" s="8"/>
      <c r="BE54" s="8"/>
      <c r="BF54" s="8"/>
      <c r="BG54" s="8">
        <f>67*Umrechnungsfaktoren!$B$15/Umrechnungsfaktoren!$B$13</f>
        <v>69.2</v>
      </c>
      <c r="BH54" s="1">
        <f>355*Umrechnungsfaktoren!$B$15/Umrechnungsfaktoren!$B$13</f>
        <v>366.65671641791045</v>
      </c>
      <c r="BM54" s="13">
        <v>142</v>
      </c>
      <c r="BN54" s="13">
        <v>142</v>
      </c>
      <c r="BO54" s="13"/>
      <c r="BP54" s="13"/>
      <c r="BQ54" s="13"/>
      <c r="BR54" s="13"/>
      <c r="BS54" s="13"/>
      <c r="BU54" s="13"/>
      <c r="BV54" s="1" t="s">
        <v>538</v>
      </c>
      <c r="BW54" s="13"/>
      <c r="BX54" s="1" t="s">
        <v>535</v>
      </c>
      <c r="BY54" s="1" t="s">
        <v>536</v>
      </c>
      <c r="CA54" s="1">
        <v>142</v>
      </c>
      <c r="CE54" s="1">
        <v>142</v>
      </c>
      <c r="CF54" s="1">
        <v>142</v>
      </c>
    </row>
    <row r="55" spans="1:84" x14ac:dyDescent="0.2">
      <c r="A55" s="1" t="s">
        <v>167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/>
      <c r="M55" s="19">
        <v>700</v>
      </c>
      <c r="N55" s="19"/>
      <c r="O55" s="19"/>
      <c r="P55" s="19"/>
      <c r="Q55" s="19"/>
      <c r="R55" s="19"/>
      <c r="S55" s="19"/>
      <c r="T55" s="19">
        <v>700</v>
      </c>
      <c r="U55" s="19"/>
      <c r="V55" s="19"/>
      <c r="W55" s="20"/>
      <c r="X55" s="9"/>
      <c r="Y55" s="9"/>
      <c r="Z55" s="49"/>
      <c r="AA55" s="20"/>
      <c r="AB55" s="19"/>
      <c r="AC55" s="9"/>
      <c r="AD55" s="19"/>
      <c r="AE55" s="9"/>
      <c r="AI55" s="1">
        <v>2</v>
      </c>
      <c r="AM55" s="1">
        <v>5</v>
      </c>
      <c r="AO55" s="1">
        <v>0</v>
      </c>
      <c r="AP55" s="1">
        <v>12</v>
      </c>
      <c r="AQ55" s="1">
        <v>3</v>
      </c>
      <c r="AS55" s="1" t="s">
        <v>534</v>
      </c>
      <c r="AY55" s="19"/>
      <c r="AZ55" s="19"/>
      <c r="BA55" s="19"/>
      <c r="BB55" s="8"/>
      <c r="BC55" s="8"/>
      <c r="BD55" s="8"/>
      <c r="BE55" s="8"/>
      <c r="BF55" s="8"/>
      <c r="BG55" s="8">
        <f>59*Umrechnungsfaktoren!$B$15/Umrechnungsfaktoren!$B$13</f>
        <v>60.937313432835815</v>
      </c>
      <c r="BH55" s="1">
        <f>310*Umrechnungsfaktoren!$B$15/Umrechnungsfaktoren!$B$13</f>
        <v>320.17910447761193</v>
      </c>
      <c r="BM55" s="13">
        <v>142</v>
      </c>
      <c r="BN55" s="13">
        <v>142</v>
      </c>
      <c r="BO55" s="13"/>
      <c r="BP55" s="13"/>
      <c r="BQ55" s="13"/>
      <c r="BR55" s="13"/>
      <c r="BS55" s="13"/>
      <c r="BU55" s="13"/>
      <c r="BV55" s="1" t="s">
        <v>538</v>
      </c>
      <c r="BW55" s="13"/>
      <c r="BX55" s="1">
        <v>142</v>
      </c>
      <c r="BY55" s="1">
        <v>142</v>
      </c>
      <c r="CA55" s="1">
        <v>142</v>
      </c>
      <c r="CE55" s="1">
        <v>142</v>
      </c>
      <c r="CF55" s="1">
        <v>142</v>
      </c>
    </row>
    <row r="56" spans="1:84" x14ac:dyDescent="0.2">
      <c r="A56" s="1" t="s">
        <v>167</v>
      </c>
      <c r="B56" s="1" t="s">
        <v>142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/>
      <c r="M56" s="19">
        <v>1600</v>
      </c>
      <c r="N56" s="19"/>
      <c r="O56" s="19"/>
      <c r="P56" s="19"/>
      <c r="Q56" s="19"/>
      <c r="R56" s="19"/>
      <c r="S56" s="19"/>
      <c r="T56" s="19">
        <v>1600</v>
      </c>
      <c r="U56" s="19"/>
      <c r="V56" s="19"/>
      <c r="W56" s="20"/>
      <c r="X56" s="9"/>
      <c r="Y56" s="9"/>
      <c r="Z56" s="49"/>
      <c r="AA56" s="20"/>
      <c r="AB56" s="19"/>
      <c r="AC56" s="9"/>
      <c r="AD56" s="19"/>
      <c r="AE56" s="9"/>
      <c r="AI56" s="1">
        <v>2</v>
      </c>
      <c r="AM56" s="1">
        <v>5</v>
      </c>
      <c r="AO56" s="1">
        <v>0</v>
      </c>
      <c r="AP56" s="1">
        <v>12</v>
      </c>
      <c r="AQ56" s="1">
        <v>3</v>
      </c>
      <c r="AS56" s="1" t="s">
        <v>534</v>
      </c>
      <c r="AY56" s="19"/>
      <c r="AZ56" s="19"/>
      <c r="BA56" s="19"/>
      <c r="BB56" s="8"/>
      <c r="BC56" s="8"/>
      <c r="BD56" s="8"/>
      <c r="BE56" s="8"/>
      <c r="BF56" s="8"/>
      <c r="BG56" s="8">
        <f>50*Umrechnungsfaktoren!$B$15/Umrechnungsfaktoren!$B$13</f>
        <v>51.64179104477612</v>
      </c>
      <c r="BH56" s="1">
        <f>265*Umrechnungsfaktoren!$B$15/Umrechnungsfaktoren!$B$13</f>
        <v>273.70149253731341</v>
      </c>
      <c r="BM56" s="13">
        <v>142</v>
      </c>
      <c r="BN56" s="13">
        <v>142</v>
      </c>
      <c r="BO56" s="13"/>
      <c r="BP56" s="13"/>
      <c r="BQ56" s="13"/>
      <c r="BR56" s="13"/>
      <c r="BS56" s="13"/>
      <c r="BU56" s="13"/>
      <c r="BV56" s="1" t="s">
        <v>538</v>
      </c>
      <c r="BW56" s="13"/>
      <c r="BX56" s="1">
        <v>142</v>
      </c>
      <c r="BY56" s="1">
        <v>142</v>
      </c>
      <c r="CA56" s="1">
        <v>142</v>
      </c>
      <c r="CE56" s="1">
        <v>142</v>
      </c>
      <c r="CF56" s="1">
        <v>142</v>
      </c>
    </row>
    <row r="57" spans="1:84" x14ac:dyDescent="0.2">
      <c r="A57" s="1" t="s">
        <v>167</v>
      </c>
      <c r="B57" s="1" t="s">
        <v>142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/>
      <c r="M57" s="19">
        <v>2700</v>
      </c>
      <c r="N57" s="19"/>
      <c r="O57" s="19"/>
      <c r="P57" s="19"/>
      <c r="Q57" s="19"/>
      <c r="R57" s="19"/>
      <c r="S57" s="19"/>
      <c r="T57" s="19">
        <v>2700</v>
      </c>
      <c r="U57" s="19"/>
      <c r="V57" s="19"/>
      <c r="W57" s="20"/>
      <c r="X57" s="9"/>
      <c r="Y57" s="9"/>
      <c r="Z57" s="49"/>
      <c r="AA57" s="20"/>
      <c r="AB57" s="19"/>
      <c r="AC57" s="9"/>
      <c r="AD57" s="19"/>
      <c r="AE57" s="9"/>
      <c r="AI57" s="1">
        <v>2</v>
      </c>
      <c r="AM57" s="1">
        <v>5</v>
      </c>
      <c r="AO57" s="1">
        <v>0</v>
      </c>
      <c r="AP57" s="1">
        <v>12</v>
      </c>
      <c r="AQ57" s="1">
        <v>3</v>
      </c>
      <c r="AS57" s="1" t="s">
        <v>534</v>
      </c>
      <c r="AY57" s="19"/>
      <c r="AZ57" s="19"/>
      <c r="BA57" s="19"/>
      <c r="BB57" s="8"/>
      <c r="BC57" s="8"/>
      <c r="BD57" s="8"/>
      <c r="BE57" s="8"/>
      <c r="BF57" s="8"/>
      <c r="BG57" s="8">
        <f>42*Umrechnungsfaktoren!$B$15/Umrechnungsfaktoren!$B$13</f>
        <v>43.379104477611939</v>
      </c>
      <c r="BH57" s="1">
        <f>220*Umrechnungsfaktoren!$B$15/Umrechnungsfaktoren!$B$13</f>
        <v>227.22388059701493</v>
      </c>
      <c r="BM57" s="13">
        <v>142</v>
      </c>
      <c r="BN57" s="13">
        <v>142</v>
      </c>
      <c r="BO57" s="13"/>
      <c r="BP57" s="13"/>
      <c r="BQ57" s="13"/>
      <c r="BR57" s="13"/>
      <c r="BS57" s="13"/>
      <c r="BU57" s="13"/>
      <c r="BV57" s="1" t="s">
        <v>538</v>
      </c>
      <c r="BW57" s="13"/>
      <c r="BX57" s="1">
        <v>142</v>
      </c>
      <c r="BY57" s="1">
        <v>142</v>
      </c>
      <c r="CA57" s="1">
        <v>142</v>
      </c>
      <c r="CE57" s="1">
        <v>142</v>
      </c>
      <c r="CF57" s="1">
        <v>142</v>
      </c>
    </row>
    <row r="58" spans="1:84" x14ac:dyDescent="0.2">
      <c r="A58" s="1" t="s">
        <v>542</v>
      </c>
      <c r="B58" s="1" t="s">
        <v>129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20"/>
      <c r="X58" s="9"/>
      <c r="Y58" s="9"/>
      <c r="Z58" s="49"/>
      <c r="AA58" s="20"/>
      <c r="AB58" s="19"/>
      <c r="AC58" s="9"/>
      <c r="AD58" s="19"/>
      <c r="AE58" s="9"/>
      <c r="AG58" s="68"/>
      <c r="AH58" s="68"/>
      <c r="AJ58" s="1">
        <v>1</v>
      </c>
      <c r="AK58" s="1">
        <v>8</v>
      </c>
      <c r="AY58" s="19"/>
      <c r="AZ58" s="19"/>
      <c r="BA58" s="19"/>
      <c r="BB58" s="8"/>
      <c r="BC58" s="8"/>
      <c r="BD58" s="8"/>
      <c r="BE58" s="8"/>
      <c r="BF58" s="8"/>
      <c r="BG58" s="8"/>
      <c r="BM58" s="13"/>
      <c r="BO58" s="13"/>
      <c r="BP58" s="13"/>
      <c r="BQ58" s="13"/>
      <c r="BR58" s="13"/>
      <c r="BS58" s="13"/>
      <c r="BU58" s="13"/>
      <c r="BV58" s="13"/>
      <c r="BW58" s="13"/>
      <c r="BX58" s="1">
        <v>211</v>
      </c>
    </row>
    <row r="59" spans="1:84" x14ac:dyDescent="0.2">
      <c r="A59" s="1" t="s">
        <v>543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20"/>
      <c r="X59" s="9"/>
      <c r="Y59" s="9"/>
      <c r="Z59" s="49"/>
      <c r="AA59" s="20"/>
      <c r="AB59" s="19"/>
      <c r="AC59" s="9"/>
      <c r="AD59" s="19"/>
      <c r="AE59" s="9"/>
      <c r="AG59" s="1">
        <v>0.25</v>
      </c>
      <c r="AH59" s="1">
        <v>1</v>
      </c>
      <c r="AY59" s="19"/>
      <c r="AZ59" s="19"/>
      <c r="BA59" s="19"/>
      <c r="BB59" s="8"/>
      <c r="BC59" s="8"/>
      <c r="BD59" s="8"/>
      <c r="BE59" s="8"/>
      <c r="BF59" s="8"/>
      <c r="BG59" s="8"/>
      <c r="BM59" s="13"/>
      <c r="BO59" s="13"/>
      <c r="BP59" s="13"/>
      <c r="BQ59" s="13"/>
      <c r="BR59" s="13"/>
      <c r="BS59" s="13"/>
      <c r="BU59" s="13"/>
      <c r="BV59" s="13"/>
      <c r="BW59" s="13"/>
      <c r="BX59" s="1">
        <v>211</v>
      </c>
    </row>
    <row r="60" spans="1:84" x14ac:dyDescent="0.2">
      <c r="A60" s="1" t="s">
        <v>544</v>
      </c>
      <c r="B60" s="1" t="s">
        <v>129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20"/>
      <c r="X60" s="9"/>
      <c r="Y60" s="9"/>
      <c r="Z60" s="49"/>
      <c r="AA60" s="20"/>
      <c r="AB60" s="19"/>
      <c r="AC60" s="9"/>
      <c r="AD60" s="19"/>
      <c r="AE60" s="9"/>
      <c r="AG60" s="1">
        <f>1/60</f>
        <v>1.6666666666666666E-2</v>
      </c>
      <c r="AH60" s="1">
        <v>0.5</v>
      </c>
      <c r="AY60" s="19"/>
      <c r="AZ60" s="19"/>
      <c r="BA60" s="19"/>
      <c r="BB60" s="8"/>
      <c r="BC60" s="8"/>
      <c r="BD60" s="8"/>
      <c r="BE60" s="8"/>
      <c r="BF60" s="8"/>
      <c r="BG60" s="8"/>
      <c r="BM60" s="13"/>
      <c r="BO60" s="13"/>
      <c r="BP60" s="13"/>
      <c r="BQ60" s="13"/>
      <c r="BR60" s="13"/>
      <c r="BS60" s="13"/>
      <c r="BU60" s="13"/>
      <c r="BV60" s="13"/>
      <c r="BW60" s="13"/>
      <c r="BX60" s="1">
        <v>211</v>
      </c>
    </row>
    <row r="61" spans="1:84" x14ac:dyDescent="0.2">
      <c r="A61" s="1" t="s">
        <v>549</v>
      </c>
      <c r="B61" s="1" t="s">
        <v>129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/>
      <c r="M61" s="19">
        <v>1177</v>
      </c>
      <c r="N61" s="19"/>
      <c r="O61" s="19"/>
      <c r="P61" s="19"/>
      <c r="Q61" s="19"/>
      <c r="R61" s="19"/>
      <c r="S61" s="19"/>
      <c r="T61" s="19">
        <v>1177</v>
      </c>
      <c r="U61" s="19"/>
      <c r="V61" s="19"/>
      <c r="W61" s="20"/>
      <c r="X61" s="9"/>
      <c r="Y61" s="9"/>
      <c r="Z61" s="49">
        <v>500</v>
      </c>
      <c r="AA61" s="20"/>
      <c r="AB61" s="19"/>
      <c r="AC61" s="9"/>
      <c r="AD61" s="19"/>
      <c r="AE61" s="9"/>
      <c r="AS61" s="1" t="s">
        <v>558</v>
      </c>
      <c r="AY61" s="19"/>
      <c r="AZ61" s="19"/>
      <c r="BA61" s="25">
        <f>6.2*Umrechnungsfaktoren!$B$15/Umrechnungsfaktoren!$B$13</f>
        <v>6.4035820895522386</v>
      </c>
      <c r="BB61" s="8"/>
      <c r="BC61" s="8"/>
      <c r="BD61" s="8"/>
      <c r="BE61" s="8"/>
      <c r="BF61" s="8"/>
      <c r="BG61" s="8"/>
      <c r="BM61" s="13"/>
      <c r="BO61" s="13"/>
      <c r="BP61" s="13"/>
      <c r="BQ61" s="13"/>
      <c r="BR61" s="13"/>
      <c r="BS61" s="13"/>
      <c r="BU61" s="13"/>
      <c r="BV61" s="13"/>
      <c r="BW61" s="13"/>
      <c r="CC61" s="1" t="s">
        <v>559</v>
      </c>
      <c r="CF61" s="1">
        <v>244</v>
      </c>
    </row>
    <row r="62" spans="1:84" x14ac:dyDescent="0.2">
      <c r="A62" s="1" t="s">
        <v>549</v>
      </c>
      <c r="B62" s="1" t="s">
        <v>129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/>
      <c r="M62" s="19">
        <v>1101</v>
      </c>
      <c r="N62" s="19"/>
      <c r="O62" s="19"/>
      <c r="P62" s="19"/>
      <c r="Q62" s="19"/>
      <c r="R62" s="19"/>
      <c r="S62" s="19"/>
      <c r="T62" s="19">
        <v>1101</v>
      </c>
      <c r="U62" s="19"/>
      <c r="V62" s="19"/>
      <c r="W62" s="20"/>
      <c r="X62" s="9"/>
      <c r="Y62" s="9"/>
      <c r="Z62" s="49">
        <v>500</v>
      </c>
      <c r="AA62" s="20"/>
      <c r="AB62" s="19"/>
      <c r="AC62" s="9"/>
      <c r="AD62" s="19"/>
      <c r="AE62" s="9"/>
      <c r="AS62" s="1" t="s">
        <v>558</v>
      </c>
      <c r="AY62" s="19"/>
      <c r="AZ62" s="19"/>
      <c r="BA62" s="25">
        <v>5.6</v>
      </c>
      <c r="BB62" s="8"/>
      <c r="BC62" s="8"/>
      <c r="BD62" s="8"/>
      <c r="BE62" s="8"/>
      <c r="BF62" s="8"/>
      <c r="BG62" s="8"/>
      <c r="BM62" s="13"/>
      <c r="BO62" s="13"/>
      <c r="BP62" s="13"/>
      <c r="BQ62" s="13"/>
      <c r="BR62" s="13"/>
      <c r="BS62" s="13"/>
      <c r="BU62" s="13"/>
      <c r="BV62" s="13"/>
      <c r="BW62" s="13"/>
      <c r="CC62" s="1" t="s">
        <v>559</v>
      </c>
      <c r="CF62" s="1">
        <v>244</v>
      </c>
    </row>
    <row r="63" spans="1:84" x14ac:dyDescent="0.2">
      <c r="A63" s="1" t="s">
        <v>549</v>
      </c>
      <c r="B63" s="1" t="s">
        <v>129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/>
      <c r="M63" s="19">
        <v>1142</v>
      </c>
      <c r="N63" s="19"/>
      <c r="O63" s="19"/>
      <c r="P63" s="19"/>
      <c r="Q63" s="19"/>
      <c r="R63" s="19"/>
      <c r="S63" s="19"/>
      <c r="T63" s="19">
        <v>1142</v>
      </c>
      <c r="U63" s="19"/>
      <c r="V63" s="19"/>
      <c r="W63" s="20"/>
      <c r="X63" s="9"/>
      <c r="Y63" s="9"/>
      <c r="Z63" s="49">
        <v>500</v>
      </c>
      <c r="AA63" s="20"/>
      <c r="AB63" s="19"/>
      <c r="AC63" s="9"/>
      <c r="AD63" s="19"/>
      <c r="AE63" s="9"/>
      <c r="AS63" s="1" t="s">
        <v>558</v>
      </c>
      <c r="AY63" s="19"/>
      <c r="AZ63" s="19"/>
      <c r="BA63" s="25">
        <v>5.3</v>
      </c>
      <c r="BB63" s="8"/>
      <c r="BC63" s="8"/>
      <c r="BD63" s="8"/>
      <c r="BE63" s="8"/>
      <c r="BF63" s="8"/>
      <c r="BG63" s="8"/>
      <c r="BM63" s="13"/>
      <c r="BO63" s="13"/>
      <c r="BP63" s="13"/>
      <c r="BQ63" s="13"/>
      <c r="BR63" s="13"/>
      <c r="BS63" s="13"/>
      <c r="BU63" s="13"/>
      <c r="BV63" s="13"/>
      <c r="BW63" s="13"/>
      <c r="CC63" s="1" t="s">
        <v>559</v>
      </c>
      <c r="CF63" s="1">
        <v>244</v>
      </c>
    </row>
    <row r="64" spans="1:84" x14ac:dyDescent="0.2">
      <c r="A64" s="1" t="s">
        <v>549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/>
      <c r="M64" s="19">
        <v>1179</v>
      </c>
      <c r="N64" s="19"/>
      <c r="O64" s="19"/>
      <c r="P64" s="19"/>
      <c r="Q64" s="19"/>
      <c r="R64" s="19"/>
      <c r="S64" s="19"/>
      <c r="T64" s="19">
        <v>1179</v>
      </c>
      <c r="U64" s="19"/>
      <c r="V64" s="19"/>
      <c r="W64" s="20"/>
      <c r="X64" s="9"/>
      <c r="Y64" s="9"/>
      <c r="Z64" s="49">
        <v>500</v>
      </c>
      <c r="AA64" s="20"/>
      <c r="AB64" s="19"/>
      <c r="AC64" s="9"/>
      <c r="AD64" s="19"/>
      <c r="AE64" s="9"/>
      <c r="AS64" s="1" t="s">
        <v>558</v>
      </c>
      <c r="AY64" s="19"/>
      <c r="AZ64" s="19"/>
      <c r="BA64" s="25">
        <v>4.9000000000000004</v>
      </c>
      <c r="BB64" s="8"/>
      <c r="BC64" s="8"/>
      <c r="BD64" s="8"/>
      <c r="BE64" s="8"/>
      <c r="BF64" s="8"/>
      <c r="BG64" s="8"/>
      <c r="BM64" s="13"/>
      <c r="BO64" s="13"/>
      <c r="BP64" s="13"/>
      <c r="BQ64" s="13"/>
      <c r="BR64" s="13"/>
      <c r="BS64" s="13"/>
      <c r="BU64" s="13"/>
      <c r="BV64" s="13"/>
      <c r="BW64" s="13"/>
      <c r="CC64" s="1" t="s">
        <v>559</v>
      </c>
      <c r="CF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BO6"/>
  <sheetViews>
    <sheetView workbookViewId="0">
      <pane xSplit="3" ySplit="1" topLeftCell="AQ2" activePane="bottomRight" state="frozen"/>
      <selection pane="topRight" activeCell="D1" sqref="D1"/>
      <selection pane="bottomLeft" activeCell="A2" sqref="A2"/>
      <selection pane="bottomRight" activeCell="AW1" sqref="AW1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2" width="24.5703125" style="1" customWidth="1"/>
    <col min="13" max="13" width="24.42578125" style="1" bestFit="1" customWidth="1"/>
    <col min="14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1174</v>
      </c>
      <c r="I1" s="2" t="s">
        <v>50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332</v>
      </c>
      <c r="Q1" s="2" t="s">
        <v>237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431</v>
      </c>
      <c r="X1" s="2" t="s">
        <v>227</v>
      </c>
      <c r="Y1" s="2" t="s">
        <v>159</v>
      </c>
      <c r="Z1" s="2" t="s">
        <v>229</v>
      </c>
      <c r="AA1" s="2" t="s">
        <v>230</v>
      </c>
      <c r="AB1" s="2" t="s">
        <v>160</v>
      </c>
      <c r="AC1" s="2" t="s">
        <v>216</v>
      </c>
      <c r="AD1" s="2" t="s">
        <v>217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335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1161</v>
      </c>
      <c r="AZ1" s="2" t="s">
        <v>238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C2" s="1">
        <v>2014</v>
      </c>
      <c r="D2" s="1">
        <v>0</v>
      </c>
      <c r="E2" s="1">
        <v>1</v>
      </c>
      <c r="F2" s="1">
        <v>0</v>
      </c>
      <c r="G2" s="19"/>
      <c r="H2" s="19">
        <v>484</v>
      </c>
      <c r="I2" s="19"/>
      <c r="J2" s="19"/>
      <c r="K2" s="19"/>
      <c r="L2" s="19"/>
      <c r="M2" s="19"/>
      <c r="N2" s="19"/>
      <c r="O2" s="9"/>
      <c r="P2" s="9">
        <v>0.69</v>
      </c>
      <c r="Q2" s="9"/>
      <c r="R2" s="20">
        <v>696</v>
      </c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T2" s="1" t="s">
        <v>333</v>
      </c>
      <c r="AU2" s="1" t="s">
        <v>333</v>
      </c>
      <c r="AV2" s="13">
        <v>54</v>
      </c>
      <c r="AX2" s="13"/>
      <c r="AY2" s="13">
        <v>54</v>
      </c>
      <c r="AZ2" s="13"/>
      <c r="BA2" s="13">
        <v>54</v>
      </c>
      <c r="BC2" s="13"/>
      <c r="BD2" s="13"/>
    </row>
    <row r="3" spans="1:67" x14ac:dyDescent="0.2">
      <c r="A3" s="1" t="s">
        <v>330</v>
      </c>
      <c r="B3" s="1" t="s">
        <v>129</v>
      </c>
      <c r="C3" s="1">
        <v>2014</v>
      </c>
      <c r="D3" s="1">
        <v>0</v>
      </c>
      <c r="E3" s="1">
        <v>1</v>
      </c>
      <c r="F3" s="1">
        <v>0</v>
      </c>
      <c r="G3" s="19"/>
      <c r="H3" s="19">
        <v>932</v>
      </c>
      <c r="I3" s="19"/>
      <c r="J3" s="19"/>
      <c r="K3" s="19"/>
      <c r="L3" s="19"/>
      <c r="M3" s="19"/>
      <c r="N3" s="19"/>
      <c r="O3" s="20"/>
      <c r="P3" s="9">
        <v>0.52</v>
      </c>
      <c r="Q3" s="9"/>
      <c r="R3" s="20">
        <v>1804</v>
      </c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T3" s="1" t="s">
        <v>333</v>
      </c>
      <c r="AU3" s="1" t="s">
        <v>333</v>
      </c>
      <c r="AV3" s="13">
        <v>54</v>
      </c>
      <c r="AX3" s="13"/>
      <c r="AY3" s="13">
        <v>54</v>
      </c>
      <c r="AZ3" s="13"/>
      <c r="BA3" s="13">
        <v>54</v>
      </c>
      <c r="BC3" s="13"/>
      <c r="BD3" s="13"/>
    </row>
    <row r="4" spans="1:67" x14ac:dyDescent="0.2">
      <c r="A4" s="1" t="s">
        <v>953</v>
      </c>
      <c r="B4" s="1" t="s">
        <v>129</v>
      </c>
      <c r="C4" s="1">
        <v>2014</v>
      </c>
      <c r="D4" s="1">
        <v>0</v>
      </c>
      <c r="E4" s="1">
        <v>1</v>
      </c>
      <c r="F4" s="1">
        <v>0</v>
      </c>
      <c r="G4" s="19"/>
      <c r="H4" s="19">
        <v>219</v>
      </c>
      <c r="I4" s="19"/>
      <c r="J4" s="19"/>
      <c r="K4" s="19"/>
      <c r="L4" s="19"/>
      <c r="M4" s="19"/>
      <c r="N4" s="19"/>
      <c r="O4" s="20"/>
      <c r="P4" s="9">
        <v>0.6</v>
      </c>
      <c r="Q4" s="9"/>
      <c r="R4" s="20">
        <v>365</v>
      </c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T4" s="1" t="s">
        <v>333</v>
      </c>
      <c r="AU4" s="1" t="s">
        <v>333</v>
      </c>
      <c r="AV4" s="13">
        <v>54</v>
      </c>
      <c r="AX4" s="13"/>
      <c r="AY4" s="13">
        <v>54</v>
      </c>
      <c r="AZ4" s="13"/>
      <c r="BA4" s="13">
        <v>54</v>
      </c>
      <c r="BC4" s="13"/>
      <c r="BD4" s="13"/>
    </row>
    <row r="5" spans="1:67" x14ac:dyDescent="0.2">
      <c r="A5" s="1" t="s">
        <v>84</v>
      </c>
      <c r="B5" s="1" t="s">
        <v>129</v>
      </c>
      <c r="C5" s="1">
        <v>2014</v>
      </c>
      <c r="D5" s="1">
        <v>0</v>
      </c>
      <c r="E5" s="1">
        <v>1</v>
      </c>
      <c r="F5" s="1">
        <v>0</v>
      </c>
      <c r="G5" s="19"/>
      <c r="H5" s="19">
        <v>892</v>
      </c>
      <c r="I5" s="19"/>
      <c r="J5" s="19"/>
      <c r="K5" s="19"/>
      <c r="L5" s="19"/>
      <c r="M5" s="19"/>
      <c r="N5" s="19"/>
      <c r="O5" s="20"/>
      <c r="P5" s="9">
        <v>1</v>
      </c>
      <c r="Q5" s="9"/>
      <c r="R5" s="20">
        <v>90</v>
      </c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T5" s="1" t="s">
        <v>333</v>
      </c>
      <c r="AU5" s="1" t="s">
        <v>333</v>
      </c>
      <c r="AV5" s="13">
        <v>54</v>
      </c>
      <c r="AX5" s="13"/>
      <c r="AY5" s="13">
        <v>54</v>
      </c>
      <c r="AZ5" s="13"/>
      <c r="BA5" s="13">
        <v>54</v>
      </c>
      <c r="BC5" s="13"/>
      <c r="BD5" s="13"/>
    </row>
    <row r="6" spans="1:67" x14ac:dyDescent="0.2">
      <c r="A6" s="1" t="s">
        <v>190</v>
      </c>
      <c r="B6" s="1" t="s">
        <v>129</v>
      </c>
      <c r="C6" s="1">
        <v>2014</v>
      </c>
      <c r="D6" s="1">
        <v>0</v>
      </c>
      <c r="E6" s="1">
        <v>1</v>
      </c>
      <c r="F6" s="1">
        <v>0</v>
      </c>
      <c r="G6" s="19"/>
      <c r="H6" s="19">
        <v>1473</v>
      </c>
      <c r="I6" s="19"/>
      <c r="J6" s="19"/>
      <c r="K6" s="19"/>
      <c r="L6" s="19"/>
      <c r="M6" s="19"/>
      <c r="N6" s="19"/>
      <c r="O6" s="20"/>
      <c r="P6" s="9">
        <v>0.73</v>
      </c>
      <c r="Q6" s="9"/>
      <c r="R6" s="20">
        <v>2047</v>
      </c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T6" s="1" t="s">
        <v>333</v>
      </c>
      <c r="AU6" s="1" t="s">
        <v>333</v>
      </c>
      <c r="AV6" s="13">
        <v>54</v>
      </c>
      <c r="AX6" s="13"/>
      <c r="AY6" s="13">
        <v>54</v>
      </c>
      <c r="AZ6" s="13"/>
      <c r="BA6" s="13">
        <v>54</v>
      </c>
      <c r="BC6" s="13"/>
      <c r="BD6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BF9"/>
  <sheetViews>
    <sheetView zoomScale="85" zoomScaleNormal="85"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V1" sqref="V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4.42578125" style="17" bestFit="1" customWidth="1"/>
    <col min="8" max="8" width="32.28515625" style="17" bestFit="1" customWidth="1"/>
    <col min="9" max="9" width="20.28515625" style="17" bestFit="1" customWidth="1"/>
    <col min="10" max="10" width="47.5703125" style="17" bestFit="1" customWidth="1"/>
    <col min="11" max="11" width="24.7109375" style="17" bestFit="1" customWidth="1"/>
    <col min="12" max="12" width="32.5703125" style="17" bestFit="1" customWidth="1"/>
    <col min="13" max="13" width="20.5703125" style="17" bestFit="1" customWidth="1"/>
    <col min="14" max="14" width="21.5703125" style="17" bestFit="1" customWidth="1"/>
    <col min="15" max="15" width="20.140625" style="17" bestFit="1" customWidth="1"/>
    <col min="16" max="16" width="24.42578125" style="17" bestFit="1" customWidth="1"/>
    <col min="17" max="17" width="31.5703125" style="17" bestFit="1" customWidth="1"/>
    <col min="18" max="18" width="22.42578125" style="17" bestFit="1" customWidth="1"/>
    <col min="19" max="19" width="21" style="17" bestFit="1" customWidth="1"/>
    <col min="20" max="20" width="25.42578125" style="17" bestFit="1" customWidth="1"/>
    <col min="21" max="21" width="22.7109375" style="17" bestFit="1" customWidth="1"/>
    <col min="22" max="22" width="21.5703125" style="17" bestFit="1" customWidth="1"/>
    <col min="23" max="23" width="21.85546875" style="17" bestFit="1" customWidth="1"/>
    <col min="24" max="24" width="21.7109375" style="17" bestFit="1" customWidth="1"/>
    <col min="25" max="25" width="24.85546875" style="17" bestFit="1" customWidth="1"/>
    <col min="26" max="26" width="57.85546875" style="17" bestFit="1" customWidth="1"/>
    <col min="27" max="27" width="33.140625" style="17" bestFit="1" customWidth="1"/>
    <col min="28" max="28" width="30.85546875" style="17" bestFit="1" customWidth="1"/>
    <col min="29" max="29" width="37.42578125" style="17" bestFit="1" customWidth="1"/>
    <col min="30" max="30" width="38" style="17" bestFit="1" customWidth="1"/>
    <col min="31" max="31" width="32.7109375" style="17" bestFit="1" customWidth="1"/>
    <col min="32" max="32" width="27.5703125" style="17" bestFit="1" customWidth="1"/>
    <col min="33" max="33" width="26.85546875" style="17" bestFit="1" customWidth="1"/>
    <col min="34" max="34" width="29" style="17" bestFit="1" customWidth="1"/>
    <col min="35" max="35" width="21.85546875" style="17" bestFit="1" customWidth="1"/>
    <col min="36" max="36" width="47.5703125" style="17" bestFit="1" customWidth="1"/>
    <col min="37" max="37" width="89.85546875" style="17" bestFit="1" customWidth="1"/>
    <col min="38" max="38" width="29.5703125" style="17" bestFit="1" customWidth="1"/>
    <col min="39" max="39" width="24.42578125" style="17" bestFit="1" customWidth="1"/>
    <col min="40" max="40" width="26.42578125" style="17" bestFit="1" customWidth="1"/>
    <col min="41" max="41" width="26.7109375" style="17" bestFit="1" customWidth="1"/>
    <col min="42" max="42" width="27.7109375" style="17" bestFit="1" customWidth="1"/>
    <col min="43" max="43" width="30.85546875" style="17" bestFit="1" customWidth="1"/>
    <col min="44" max="44" width="37.5703125" style="17" bestFit="1" customWidth="1"/>
    <col min="45" max="45" width="28.7109375" style="17" bestFit="1" customWidth="1"/>
    <col min="46" max="46" width="31.5703125" style="17" bestFit="1" customWidth="1"/>
    <col min="47" max="47" width="30.140625" style="17" bestFit="1" customWidth="1"/>
    <col min="48" max="48" width="24.5703125" style="17" bestFit="1" customWidth="1"/>
    <col min="49" max="49" width="29.140625" style="17" bestFit="1" customWidth="1"/>
    <col min="50" max="50" width="32.140625" style="17" bestFit="1" customWidth="1"/>
    <col min="51" max="51" width="29" style="17" bestFit="1" customWidth="1"/>
    <col min="52" max="52" width="32.7109375" style="17" bestFit="1" customWidth="1"/>
    <col min="53" max="53" width="18.7109375" style="17" bestFit="1" customWidth="1"/>
    <col min="54" max="55" width="23.7109375" style="17" bestFit="1" customWidth="1"/>
    <col min="56" max="56" width="40" style="17" bestFit="1" customWidth="1"/>
    <col min="57" max="57" width="26.28515625" style="17" bestFit="1" customWidth="1"/>
    <col min="58" max="58" width="44.28515625" style="17" bestFit="1" customWidth="1"/>
    <col min="59" max="16384" width="11.42578125" style="17"/>
  </cols>
  <sheetData>
    <row r="1" spans="1:58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149</v>
      </c>
      <c r="I1" s="2" t="s">
        <v>548</v>
      </c>
      <c r="J1" s="2" t="s">
        <v>97</v>
      </c>
      <c r="K1" s="2" t="s">
        <v>156</v>
      </c>
      <c r="L1" s="2" t="s">
        <v>158</v>
      </c>
      <c r="M1" s="2" t="s">
        <v>157</v>
      </c>
      <c r="N1" s="2" t="s">
        <v>56</v>
      </c>
      <c r="O1" s="2" t="s">
        <v>55</v>
      </c>
      <c r="P1" s="2" t="s">
        <v>87</v>
      </c>
      <c r="Q1" s="2" t="s">
        <v>116</v>
      </c>
      <c r="R1" s="2" t="s">
        <v>57</v>
      </c>
      <c r="S1" s="2" t="s">
        <v>123</v>
      </c>
      <c r="T1" s="2" t="s">
        <v>58</v>
      </c>
      <c r="U1" s="2" t="s">
        <v>9</v>
      </c>
      <c r="V1" s="2" t="s">
        <v>1173</v>
      </c>
      <c r="W1" s="2" t="s">
        <v>160</v>
      </c>
      <c r="X1" s="2" t="s">
        <v>3</v>
      </c>
      <c r="Y1" s="2" t="s">
        <v>10</v>
      </c>
      <c r="Z1" s="2" t="s">
        <v>16</v>
      </c>
      <c r="AA1" s="2" t="s">
        <v>4</v>
      </c>
      <c r="AB1" s="2" t="s">
        <v>99</v>
      </c>
      <c r="AC1" s="2" t="s">
        <v>185</v>
      </c>
      <c r="AD1" s="2" t="s">
        <v>184</v>
      </c>
      <c r="AE1" s="2" t="s">
        <v>12</v>
      </c>
      <c r="AF1" s="2" t="s">
        <v>186</v>
      </c>
      <c r="AG1" s="2" t="s">
        <v>187</v>
      </c>
      <c r="AH1" s="2" t="s">
        <v>11</v>
      </c>
      <c r="AI1" s="2" t="s">
        <v>335</v>
      </c>
      <c r="AJ1" s="2" t="s">
        <v>147</v>
      </c>
      <c r="AK1" s="2" t="s">
        <v>22</v>
      </c>
      <c r="AL1" s="2" t="s">
        <v>164</v>
      </c>
      <c r="AM1" s="2" t="s">
        <v>165</v>
      </c>
      <c r="AN1" s="2" t="s">
        <v>1</v>
      </c>
      <c r="AO1" s="2" t="s">
        <v>2</v>
      </c>
      <c r="AP1" s="2" t="s">
        <v>59</v>
      </c>
      <c r="AQ1" s="2" t="s">
        <v>1161</v>
      </c>
      <c r="AR1" s="2" t="s">
        <v>117</v>
      </c>
      <c r="AS1" s="2" t="s">
        <v>60</v>
      </c>
      <c r="AT1" s="2" t="s">
        <v>61</v>
      </c>
      <c r="AU1" s="2" t="s">
        <v>98</v>
      </c>
      <c r="AV1" s="2" t="s">
        <v>5</v>
      </c>
      <c r="AW1" s="2" t="s">
        <v>6</v>
      </c>
      <c r="AX1" s="2" t="s">
        <v>17</v>
      </c>
      <c r="AY1" s="2" t="s">
        <v>18</v>
      </c>
      <c r="AZ1" s="2" t="s">
        <v>7</v>
      </c>
      <c r="BA1" s="2" t="s">
        <v>19</v>
      </c>
      <c r="BB1" s="2" t="s">
        <v>20</v>
      </c>
      <c r="BC1" s="2" t="s">
        <v>21</v>
      </c>
      <c r="BD1" s="2" t="s">
        <v>148</v>
      </c>
      <c r="BE1" s="2" t="s">
        <v>23</v>
      </c>
      <c r="BF1" s="2" t="s">
        <v>51</v>
      </c>
    </row>
    <row r="2" spans="1:58" s="1" customFormat="1" ht="12.75" x14ac:dyDescent="0.2">
      <c r="A2" s="6" t="s">
        <v>188</v>
      </c>
      <c r="B2" s="1" t="s">
        <v>129</v>
      </c>
      <c r="C2" s="1">
        <v>2010</v>
      </c>
      <c r="D2" s="1">
        <v>0</v>
      </c>
      <c r="E2" s="1">
        <v>1</v>
      </c>
      <c r="F2" s="1">
        <v>0</v>
      </c>
      <c r="G2" s="19"/>
      <c r="H2" s="19"/>
      <c r="I2" s="19">
        <v>200</v>
      </c>
      <c r="J2" s="19"/>
      <c r="K2" s="19"/>
      <c r="L2" s="19"/>
      <c r="M2" s="19"/>
      <c r="N2" s="19"/>
      <c r="O2" s="9"/>
      <c r="P2" s="9"/>
      <c r="Q2" s="20"/>
      <c r="R2" s="19"/>
      <c r="S2" s="9"/>
      <c r="T2" s="19"/>
      <c r="V2" s="1">
        <v>1</v>
      </c>
      <c r="AE2" s="8"/>
      <c r="AF2" s="8"/>
      <c r="AG2" s="8"/>
      <c r="AH2" s="8"/>
      <c r="AI2" s="8"/>
      <c r="AK2" s="1" t="s">
        <v>196</v>
      </c>
      <c r="AN2" s="13">
        <v>15</v>
      </c>
      <c r="AO2" s="13"/>
      <c r="AP2" s="13"/>
      <c r="AQ2" s="13"/>
      <c r="AR2" s="13"/>
      <c r="AS2" s="13"/>
      <c r="AT2" s="13"/>
      <c r="AU2" s="13"/>
      <c r="AV2" s="13">
        <v>15</v>
      </c>
      <c r="AZ2" s="13"/>
      <c r="BF2" s="1" t="s">
        <v>197</v>
      </c>
    </row>
    <row r="3" spans="1:58" x14ac:dyDescent="0.2">
      <c r="A3" s="1" t="s">
        <v>189</v>
      </c>
      <c r="B3" s="1" t="s">
        <v>129</v>
      </c>
      <c r="C3" s="1">
        <v>2010</v>
      </c>
      <c r="D3" s="1">
        <v>0</v>
      </c>
      <c r="E3" s="1">
        <v>1</v>
      </c>
      <c r="F3" s="1">
        <v>0</v>
      </c>
      <c r="G3" s="19"/>
      <c r="H3" s="19"/>
      <c r="I3" s="19">
        <v>520</v>
      </c>
      <c r="J3" s="19"/>
      <c r="K3" s="19"/>
      <c r="L3" s="19"/>
      <c r="M3" s="19"/>
      <c r="N3" s="19"/>
      <c r="O3" s="9"/>
      <c r="P3" s="9"/>
      <c r="Q3" s="20"/>
      <c r="R3" s="19"/>
      <c r="S3" s="9"/>
      <c r="T3" s="19"/>
      <c r="U3" s="1"/>
      <c r="V3" s="1">
        <v>1</v>
      </c>
      <c r="W3" s="1"/>
      <c r="X3" s="1"/>
      <c r="Y3" s="1"/>
      <c r="Z3" s="1"/>
      <c r="AA3" s="1"/>
      <c r="AB3" s="1"/>
      <c r="AC3" s="1"/>
      <c r="AD3" s="1"/>
      <c r="AE3" s="1"/>
      <c r="AF3" s="8"/>
      <c r="AG3" s="8"/>
      <c r="AH3" s="8"/>
      <c r="AI3" s="8"/>
      <c r="AJ3" s="1"/>
      <c r="AK3" s="1" t="s">
        <v>196</v>
      </c>
      <c r="AL3" s="1"/>
      <c r="AM3" s="1"/>
      <c r="AN3" s="13">
        <v>15</v>
      </c>
      <c r="AO3" s="1"/>
      <c r="AP3" s="13"/>
      <c r="AQ3" s="13"/>
      <c r="AR3" s="13"/>
      <c r="AS3" s="1"/>
      <c r="AT3" s="13"/>
      <c r="AU3" s="13"/>
      <c r="AV3" s="1">
        <v>15</v>
      </c>
      <c r="AW3" s="1"/>
      <c r="AX3" s="1"/>
      <c r="AY3" s="1"/>
      <c r="AZ3" s="1"/>
      <c r="BA3" s="1"/>
      <c r="BB3" s="1"/>
      <c r="BC3" s="1"/>
      <c r="BD3" s="1"/>
      <c r="BE3" s="1"/>
      <c r="BF3" s="1" t="s">
        <v>197</v>
      </c>
    </row>
    <row r="4" spans="1:58" x14ac:dyDescent="0.2">
      <c r="A4" s="6" t="s">
        <v>190</v>
      </c>
      <c r="B4" s="1" t="s">
        <v>129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200</v>
      </c>
      <c r="J4" s="19"/>
      <c r="K4" s="19"/>
      <c r="L4" s="19"/>
      <c r="M4" s="19"/>
      <c r="N4" s="19"/>
      <c r="O4" s="9"/>
      <c r="P4" s="9"/>
      <c r="Q4" s="20"/>
      <c r="R4" s="19"/>
      <c r="S4" s="9"/>
      <c r="T4" s="19"/>
      <c r="U4" s="1"/>
      <c r="V4" s="1">
        <v>1</v>
      </c>
      <c r="W4" s="1"/>
      <c r="X4" s="1"/>
      <c r="Y4" s="1"/>
      <c r="Z4" s="1"/>
      <c r="AA4" s="1"/>
      <c r="AB4" s="1"/>
      <c r="AC4" s="1"/>
      <c r="AD4" s="1"/>
      <c r="AE4" s="1"/>
      <c r="AF4" s="8"/>
      <c r="AG4" s="8"/>
      <c r="AH4" s="8"/>
      <c r="AI4" s="8"/>
      <c r="AJ4" s="1"/>
      <c r="AK4" s="1" t="s">
        <v>196</v>
      </c>
      <c r="AL4" s="1"/>
      <c r="AM4" s="1"/>
      <c r="AN4" s="13">
        <v>15</v>
      </c>
      <c r="AO4" s="1"/>
      <c r="AP4" s="13"/>
      <c r="AQ4" s="13"/>
      <c r="AR4" s="13"/>
      <c r="AS4" s="1"/>
      <c r="AT4" s="13"/>
      <c r="AU4" s="13"/>
      <c r="AV4" s="1">
        <v>15</v>
      </c>
      <c r="AW4" s="1"/>
      <c r="AX4" s="1"/>
      <c r="AY4" s="1"/>
      <c r="AZ4" s="1"/>
      <c r="BA4" s="1"/>
      <c r="BB4" s="1"/>
      <c r="BC4" s="1"/>
      <c r="BD4" s="1"/>
      <c r="BE4" s="1"/>
      <c r="BF4" s="1" t="s">
        <v>197</v>
      </c>
    </row>
    <row r="5" spans="1:58" x14ac:dyDescent="0.2">
      <c r="A5" s="1" t="s">
        <v>191</v>
      </c>
      <c r="B5" s="1" t="s">
        <v>129</v>
      </c>
      <c r="C5" s="1">
        <v>2010</v>
      </c>
      <c r="D5" s="1">
        <v>0</v>
      </c>
      <c r="E5" s="1">
        <v>1</v>
      </c>
      <c r="F5" s="1">
        <v>0</v>
      </c>
      <c r="G5" s="19"/>
      <c r="H5" s="19"/>
      <c r="I5" s="19">
        <v>580</v>
      </c>
      <c r="J5" s="19"/>
      <c r="K5" s="19"/>
      <c r="L5" s="19"/>
      <c r="M5" s="19"/>
      <c r="N5" s="19"/>
      <c r="O5" s="9"/>
      <c r="P5" s="9"/>
      <c r="Q5" s="20"/>
      <c r="R5" s="19"/>
      <c r="S5" s="9"/>
      <c r="T5" s="19"/>
      <c r="U5" s="1"/>
      <c r="V5" s="1">
        <v>1</v>
      </c>
      <c r="W5" s="1"/>
      <c r="X5" s="1"/>
      <c r="Y5" s="1"/>
      <c r="Z5" s="1"/>
      <c r="AA5" s="1"/>
      <c r="AB5" s="1"/>
      <c r="AC5" s="1"/>
      <c r="AD5" s="1"/>
      <c r="AE5" s="1"/>
      <c r="AF5" s="8"/>
      <c r="AG5" s="8"/>
      <c r="AH5" s="8"/>
      <c r="AI5" s="8"/>
      <c r="AJ5" s="1"/>
      <c r="AK5" s="1" t="s">
        <v>196</v>
      </c>
      <c r="AL5" s="1"/>
      <c r="AM5" s="1"/>
      <c r="AN5" s="13">
        <v>15</v>
      </c>
      <c r="AO5" s="1"/>
      <c r="AP5" s="13"/>
      <c r="AQ5" s="13"/>
      <c r="AR5" s="13"/>
      <c r="AS5" s="1"/>
      <c r="AT5" s="13"/>
      <c r="AU5" s="13"/>
      <c r="AV5" s="1">
        <v>15</v>
      </c>
      <c r="AW5" s="1"/>
      <c r="AX5" s="1"/>
      <c r="AY5" s="1"/>
      <c r="AZ5" s="1"/>
      <c r="BA5" s="1"/>
      <c r="BB5" s="1"/>
      <c r="BC5" s="1"/>
      <c r="BD5" s="1"/>
      <c r="BE5" s="1"/>
      <c r="BF5" s="1" t="s">
        <v>197</v>
      </c>
    </row>
    <row r="6" spans="1:58" x14ac:dyDescent="0.2">
      <c r="A6" s="6" t="s">
        <v>192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180</v>
      </c>
      <c r="J6" s="19"/>
      <c r="K6" s="19"/>
      <c r="L6" s="19"/>
      <c r="M6" s="19"/>
      <c r="N6" s="19"/>
      <c r="O6" s="9"/>
      <c r="P6" s="9"/>
      <c r="Q6" s="20"/>
      <c r="R6" s="19"/>
      <c r="S6" s="9"/>
      <c r="T6" s="19"/>
      <c r="U6" s="1"/>
      <c r="V6" s="1">
        <v>1</v>
      </c>
      <c r="W6" s="1"/>
      <c r="X6" s="1"/>
      <c r="Y6" s="1"/>
      <c r="Z6" s="1"/>
      <c r="AA6" s="1"/>
      <c r="AB6" s="1"/>
      <c r="AC6" s="1"/>
      <c r="AD6" s="1"/>
      <c r="AE6" s="1"/>
      <c r="AF6" s="8"/>
      <c r="AG6" s="8"/>
      <c r="AH6" s="8"/>
      <c r="AI6" s="8"/>
      <c r="AJ6" s="1"/>
      <c r="AK6" s="1" t="s">
        <v>196</v>
      </c>
      <c r="AL6" s="1"/>
      <c r="AM6" s="1"/>
      <c r="AN6" s="13">
        <v>15</v>
      </c>
      <c r="AO6" s="1"/>
      <c r="AP6" s="13"/>
      <c r="AQ6" s="13"/>
      <c r="AR6" s="13"/>
      <c r="AS6" s="1"/>
      <c r="AT6" s="13"/>
      <c r="AU6" s="13"/>
      <c r="AV6" s="1">
        <v>15</v>
      </c>
      <c r="AW6" s="1"/>
      <c r="AX6" s="1"/>
      <c r="AY6" s="1"/>
      <c r="AZ6" s="1"/>
      <c r="BA6" s="1"/>
      <c r="BB6" s="1"/>
      <c r="BC6" s="1"/>
      <c r="BD6" s="1"/>
      <c r="BE6" s="1"/>
      <c r="BF6" s="1" t="s">
        <v>197</v>
      </c>
    </row>
    <row r="7" spans="1:58" x14ac:dyDescent="0.2">
      <c r="A7" s="1" t="s">
        <v>193</v>
      </c>
      <c r="B7" s="1" t="s">
        <v>129</v>
      </c>
      <c r="C7" s="1">
        <v>2010</v>
      </c>
      <c r="D7" s="1">
        <v>0</v>
      </c>
      <c r="E7" s="1">
        <v>1</v>
      </c>
      <c r="F7" s="1">
        <v>0</v>
      </c>
      <c r="G7" s="19"/>
      <c r="H7" s="19"/>
      <c r="I7" s="19">
        <v>90</v>
      </c>
      <c r="J7" s="19"/>
      <c r="K7" s="19"/>
      <c r="L7" s="19"/>
      <c r="M7" s="19"/>
      <c r="N7" s="19"/>
      <c r="O7" s="9"/>
      <c r="P7" s="9"/>
      <c r="Q7" s="20"/>
      <c r="R7" s="19"/>
      <c r="S7" s="9"/>
      <c r="T7" s="19"/>
      <c r="U7" s="1"/>
      <c r="V7" s="1">
        <v>1</v>
      </c>
      <c r="W7" s="1"/>
      <c r="X7" s="1"/>
      <c r="Y7" s="1"/>
      <c r="Z7" s="1"/>
      <c r="AA7" s="1"/>
      <c r="AB7" s="1"/>
      <c r="AC7" s="1"/>
      <c r="AD7" s="1"/>
      <c r="AE7" s="1"/>
      <c r="AF7" s="8"/>
      <c r="AG7" s="8"/>
      <c r="AH7" s="8"/>
      <c r="AI7" s="8"/>
      <c r="AJ7" s="1"/>
      <c r="AK7" s="1" t="s">
        <v>196</v>
      </c>
      <c r="AL7" s="1"/>
      <c r="AM7" s="1"/>
      <c r="AN7" s="13">
        <v>15</v>
      </c>
      <c r="AO7" s="1"/>
      <c r="AP7" s="13"/>
      <c r="AQ7" s="13"/>
      <c r="AR7" s="13"/>
      <c r="AS7" s="1"/>
      <c r="AT7" s="13"/>
      <c r="AU7" s="13"/>
      <c r="AV7" s="1">
        <v>15</v>
      </c>
      <c r="AW7" s="1"/>
      <c r="AX7" s="1"/>
      <c r="AY7" s="1"/>
      <c r="AZ7" s="1"/>
      <c r="BA7" s="1"/>
      <c r="BB7" s="1"/>
      <c r="BC7" s="1"/>
      <c r="BD7" s="1"/>
      <c r="BE7" s="1"/>
      <c r="BF7" s="1" t="s">
        <v>197</v>
      </c>
    </row>
    <row r="8" spans="1:58" x14ac:dyDescent="0.2">
      <c r="A8" s="6" t="s">
        <v>194</v>
      </c>
      <c r="B8" s="1" t="s">
        <v>129</v>
      </c>
      <c r="C8" s="1">
        <v>2010</v>
      </c>
      <c r="D8" s="1">
        <v>0</v>
      </c>
      <c r="E8" s="1">
        <v>1</v>
      </c>
      <c r="F8" s="1">
        <v>0</v>
      </c>
      <c r="G8" s="19"/>
      <c r="H8" s="19"/>
      <c r="I8" s="19">
        <v>130</v>
      </c>
      <c r="J8" s="19"/>
      <c r="K8" s="19"/>
      <c r="L8" s="19"/>
      <c r="M8" s="19"/>
      <c r="N8" s="19"/>
      <c r="O8" s="9"/>
      <c r="P8" s="9"/>
      <c r="Q8" s="20"/>
      <c r="R8" s="19"/>
      <c r="S8" s="9"/>
      <c r="T8" s="19"/>
      <c r="U8" s="1"/>
      <c r="V8" s="1">
        <v>1</v>
      </c>
      <c r="W8" s="1"/>
      <c r="X8" s="1"/>
      <c r="Y8" s="1"/>
      <c r="Z8" s="1"/>
      <c r="AA8" s="1"/>
      <c r="AB8" s="1"/>
      <c r="AC8" s="1"/>
      <c r="AD8" s="1"/>
      <c r="AE8" s="1"/>
      <c r="AF8" s="8"/>
      <c r="AG8" s="8"/>
      <c r="AH8" s="8"/>
      <c r="AI8" s="8"/>
      <c r="AJ8" s="1"/>
      <c r="AK8" s="1" t="s">
        <v>196</v>
      </c>
      <c r="AL8" s="1"/>
      <c r="AM8" s="1"/>
      <c r="AN8" s="13">
        <v>15</v>
      </c>
      <c r="AO8" s="1"/>
      <c r="AP8" s="13"/>
      <c r="AQ8" s="13"/>
      <c r="AR8" s="13"/>
      <c r="AS8" s="1"/>
      <c r="AT8" s="13"/>
      <c r="AU8" s="13"/>
      <c r="AV8" s="1">
        <v>15</v>
      </c>
      <c r="AW8" s="1"/>
      <c r="AX8" s="1"/>
      <c r="AY8" s="1"/>
      <c r="AZ8" s="1"/>
      <c r="BA8" s="1"/>
      <c r="BB8" s="1"/>
      <c r="BC8" s="1"/>
      <c r="BD8" s="1"/>
      <c r="BE8" s="1"/>
      <c r="BF8" s="1" t="s">
        <v>197</v>
      </c>
    </row>
    <row r="9" spans="1:58" x14ac:dyDescent="0.2">
      <c r="A9" s="1" t="s">
        <v>195</v>
      </c>
      <c r="B9" s="1" t="s">
        <v>129</v>
      </c>
      <c r="C9" s="1">
        <v>2010</v>
      </c>
      <c r="D9" s="1">
        <v>0</v>
      </c>
      <c r="E9" s="1">
        <v>1</v>
      </c>
      <c r="F9" s="1">
        <v>0</v>
      </c>
      <c r="G9" s="19"/>
      <c r="H9" s="19"/>
      <c r="I9" s="19">
        <v>500</v>
      </c>
      <c r="J9" s="19"/>
      <c r="K9" s="19"/>
      <c r="L9" s="19"/>
      <c r="M9" s="19"/>
      <c r="N9" s="19"/>
      <c r="O9" s="9"/>
      <c r="P9" s="9"/>
      <c r="Q9" s="20"/>
      <c r="R9" s="19"/>
      <c r="S9" s="9"/>
      <c r="T9" s="19"/>
      <c r="U9" s="1"/>
      <c r="V9" s="1">
        <v>1</v>
      </c>
      <c r="W9" s="1"/>
      <c r="X9" s="1"/>
      <c r="Y9" s="1"/>
      <c r="Z9" s="1"/>
      <c r="AA9" s="1"/>
      <c r="AB9" s="1"/>
      <c r="AC9" s="1"/>
      <c r="AD9" s="1"/>
      <c r="AE9" s="1"/>
      <c r="AF9" s="8"/>
      <c r="AG9" s="8"/>
      <c r="AH9" s="8"/>
      <c r="AI9" s="8"/>
      <c r="AJ9" s="1"/>
      <c r="AK9" s="1" t="s">
        <v>196</v>
      </c>
      <c r="AL9" s="1"/>
      <c r="AM9" s="1"/>
      <c r="AN9" s="13">
        <v>15</v>
      </c>
      <c r="AO9" s="1"/>
      <c r="AP9" s="13"/>
      <c r="AQ9" s="13"/>
      <c r="AR9" s="13"/>
      <c r="AS9" s="1"/>
      <c r="AT9" s="13"/>
      <c r="AU9" s="13"/>
      <c r="AV9" s="1">
        <v>15</v>
      </c>
      <c r="AW9" s="1"/>
      <c r="AX9" s="1"/>
      <c r="AY9" s="1"/>
      <c r="AZ9" s="1"/>
      <c r="BA9" s="1"/>
      <c r="BB9" s="1"/>
      <c r="BC9" s="1"/>
      <c r="BD9" s="1"/>
      <c r="BE9" s="1"/>
      <c r="BF9" s="1" t="s">
        <v>197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131</v>
      </c>
      <c r="C1" s="4" t="s">
        <v>8</v>
      </c>
      <c r="D1" s="2" t="s">
        <v>400</v>
      </c>
      <c r="E1" s="2" t="s">
        <v>401</v>
      </c>
      <c r="F1" s="2" t="s">
        <v>402</v>
      </c>
      <c r="G1" s="2" t="s">
        <v>398</v>
      </c>
      <c r="H1" s="2" t="s">
        <v>399</v>
      </c>
      <c r="I1" s="2" t="s">
        <v>404</v>
      </c>
      <c r="J1" s="2" t="s">
        <v>406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54</v>
      </c>
      <c r="B2" s="1" t="s">
        <v>129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54</v>
      </c>
      <c r="B3" s="1" t="s">
        <v>129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405</v>
      </c>
    </row>
    <row r="4" spans="1:15" x14ac:dyDescent="0.25">
      <c r="A4" s="1" t="s">
        <v>54</v>
      </c>
      <c r="B4" s="1" t="s">
        <v>129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405</v>
      </c>
    </row>
    <row r="5" spans="1:15" x14ac:dyDescent="0.25">
      <c r="A5" s="1" t="s">
        <v>54</v>
      </c>
      <c r="B5" s="1" t="s">
        <v>129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405</v>
      </c>
    </row>
    <row r="6" spans="1:15" x14ac:dyDescent="0.25">
      <c r="A6" s="1" t="s">
        <v>29</v>
      </c>
      <c r="B6" s="1" t="s">
        <v>129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129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405</v>
      </c>
    </row>
    <row r="8" spans="1:15" x14ac:dyDescent="0.25">
      <c r="A8" s="1" t="s">
        <v>29</v>
      </c>
      <c r="B8" s="1" t="s">
        <v>129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405</v>
      </c>
    </row>
    <row r="9" spans="1:15" x14ac:dyDescent="0.25">
      <c r="A9" s="1" t="s">
        <v>29</v>
      </c>
      <c r="B9" s="1" t="s">
        <v>129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405</v>
      </c>
    </row>
    <row r="10" spans="1:15" x14ac:dyDescent="0.25">
      <c r="A10" s="1" t="s">
        <v>72</v>
      </c>
      <c r="B10" s="1" t="s">
        <v>129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72</v>
      </c>
      <c r="B11" s="1" t="s">
        <v>129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405</v>
      </c>
    </row>
    <row r="12" spans="1:15" x14ac:dyDescent="0.25">
      <c r="A12" s="1" t="s">
        <v>72</v>
      </c>
      <c r="B12" s="1" t="s">
        <v>129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405</v>
      </c>
    </row>
    <row r="13" spans="1:15" x14ac:dyDescent="0.25">
      <c r="A13" s="1" t="s">
        <v>72</v>
      </c>
      <c r="B13" s="1" t="s">
        <v>129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405</v>
      </c>
    </row>
    <row r="14" spans="1:15" x14ac:dyDescent="0.25">
      <c r="A14" s="1" t="s">
        <v>76</v>
      </c>
      <c r="B14" s="1" t="s">
        <v>129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76</v>
      </c>
      <c r="B15" s="1" t="s">
        <v>129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405</v>
      </c>
    </row>
    <row r="16" spans="1:15" x14ac:dyDescent="0.25">
      <c r="A16" s="1" t="s">
        <v>76</v>
      </c>
      <c r="B16" s="1" t="s">
        <v>129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405</v>
      </c>
    </row>
    <row r="17" spans="1:15" x14ac:dyDescent="0.25">
      <c r="A17" s="1" t="s">
        <v>76</v>
      </c>
      <c r="B17" s="1" t="s">
        <v>129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405</v>
      </c>
    </row>
    <row r="18" spans="1:15" x14ac:dyDescent="0.25">
      <c r="A18" s="1" t="s">
        <v>77</v>
      </c>
      <c r="B18" s="1" t="s">
        <v>129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77</v>
      </c>
      <c r="B19" s="1" t="s">
        <v>129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405</v>
      </c>
    </row>
    <row r="20" spans="1:15" x14ac:dyDescent="0.25">
      <c r="A20" s="1" t="s">
        <v>77</v>
      </c>
      <c r="B20" s="1" t="s">
        <v>129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405</v>
      </c>
    </row>
    <row r="21" spans="1:15" x14ac:dyDescent="0.25">
      <c r="A21" s="1" t="s">
        <v>77</v>
      </c>
      <c r="B21" s="1" t="s">
        <v>129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405</v>
      </c>
    </row>
    <row r="22" spans="1:15" x14ac:dyDescent="0.25">
      <c r="A22" s="1" t="s">
        <v>80</v>
      </c>
      <c r="B22" s="1" t="s">
        <v>129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80</v>
      </c>
      <c r="B23" s="1" t="s">
        <v>129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405</v>
      </c>
    </row>
    <row r="24" spans="1:15" x14ac:dyDescent="0.25">
      <c r="A24" s="1" t="s">
        <v>80</v>
      </c>
      <c r="B24" s="1" t="s">
        <v>129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405</v>
      </c>
    </row>
    <row r="25" spans="1:15" x14ac:dyDescent="0.25">
      <c r="A25" s="1" t="s">
        <v>80</v>
      </c>
      <c r="B25" s="1" t="s">
        <v>129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405</v>
      </c>
    </row>
    <row r="26" spans="1:15" x14ac:dyDescent="0.25">
      <c r="A26" s="1" t="s">
        <v>81</v>
      </c>
      <c r="B26" s="1" t="s">
        <v>129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81</v>
      </c>
      <c r="B27" s="1" t="s">
        <v>129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405</v>
      </c>
    </row>
    <row r="28" spans="1:15" x14ac:dyDescent="0.25">
      <c r="A28" s="1" t="s">
        <v>81</v>
      </c>
      <c r="B28" s="1" t="s">
        <v>129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405</v>
      </c>
    </row>
    <row r="29" spans="1:15" x14ac:dyDescent="0.25">
      <c r="A29" s="1" t="s">
        <v>81</v>
      </c>
      <c r="B29" s="1" t="s">
        <v>129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405</v>
      </c>
    </row>
    <row r="30" spans="1:15" x14ac:dyDescent="0.25">
      <c r="A30" s="1" t="s">
        <v>84</v>
      </c>
      <c r="B30" s="1" t="s">
        <v>129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84</v>
      </c>
      <c r="B31" s="1" t="s">
        <v>129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405</v>
      </c>
    </row>
    <row r="32" spans="1:15" x14ac:dyDescent="0.25">
      <c r="A32" s="1" t="s">
        <v>84</v>
      </c>
      <c r="B32" s="1" t="s">
        <v>129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405</v>
      </c>
    </row>
    <row r="33" spans="1:15" x14ac:dyDescent="0.25">
      <c r="A33" s="1" t="s">
        <v>84</v>
      </c>
      <c r="B33" s="1" t="s">
        <v>129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405</v>
      </c>
    </row>
    <row r="34" spans="1:15" x14ac:dyDescent="0.25">
      <c r="A34" s="1" t="s">
        <v>170</v>
      </c>
      <c r="B34" s="1" t="s">
        <v>129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170</v>
      </c>
      <c r="B35" s="1" t="s">
        <v>129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405</v>
      </c>
    </row>
    <row r="36" spans="1:15" x14ac:dyDescent="0.25">
      <c r="A36" s="1" t="s">
        <v>170</v>
      </c>
      <c r="B36" s="1" t="s">
        <v>129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405</v>
      </c>
    </row>
    <row r="37" spans="1:15" x14ac:dyDescent="0.25">
      <c r="A37" s="1" t="s">
        <v>170</v>
      </c>
      <c r="B37" s="1" t="s">
        <v>129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405</v>
      </c>
    </row>
    <row r="38" spans="1:15" x14ac:dyDescent="0.25">
      <c r="A38" s="1" t="s">
        <v>375</v>
      </c>
      <c r="B38" s="1" t="s">
        <v>129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375</v>
      </c>
      <c r="B39" s="1" t="s">
        <v>129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405</v>
      </c>
    </row>
    <row r="40" spans="1:15" x14ac:dyDescent="0.25">
      <c r="A40" s="1" t="s">
        <v>375</v>
      </c>
      <c r="B40" s="1" t="s">
        <v>129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405</v>
      </c>
    </row>
    <row r="41" spans="1:15" x14ac:dyDescent="0.25">
      <c r="A41" s="1" t="s">
        <v>375</v>
      </c>
      <c r="B41" s="1" t="s">
        <v>129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405</v>
      </c>
    </row>
    <row r="42" spans="1:15" x14ac:dyDescent="0.25">
      <c r="A42" s="1" t="s">
        <v>376</v>
      </c>
      <c r="B42" s="1" t="s">
        <v>129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376</v>
      </c>
      <c r="B43" s="1" t="s">
        <v>129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405</v>
      </c>
    </row>
    <row r="44" spans="1:15" x14ac:dyDescent="0.25">
      <c r="A44" s="1" t="s">
        <v>376</v>
      </c>
      <c r="B44" s="1" t="s">
        <v>129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405</v>
      </c>
    </row>
    <row r="45" spans="1:15" x14ac:dyDescent="0.25">
      <c r="A45" s="1" t="s">
        <v>376</v>
      </c>
      <c r="B45" s="1" t="s">
        <v>129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405</v>
      </c>
    </row>
    <row r="46" spans="1:15" x14ac:dyDescent="0.25">
      <c r="A46" s="1" t="s">
        <v>100</v>
      </c>
      <c r="B46" s="1" t="s">
        <v>129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100</v>
      </c>
      <c r="B47" s="1" t="s">
        <v>129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100</v>
      </c>
      <c r="B48" s="1" t="s">
        <v>129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100</v>
      </c>
      <c r="B49" s="1" t="s">
        <v>129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213</v>
      </c>
      <c r="B50" s="1" t="s">
        <v>129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213</v>
      </c>
      <c r="B51" s="1" t="s">
        <v>129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213</v>
      </c>
      <c r="B52" s="1" t="s">
        <v>129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213</v>
      </c>
      <c r="B53" s="1" t="s">
        <v>129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403</v>
      </c>
      <c r="B54" s="1" t="s">
        <v>130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403</v>
      </c>
      <c r="B55" s="1" t="s">
        <v>130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403</v>
      </c>
      <c r="B56" s="1" t="s">
        <v>130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403</v>
      </c>
      <c r="B57" s="1" t="s">
        <v>130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100</v>
      </c>
      <c r="B58" s="1" t="s">
        <v>130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100</v>
      </c>
      <c r="B59" s="1" t="s">
        <v>130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100</v>
      </c>
      <c r="B60" s="1" t="s">
        <v>130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100</v>
      </c>
      <c r="B61" s="1" t="s">
        <v>130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213</v>
      </c>
      <c r="B62" s="1" t="s">
        <v>130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213</v>
      </c>
      <c r="B63" s="1" t="s">
        <v>130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213</v>
      </c>
      <c r="B64" s="1" t="s">
        <v>130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213</v>
      </c>
      <c r="B65" s="1" t="s">
        <v>130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226</v>
      </c>
      <c r="B66" s="1" t="s">
        <v>130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226</v>
      </c>
      <c r="B67" s="1" t="s">
        <v>130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226</v>
      </c>
      <c r="B68" s="1" t="s">
        <v>130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226</v>
      </c>
      <c r="B69" s="1" t="s">
        <v>130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139</v>
      </c>
      <c r="B70" s="1" t="s">
        <v>130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139</v>
      </c>
      <c r="B71" s="1" t="s">
        <v>130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139</v>
      </c>
      <c r="B72" s="1" t="s">
        <v>130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139</v>
      </c>
      <c r="B73" s="1" t="s">
        <v>130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379</v>
      </c>
      <c r="B74" s="1" t="s">
        <v>130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379</v>
      </c>
      <c r="B75" s="1" t="s">
        <v>130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379</v>
      </c>
      <c r="B76" s="1" t="s">
        <v>130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379</v>
      </c>
      <c r="B77" s="1" t="s">
        <v>130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131</v>
      </c>
      <c r="C1" s="2" t="s">
        <v>8</v>
      </c>
      <c r="D1" s="2" t="s">
        <v>489</v>
      </c>
      <c r="E1" s="1" t="s">
        <v>492</v>
      </c>
      <c r="F1" s="1" t="s">
        <v>493</v>
      </c>
      <c r="G1" s="1" t="s">
        <v>25</v>
      </c>
      <c r="H1" s="1" t="s">
        <v>490</v>
      </c>
      <c r="I1" s="1" t="s">
        <v>494</v>
      </c>
      <c r="J1" s="1" t="s">
        <v>491</v>
      </c>
      <c r="K1" s="1" t="s">
        <v>495</v>
      </c>
      <c r="L1" s="1" t="s">
        <v>496</v>
      </c>
      <c r="M1" s="1" t="s">
        <v>28</v>
      </c>
    </row>
    <row r="2" spans="1:13" x14ac:dyDescent="0.2">
      <c r="A2" s="33" t="s">
        <v>367</v>
      </c>
      <c r="B2" s="33" t="s">
        <v>142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497</v>
      </c>
    </row>
    <row r="3" spans="1:13" x14ac:dyDescent="0.2">
      <c r="A3" s="33" t="s">
        <v>367</v>
      </c>
      <c r="B3" s="33" t="s">
        <v>142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497</v>
      </c>
    </row>
    <row r="4" spans="1:13" x14ac:dyDescent="0.2">
      <c r="A4" s="33" t="s">
        <v>367</v>
      </c>
      <c r="B4" s="33" t="s">
        <v>142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497</v>
      </c>
    </row>
    <row r="5" spans="1:13" x14ac:dyDescent="0.2">
      <c r="A5" s="33" t="s">
        <v>367</v>
      </c>
      <c r="B5" s="33" t="s">
        <v>142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497</v>
      </c>
    </row>
    <row r="6" spans="1:13" x14ac:dyDescent="0.2">
      <c r="A6" s="33" t="s">
        <v>153</v>
      </c>
      <c r="B6" s="33" t="s">
        <v>142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497</v>
      </c>
    </row>
    <row r="7" spans="1:13" x14ac:dyDescent="0.2">
      <c r="A7" s="33" t="s">
        <v>153</v>
      </c>
      <c r="B7" s="33" t="s">
        <v>142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497</v>
      </c>
    </row>
    <row r="8" spans="1:13" x14ac:dyDescent="0.2">
      <c r="A8" s="33" t="s">
        <v>153</v>
      </c>
      <c r="B8" s="33" t="s">
        <v>142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497</v>
      </c>
    </row>
    <row r="9" spans="1:13" x14ac:dyDescent="0.2">
      <c r="A9" s="33" t="s">
        <v>153</v>
      </c>
      <c r="B9" s="33" t="s">
        <v>142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497</v>
      </c>
    </row>
    <row r="10" spans="1:13" x14ac:dyDescent="0.2">
      <c r="A10" s="33" t="s">
        <v>135</v>
      </c>
      <c r="B10" s="33" t="s">
        <v>142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497</v>
      </c>
    </row>
    <row r="11" spans="1:13" x14ac:dyDescent="0.2">
      <c r="A11" s="33" t="s">
        <v>135</v>
      </c>
      <c r="B11" s="33" t="s">
        <v>142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497</v>
      </c>
    </row>
    <row r="12" spans="1:13" x14ac:dyDescent="0.2">
      <c r="A12" s="33" t="s">
        <v>135</v>
      </c>
      <c r="B12" s="33" t="s">
        <v>142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497</v>
      </c>
    </row>
    <row r="13" spans="1:13" x14ac:dyDescent="0.2">
      <c r="A13" s="33" t="s">
        <v>135</v>
      </c>
      <c r="B13" s="33" t="s">
        <v>142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497</v>
      </c>
    </row>
    <row r="14" spans="1:13" x14ac:dyDescent="0.2">
      <c r="A14" s="33" t="s">
        <v>136</v>
      </c>
      <c r="B14" s="33" t="s">
        <v>142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497</v>
      </c>
    </row>
    <row r="15" spans="1:13" x14ac:dyDescent="0.2">
      <c r="A15" s="33" t="s">
        <v>136</v>
      </c>
      <c r="B15" s="33" t="s">
        <v>142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497</v>
      </c>
    </row>
    <row r="16" spans="1:13" x14ac:dyDescent="0.2">
      <c r="A16" s="33" t="s">
        <v>136</v>
      </c>
      <c r="B16" s="33" t="s">
        <v>142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497</v>
      </c>
    </row>
    <row r="17" spans="1:13" x14ac:dyDescent="0.2">
      <c r="A17" s="33" t="s">
        <v>136</v>
      </c>
      <c r="B17" s="33" t="s">
        <v>142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497</v>
      </c>
    </row>
    <row r="18" spans="1:13" x14ac:dyDescent="0.2">
      <c r="A18" s="33" t="s">
        <v>132</v>
      </c>
      <c r="B18" s="33" t="s">
        <v>142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497</v>
      </c>
    </row>
    <row r="19" spans="1:13" x14ac:dyDescent="0.2">
      <c r="A19" s="33" t="s">
        <v>132</v>
      </c>
      <c r="B19" s="33" t="s">
        <v>142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497</v>
      </c>
    </row>
    <row r="20" spans="1:13" x14ac:dyDescent="0.2">
      <c r="A20" s="33" t="s">
        <v>132</v>
      </c>
      <c r="B20" s="33" t="s">
        <v>142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497</v>
      </c>
    </row>
    <row r="21" spans="1:13" x14ac:dyDescent="0.2">
      <c r="A21" s="33" t="s">
        <v>132</v>
      </c>
      <c r="B21" s="33" t="s">
        <v>142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497</v>
      </c>
    </row>
    <row r="22" spans="1:13" x14ac:dyDescent="0.2">
      <c r="A22" s="33" t="s">
        <v>133</v>
      </c>
      <c r="B22" s="33" t="s">
        <v>142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497</v>
      </c>
    </row>
    <row r="23" spans="1:13" x14ac:dyDescent="0.2">
      <c r="A23" s="33" t="s">
        <v>133</v>
      </c>
      <c r="B23" s="33" t="s">
        <v>142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497</v>
      </c>
    </row>
    <row r="24" spans="1:13" x14ac:dyDescent="0.2">
      <c r="A24" s="33" t="s">
        <v>133</v>
      </c>
      <c r="B24" s="33" t="s">
        <v>142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497</v>
      </c>
    </row>
    <row r="25" spans="1:13" x14ac:dyDescent="0.2">
      <c r="A25" s="33" t="s">
        <v>133</v>
      </c>
      <c r="B25" s="33" t="s">
        <v>142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497</v>
      </c>
    </row>
    <row r="26" spans="1:13" x14ac:dyDescent="0.2">
      <c r="A26" s="33" t="s">
        <v>134</v>
      </c>
      <c r="B26" s="33" t="s">
        <v>142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497</v>
      </c>
    </row>
    <row r="27" spans="1:13" x14ac:dyDescent="0.2">
      <c r="A27" s="33" t="s">
        <v>134</v>
      </c>
      <c r="B27" s="33" t="s">
        <v>142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497</v>
      </c>
    </row>
    <row r="28" spans="1:13" x14ac:dyDescent="0.2">
      <c r="A28" s="33" t="s">
        <v>134</v>
      </c>
      <c r="B28" s="33" t="s">
        <v>142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497</v>
      </c>
    </row>
    <row r="29" spans="1:13" x14ac:dyDescent="0.2">
      <c r="A29" s="33" t="s">
        <v>134</v>
      </c>
      <c r="B29" s="33" t="s">
        <v>142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497</v>
      </c>
    </row>
    <row r="30" spans="1:13" x14ac:dyDescent="0.2">
      <c r="A30" s="33" t="s">
        <v>138</v>
      </c>
      <c r="B30" s="33" t="s">
        <v>142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497</v>
      </c>
    </row>
    <row r="31" spans="1:13" x14ac:dyDescent="0.2">
      <c r="A31" s="33" t="s">
        <v>138</v>
      </c>
      <c r="B31" s="33" t="s">
        <v>142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497</v>
      </c>
    </row>
    <row r="32" spans="1:13" x14ac:dyDescent="0.2">
      <c r="A32" s="33" t="s">
        <v>138</v>
      </c>
      <c r="B32" s="33" t="s">
        <v>142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497</v>
      </c>
    </row>
    <row r="33" spans="1:13" x14ac:dyDescent="0.2">
      <c r="A33" s="33" t="s">
        <v>138</v>
      </c>
      <c r="B33" s="33" t="s">
        <v>142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497</v>
      </c>
    </row>
    <row r="34" spans="1:13" x14ac:dyDescent="0.2">
      <c r="A34" s="33" t="s">
        <v>141</v>
      </c>
      <c r="B34" s="33" t="s">
        <v>142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497</v>
      </c>
    </row>
    <row r="35" spans="1:13" x14ac:dyDescent="0.2">
      <c r="A35" s="33" t="s">
        <v>141</v>
      </c>
      <c r="B35" s="33" t="s">
        <v>142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497</v>
      </c>
    </row>
    <row r="36" spans="1:13" x14ac:dyDescent="0.2">
      <c r="A36" s="33" t="s">
        <v>141</v>
      </c>
      <c r="B36" s="33" t="s">
        <v>142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497</v>
      </c>
    </row>
    <row r="37" spans="1:13" x14ac:dyDescent="0.2">
      <c r="A37" s="33" t="s">
        <v>141</v>
      </c>
      <c r="B37" s="33" t="s">
        <v>142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497</v>
      </c>
    </row>
    <row r="38" spans="1:13" x14ac:dyDescent="0.2">
      <c r="A38" s="33"/>
      <c r="B38" s="33" t="s">
        <v>130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130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130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130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CO13"/>
  <sheetViews>
    <sheetView workbookViewId="0">
      <pane xSplit="7" ySplit="1" topLeftCell="BN2" activePane="bottomRight" state="frozen"/>
      <selection pane="topRight" activeCell="H1" sqref="H1"/>
      <selection pane="bottomLeft" activeCell="A2" sqref="A2"/>
      <selection pane="bottomRight" activeCell="BV8" sqref="BV8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6" width="14.140625" customWidth="1"/>
    <col min="17" max="17" width="29.28515625" bestFit="1" customWidth="1"/>
    <col min="18" max="18" width="24.42578125" bestFit="1" customWidth="1"/>
    <col min="19" max="19" width="32.28515625" bestFit="1" customWidth="1"/>
    <col min="20" max="20" width="28.85546875" bestFit="1" customWidth="1"/>
    <col min="21" max="21" width="27" bestFit="1" customWidth="1"/>
    <col min="22" max="22" width="29.140625" bestFit="1" customWidth="1"/>
    <col min="23" max="23" width="27.28515625" bestFit="1" customWidth="1"/>
    <col min="24" max="24" width="27.42578125" bestFit="1" customWidth="1"/>
    <col min="25" max="25" width="24.7109375" bestFit="1" customWidth="1"/>
    <col min="26" max="26" width="32.5703125" bestFit="1" customWidth="1"/>
    <col min="27" max="27" width="25.28515625" bestFit="1" customWidth="1"/>
    <col min="28" max="28" width="21.5703125" bestFit="1" customWidth="1"/>
    <col min="29" max="29" width="20.140625" bestFit="1" customWidth="1"/>
    <col min="30" max="30" width="24.42578125" bestFit="1" customWidth="1"/>
    <col min="31" max="31" width="43.42578125" bestFit="1" customWidth="1"/>
    <col min="32" max="32" width="43.42578125" customWidth="1"/>
    <col min="33" max="33" width="25.28515625" bestFit="1" customWidth="1"/>
    <col min="34" max="34" width="31.5703125" bestFit="1" customWidth="1"/>
    <col min="35" max="35" width="22.42578125" bestFit="1" customWidth="1"/>
    <col min="36" max="36" width="21" bestFit="1" customWidth="1"/>
    <col min="37" max="37" width="25.42578125" bestFit="1" customWidth="1"/>
    <col min="38" max="38" width="22.7109375" bestFit="1" customWidth="1"/>
    <col min="39" max="39" width="25.5703125" bestFit="1" customWidth="1"/>
    <col min="40" max="40" width="26.28515625" bestFit="1" customWidth="1"/>
    <col min="41" max="41" width="21.5703125" bestFit="1" customWidth="1"/>
    <col min="42" max="42" width="25.42578125" bestFit="1" customWidth="1"/>
    <col min="43" max="43" width="26.5703125" bestFit="1" customWidth="1"/>
    <col min="44" max="44" width="21.85546875" bestFit="1" customWidth="1"/>
    <col min="45" max="46" width="26.42578125" bestFit="1" customWidth="1"/>
    <col min="47" max="47" width="21.7109375" bestFit="1" customWidth="1"/>
    <col min="48" max="48" width="24.85546875" bestFit="1" customWidth="1"/>
    <col min="49" max="49" width="19.85546875" bestFit="1" customWidth="1"/>
    <col min="50" max="50" width="33.140625" bestFit="1" customWidth="1"/>
    <col min="51" max="51" width="30.85546875" bestFit="1" customWidth="1"/>
    <col min="52" max="52" width="37.42578125" bestFit="1" customWidth="1"/>
    <col min="53" max="53" width="38" bestFit="1" customWidth="1"/>
    <col min="54" max="54" width="32.7109375" bestFit="1" customWidth="1"/>
    <col min="55" max="55" width="30.140625" bestFit="1" customWidth="1"/>
    <col min="56" max="56" width="30.7109375" bestFit="1" customWidth="1"/>
    <col min="57" max="57" width="29.5703125" bestFit="1" customWidth="1"/>
    <col min="58" max="58" width="30.28515625" bestFit="1" customWidth="1"/>
    <col min="59" max="59" width="30.28515625" customWidth="1"/>
    <col min="60" max="60" width="25.5703125" bestFit="1" customWidth="1"/>
    <col min="61" max="61" width="47.5703125" bestFit="1" customWidth="1"/>
    <col min="62" max="62" width="47.5703125" customWidth="1"/>
    <col min="63" max="63" width="16" bestFit="1" customWidth="1"/>
    <col min="64" max="64" width="16" customWidth="1"/>
    <col min="65" max="65" width="29.5703125" bestFit="1" customWidth="1"/>
    <col min="66" max="66" width="24.42578125" bestFit="1" customWidth="1"/>
    <col min="67" max="72" width="24.42578125" customWidth="1"/>
    <col min="73" max="73" width="26.42578125" bestFit="1" customWidth="1"/>
    <col min="74" max="74" width="26.7109375" bestFit="1" customWidth="1"/>
    <col min="75" max="75" width="27.7109375" bestFit="1" customWidth="1"/>
    <col min="76" max="76" width="30.85546875" bestFit="1" customWidth="1"/>
    <col min="77" max="77" width="35.5703125" bestFit="1" customWidth="1"/>
    <col min="78" max="78" width="37.5703125" bestFit="1" customWidth="1"/>
    <col min="79" max="79" width="28.7109375" bestFit="1" customWidth="1"/>
    <col min="80" max="80" width="31.5703125" bestFit="1" customWidth="1"/>
    <col min="81" max="81" width="30.140625" bestFit="1" customWidth="1"/>
    <col min="82" max="82" width="24.5703125" bestFit="1" customWidth="1"/>
    <col min="83" max="83" width="29.140625" bestFit="1" customWidth="1"/>
    <col min="84" max="84" width="32.140625" bestFit="1" customWidth="1"/>
    <col min="85" max="85" width="29" bestFit="1" customWidth="1"/>
    <col min="86" max="86" width="32.7109375" bestFit="1" customWidth="1"/>
    <col min="87" max="87" width="18.7109375" bestFit="1" customWidth="1"/>
    <col min="88" max="89" width="23.7109375" bestFit="1" customWidth="1"/>
    <col min="90" max="90" width="40" bestFit="1" customWidth="1"/>
    <col min="91" max="91" width="40" customWidth="1"/>
    <col min="92" max="92" width="26.28515625" bestFit="1" customWidth="1"/>
    <col min="93" max="93" width="20.7109375" bestFit="1" customWidth="1"/>
  </cols>
  <sheetData>
    <row r="1" spans="1:93" s="1" customFormat="1" ht="12.75" x14ac:dyDescent="0.2">
      <c r="A1" s="2" t="s">
        <v>0</v>
      </c>
      <c r="B1" s="2" t="s">
        <v>131</v>
      </c>
      <c r="C1" s="2" t="s">
        <v>896</v>
      </c>
      <c r="D1" s="2" t="s">
        <v>8</v>
      </c>
      <c r="E1" s="2" t="s">
        <v>161</v>
      </c>
      <c r="F1" s="2" t="s">
        <v>162</v>
      </c>
      <c r="G1" s="2" t="s">
        <v>315</v>
      </c>
      <c r="H1" s="2" t="s">
        <v>926</v>
      </c>
      <c r="I1" s="2" t="s">
        <v>897</v>
      </c>
      <c r="J1" s="2" t="s">
        <v>928</v>
      </c>
      <c r="K1" s="2" t="s">
        <v>929</v>
      </c>
      <c r="L1" s="2" t="s">
        <v>927</v>
      </c>
      <c r="M1" s="2" t="s">
        <v>911</v>
      </c>
      <c r="N1" s="2" t="s">
        <v>912</v>
      </c>
      <c r="O1" s="2" t="s">
        <v>913</v>
      </c>
      <c r="P1" s="2" t="s">
        <v>844</v>
      </c>
      <c r="Q1" s="2" t="s">
        <v>930</v>
      </c>
      <c r="R1" s="2" t="s">
        <v>49</v>
      </c>
      <c r="S1" s="2" t="s">
        <v>149</v>
      </c>
      <c r="T1" s="2" t="s">
        <v>50</v>
      </c>
      <c r="U1" s="2" t="s">
        <v>291</v>
      </c>
      <c r="V1" s="2" t="s">
        <v>292</v>
      </c>
      <c r="W1" s="2" t="s">
        <v>293</v>
      </c>
      <c r="X1" s="2" t="s">
        <v>919</v>
      </c>
      <c r="Y1" s="2" t="s">
        <v>156</v>
      </c>
      <c r="Z1" s="2" t="s">
        <v>158</v>
      </c>
      <c r="AA1" s="2" t="s">
        <v>157</v>
      </c>
      <c r="AB1" s="2" t="s">
        <v>56</v>
      </c>
      <c r="AC1" s="2" t="s">
        <v>55</v>
      </c>
      <c r="AD1" s="2" t="s">
        <v>87</v>
      </c>
      <c r="AE1" s="2" t="s">
        <v>332</v>
      </c>
      <c r="AF1" s="2" t="s">
        <v>865</v>
      </c>
      <c r="AG1" s="2" t="s">
        <v>237</v>
      </c>
      <c r="AH1" s="2" t="s">
        <v>116</v>
      </c>
      <c r="AI1" s="2" t="s">
        <v>57</v>
      </c>
      <c r="AJ1" s="2" t="s">
        <v>123</v>
      </c>
      <c r="AK1" s="2" t="s">
        <v>58</v>
      </c>
      <c r="AL1" s="2" t="s">
        <v>9</v>
      </c>
      <c r="AM1" s="2" t="s">
        <v>431</v>
      </c>
      <c r="AN1" s="2" t="s">
        <v>227</v>
      </c>
      <c r="AO1" s="2" t="s">
        <v>159</v>
      </c>
      <c r="AP1" s="2" t="s">
        <v>229</v>
      </c>
      <c r="AQ1" s="2" t="s">
        <v>230</v>
      </c>
      <c r="AR1" s="2" t="s">
        <v>160</v>
      </c>
      <c r="AS1" s="2" t="s">
        <v>216</v>
      </c>
      <c r="AT1" s="2" t="s">
        <v>217</v>
      </c>
      <c r="AU1" s="2" t="s">
        <v>3</v>
      </c>
      <c r="AV1" s="2" t="s">
        <v>10</v>
      </c>
      <c r="AW1" s="2" t="s">
        <v>16</v>
      </c>
      <c r="AX1" s="2" t="s">
        <v>4</v>
      </c>
      <c r="AY1" s="2" t="s">
        <v>99</v>
      </c>
      <c r="AZ1" s="2" t="s">
        <v>185</v>
      </c>
      <c r="BA1" s="2" t="s">
        <v>184</v>
      </c>
      <c r="BB1" s="2" t="s">
        <v>12</v>
      </c>
      <c r="BC1" s="2" t="s">
        <v>233</v>
      </c>
      <c r="BD1" s="2" t="s">
        <v>234</v>
      </c>
      <c r="BE1" s="2" t="s">
        <v>232</v>
      </c>
      <c r="BF1" s="2" t="s">
        <v>334</v>
      </c>
      <c r="BG1" s="2" t="s">
        <v>459</v>
      </c>
      <c r="BH1" s="2" t="s">
        <v>335</v>
      </c>
      <c r="BI1" s="2" t="s">
        <v>147</v>
      </c>
      <c r="BJ1" s="2" t="s">
        <v>921</v>
      </c>
      <c r="BK1" s="2" t="s">
        <v>22</v>
      </c>
      <c r="BL1" s="2" t="s">
        <v>917</v>
      </c>
      <c r="BM1" s="2" t="s">
        <v>164</v>
      </c>
      <c r="BN1" s="2" t="s">
        <v>165</v>
      </c>
      <c r="BO1" s="2" t="s">
        <v>898</v>
      </c>
      <c r="BP1" s="2" t="s">
        <v>914</v>
      </c>
      <c r="BQ1" s="2" t="s">
        <v>915</v>
      </c>
      <c r="BR1" s="2" t="s">
        <v>880</v>
      </c>
      <c r="BS1" s="2" t="s">
        <v>931</v>
      </c>
      <c r="BT1" s="2" t="s">
        <v>899</v>
      </c>
      <c r="BU1" s="2" t="s">
        <v>1</v>
      </c>
      <c r="BV1" s="2" t="s">
        <v>2</v>
      </c>
      <c r="BW1" s="2" t="s">
        <v>59</v>
      </c>
      <c r="BX1" s="2" t="s">
        <v>1161</v>
      </c>
      <c r="BY1" s="2" t="s">
        <v>238</v>
      </c>
      <c r="BZ1" s="2" t="s">
        <v>117</v>
      </c>
      <c r="CA1" s="2" t="s">
        <v>60</v>
      </c>
      <c r="CB1" s="2" t="s">
        <v>61</v>
      </c>
      <c r="CC1" s="2" t="s">
        <v>98</v>
      </c>
      <c r="CD1" s="2" t="s">
        <v>5</v>
      </c>
      <c r="CE1" s="2" t="s">
        <v>6</v>
      </c>
      <c r="CF1" s="2" t="s">
        <v>17</v>
      </c>
      <c r="CG1" s="2" t="s">
        <v>18</v>
      </c>
      <c r="CH1" s="2" t="s">
        <v>7</v>
      </c>
      <c r="CI1" s="2" t="s">
        <v>19</v>
      </c>
      <c r="CJ1" s="2" t="s">
        <v>20</v>
      </c>
      <c r="CK1" s="2" t="s">
        <v>21</v>
      </c>
      <c r="CL1" s="2" t="s">
        <v>148</v>
      </c>
      <c r="CM1" s="2" t="s">
        <v>923</v>
      </c>
      <c r="CN1" s="2" t="s">
        <v>23</v>
      </c>
      <c r="CO1" s="2" t="s">
        <v>51</v>
      </c>
    </row>
    <row r="2" spans="1:93" s="1" customFormat="1" ht="12.75" x14ac:dyDescent="0.2">
      <c r="A2" s="1" t="s">
        <v>141</v>
      </c>
      <c r="B2" s="1" t="s">
        <v>142</v>
      </c>
      <c r="D2" s="33">
        <v>1996</v>
      </c>
      <c r="E2" s="33">
        <v>1</v>
      </c>
      <c r="F2" s="33">
        <v>0</v>
      </c>
      <c r="G2" s="33">
        <v>0</v>
      </c>
      <c r="H2" s="33"/>
      <c r="I2" s="33"/>
      <c r="J2" s="33">
        <v>60</v>
      </c>
      <c r="K2" s="33">
        <v>130</v>
      </c>
      <c r="L2" s="33">
        <v>2.5920000000000001</v>
      </c>
      <c r="M2" s="33"/>
      <c r="N2" s="33"/>
      <c r="O2" s="33"/>
      <c r="P2" s="33">
        <v>26.68</v>
      </c>
      <c r="Q2" s="33"/>
      <c r="R2" s="19"/>
      <c r="S2" s="19"/>
      <c r="T2" s="19"/>
      <c r="U2" s="34"/>
      <c r="V2" s="34"/>
      <c r="W2" s="34"/>
      <c r="X2" s="34"/>
      <c r="Y2" s="34"/>
      <c r="Z2" s="34"/>
      <c r="AA2" s="34"/>
      <c r="AB2" s="34"/>
      <c r="AC2" s="67"/>
      <c r="AD2" s="36"/>
      <c r="AE2" s="36"/>
      <c r="AF2" s="77"/>
      <c r="AG2" s="36"/>
      <c r="AH2" s="35"/>
      <c r="AI2" s="34">
        <v>39910</v>
      </c>
      <c r="AJ2" s="36"/>
      <c r="AK2" s="34">
        <v>39910</v>
      </c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19"/>
      <c r="BA2" s="19"/>
      <c r="BB2" s="34"/>
      <c r="BC2" s="37"/>
      <c r="BD2" s="37"/>
      <c r="BE2" s="37"/>
      <c r="BF2" s="37"/>
      <c r="BG2" s="37"/>
      <c r="BH2" s="33"/>
      <c r="BI2" s="33"/>
      <c r="BJ2" s="33"/>
      <c r="BM2" s="33"/>
      <c r="BN2" s="33"/>
      <c r="BO2" s="33"/>
      <c r="BP2" s="33">
        <v>49</v>
      </c>
      <c r="BQ2" s="33"/>
      <c r="BR2" s="33">
        <v>49</v>
      </c>
      <c r="BS2" s="33"/>
      <c r="BT2" s="33"/>
      <c r="BU2" s="38"/>
      <c r="BV2" s="33"/>
      <c r="BW2" s="33"/>
      <c r="BX2" s="33"/>
      <c r="BY2" s="38"/>
      <c r="BZ2" s="38"/>
      <c r="CA2" s="33">
        <v>49</v>
      </c>
      <c r="CB2" s="38">
        <v>49</v>
      </c>
      <c r="CC2" s="38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</row>
    <row r="3" spans="1:93" x14ac:dyDescent="0.25">
      <c r="A3" s="79" t="s">
        <v>935</v>
      </c>
      <c r="B3" s="1" t="s">
        <v>889</v>
      </c>
      <c r="C3" s="1"/>
      <c r="D3" s="33">
        <v>1996</v>
      </c>
      <c r="E3" s="79">
        <v>1</v>
      </c>
      <c r="F3" s="79">
        <v>0</v>
      </c>
      <c r="G3" s="1">
        <v>0</v>
      </c>
      <c r="H3" s="1"/>
      <c r="I3" s="1"/>
      <c r="J3" s="1"/>
      <c r="K3" s="1"/>
      <c r="L3" s="1">
        <v>15000</v>
      </c>
      <c r="M3" s="1"/>
      <c r="N3" s="1"/>
      <c r="O3" s="1"/>
      <c r="P3" s="1">
        <v>28</v>
      </c>
      <c r="Q3" s="68">
        <v>7</v>
      </c>
      <c r="R3" s="80">
        <v>70</v>
      </c>
      <c r="S3" s="80"/>
      <c r="T3" s="80">
        <v>770</v>
      </c>
      <c r="U3" s="19"/>
      <c r="V3" s="80"/>
      <c r="W3" s="19"/>
      <c r="X3" s="80"/>
      <c r="Y3" s="80"/>
      <c r="Z3" s="80">
        <v>4950</v>
      </c>
      <c r="AA3" s="80"/>
      <c r="AB3" s="80"/>
      <c r="AC3" s="67"/>
      <c r="AD3" s="81"/>
      <c r="AE3" s="82"/>
      <c r="AF3" s="49"/>
      <c r="AG3" s="81"/>
      <c r="AH3" s="83"/>
      <c r="AI3" s="80"/>
      <c r="AJ3" s="82"/>
      <c r="AK3" s="80"/>
      <c r="AL3" s="84"/>
      <c r="AM3" s="84"/>
      <c r="AN3" s="84"/>
      <c r="AO3" s="79"/>
      <c r="AP3" s="79"/>
      <c r="AQ3" s="79"/>
      <c r="AR3" s="79"/>
      <c r="AS3" s="79"/>
      <c r="AT3" s="79"/>
      <c r="AU3" s="79"/>
      <c r="AV3" s="79"/>
      <c r="AW3" s="79"/>
      <c r="AX3" s="84"/>
      <c r="AY3" s="79"/>
      <c r="AZ3" s="80"/>
      <c r="BA3" s="80"/>
      <c r="BB3" s="80"/>
      <c r="BC3" s="85"/>
      <c r="BD3" s="85"/>
      <c r="BE3" s="85"/>
      <c r="BF3" s="85"/>
      <c r="BG3" s="85"/>
      <c r="BH3" s="84"/>
      <c r="BI3" s="84"/>
      <c r="BJ3" s="1"/>
      <c r="BK3" s="79"/>
      <c r="BL3" s="1"/>
      <c r="BM3" s="79"/>
      <c r="BN3" s="79"/>
      <c r="BO3" s="1"/>
      <c r="BP3" s="33">
        <v>62</v>
      </c>
      <c r="BQ3" s="33"/>
      <c r="BR3" s="33">
        <v>62</v>
      </c>
      <c r="BS3" s="33">
        <v>64</v>
      </c>
      <c r="BT3" s="1"/>
      <c r="BU3" s="86">
        <v>68</v>
      </c>
      <c r="BV3" s="79">
        <v>69</v>
      </c>
      <c r="BW3" s="86"/>
      <c r="BX3" s="86"/>
      <c r="BY3" s="86"/>
      <c r="BZ3" s="86"/>
      <c r="CA3" s="79"/>
      <c r="CB3" s="86"/>
      <c r="CC3" s="86"/>
      <c r="CD3" s="79"/>
      <c r="CE3" s="1"/>
      <c r="CF3" s="79"/>
      <c r="CG3" s="1"/>
      <c r="CH3" s="79"/>
      <c r="CI3" s="79"/>
      <c r="CJ3" s="79"/>
      <c r="CK3" s="79"/>
      <c r="CL3" s="79"/>
      <c r="CM3" s="1"/>
      <c r="CN3" s="79"/>
      <c r="CO3" s="79"/>
    </row>
    <row r="4" spans="1:93" x14ac:dyDescent="0.25">
      <c r="A4" s="79" t="s">
        <v>213</v>
      </c>
      <c r="B4" s="79" t="s">
        <v>129</v>
      </c>
      <c r="C4" s="1"/>
      <c r="D4" s="79">
        <v>1997</v>
      </c>
      <c r="E4" s="79">
        <v>1</v>
      </c>
      <c r="F4" s="79">
        <v>0</v>
      </c>
      <c r="G4" s="1">
        <v>0</v>
      </c>
      <c r="H4" s="1"/>
      <c r="I4" s="1"/>
      <c r="J4" s="1"/>
      <c r="K4" s="1"/>
      <c r="L4" s="1"/>
      <c r="M4" s="1"/>
      <c r="N4" s="1"/>
      <c r="O4" s="1"/>
      <c r="P4" s="68">
        <v>43.216999999999999</v>
      </c>
      <c r="R4" s="80">
        <v>0</v>
      </c>
      <c r="S4" s="80"/>
      <c r="T4" s="80">
        <f>6000+4000</f>
        <v>10000</v>
      </c>
      <c r="U4" s="19"/>
      <c r="V4" s="80"/>
      <c r="W4" s="19"/>
      <c r="X4" s="80"/>
      <c r="Y4" s="80">
        <v>0</v>
      </c>
      <c r="Z4" s="80"/>
      <c r="AA4" s="80">
        <f>10000+16000</f>
        <v>26000</v>
      </c>
      <c r="AB4" s="80"/>
      <c r="AC4" s="67"/>
      <c r="AD4" s="81"/>
      <c r="AE4" s="82"/>
      <c r="AF4" s="49"/>
      <c r="AG4" s="81"/>
      <c r="AH4" s="83"/>
      <c r="AI4" s="80"/>
      <c r="AJ4" s="82"/>
      <c r="AK4" s="80"/>
      <c r="AL4" s="84"/>
      <c r="AM4" s="84">
        <v>0.5</v>
      </c>
      <c r="AN4" s="84">
        <v>2</v>
      </c>
      <c r="AO4" s="79"/>
      <c r="AP4" s="79">
        <f>10/60</f>
        <v>0.16666666666666666</v>
      </c>
      <c r="AQ4" s="79">
        <v>1</v>
      </c>
      <c r="AR4" s="79"/>
      <c r="AS4" s="79"/>
      <c r="AT4" s="79"/>
      <c r="AU4" s="79"/>
      <c r="AV4" s="79"/>
      <c r="AW4" s="79"/>
      <c r="AX4" s="84"/>
      <c r="AY4" s="79"/>
      <c r="AZ4" s="80"/>
      <c r="BA4" s="80"/>
      <c r="BB4" s="80"/>
      <c r="BC4" s="85"/>
      <c r="BD4" s="85"/>
      <c r="BE4" s="85"/>
      <c r="BF4" s="85"/>
      <c r="BG4" s="85"/>
      <c r="BH4" s="84"/>
      <c r="BI4" s="84"/>
      <c r="BJ4" s="1"/>
      <c r="BK4" s="79"/>
      <c r="BL4" s="1"/>
      <c r="BM4" s="79"/>
      <c r="BN4" s="79"/>
      <c r="BO4" s="1"/>
      <c r="BP4" s="1"/>
      <c r="BQ4" s="1"/>
      <c r="BR4" s="1">
        <v>88</v>
      </c>
      <c r="BS4" s="1"/>
      <c r="BT4" s="1"/>
      <c r="BU4" s="13" t="s">
        <v>932</v>
      </c>
      <c r="BV4" s="1" t="s">
        <v>933</v>
      </c>
      <c r="BW4" s="86"/>
      <c r="BX4" s="86"/>
      <c r="BY4" s="86"/>
      <c r="BZ4" s="86"/>
      <c r="CA4" s="79"/>
      <c r="CB4" s="86"/>
      <c r="CC4" s="86"/>
      <c r="CD4" s="1" t="s">
        <v>934</v>
      </c>
      <c r="CE4" s="1"/>
      <c r="CF4" s="79"/>
      <c r="CG4" s="1"/>
      <c r="CH4" s="79"/>
      <c r="CI4" s="79"/>
      <c r="CJ4" s="79"/>
      <c r="CK4" s="79"/>
      <c r="CL4" s="79"/>
      <c r="CM4" s="1"/>
      <c r="CN4" s="79"/>
      <c r="CO4" s="79"/>
    </row>
    <row r="5" spans="1:93" x14ac:dyDescent="0.25">
      <c r="A5" s="1" t="s">
        <v>135</v>
      </c>
      <c r="B5" s="1" t="s">
        <v>142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1"/>
      <c r="L5" s="1"/>
      <c r="M5" s="1"/>
      <c r="N5" s="1"/>
      <c r="O5" s="1"/>
      <c r="P5" s="68">
        <v>66.179000000000002</v>
      </c>
      <c r="R5" s="19">
        <v>1500</v>
      </c>
      <c r="S5" s="19"/>
      <c r="T5" s="19">
        <v>4200</v>
      </c>
      <c r="U5" s="19"/>
      <c r="V5" s="19"/>
      <c r="W5" s="19"/>
      <c r="X5" s="19"/>
      <c r="Y5" s="19">
        <v>500</v>
      </c>
      <c r="Z5" s="19"/>
      <c r="AA5" s="19">
        <v>1484</v>
      </c>
      <c r="AB5" s="19"/>
      <c r="AC5" s="67"/>
      <c r="AD5" s="67"/>
      <c r="AE5" s="9"/>
      <c r="AF5" s="49"/>
      <c r="AG5" s="67"/>
      <c r="AH5" s="20"/>
      <c r="AI5" s="19"/>
      <c r="AJ5" s="9"/>
      <c r="AK5" s="19"/>
      <c r="AL5" s="68"/>
      <c r="AM5" s="68">
        <v>4</v>
      </c>
      <c r="AN5" s="68">
        <v>5</v>
      </c>
      <c r="AO5" s="1"/>
      <c r="AP5" s="68">
        <v>10</v>
      </c>
      <c r="AQ5" s="1">
        <v>16</v>
      </c>
      <c r="AR5" s="1"/>
      <c r="AS5" s="1"/>
      <c r="AT5" s="1"/>
      <c r="AU5" s="1"/>
      <c r="AV5" s="1"/>
      <c r="AW5" s="1"/>
      <c r="AX5" s="68"/>
      <c r="AY5" s="1"/>
      <c r="AZ5" s="19"/>
      <c r="BA5" s="19"/>
      <c r="BB5" s="19"/>
      <c r="BC5" s="8"/>
      <c r="BD5" s="8"/>
      <c r="BE5" s="8"/>
      <c r="BF5" s="8"/>
      <c r="BG5" s="8"/>
      <c r="BH5" s="68"/>
      <c r="BI5" s="68"/>
      <c r="BJ5" s="1"/>
      <c r="BK5" s="1"/>
      <c r="BL5" s="1"/>
      <c r="BM5" s="1"/>
      <c r="BN5" s="1"/>
      <c r="BO5" s="1"/>
      <c r="BP5" s="1"/>
      <c r="BQ5" s="1"/>
      <c r="BR5" s="1">
        <v>99</v>
      </c>
      <c r="BS5" s="1"/>
      <c r="BT5" s="1"/>
      <c r="BU5" s="13">
        <v>114</v>
      </c>
      <c r="BV5" s="1">
        <v>114</v>
      </c>
      <c r="BW5" s="13"/>
      <c r="BX5" s="13"/>
      <c r="BY5" s="13"/>
      <c r="BZ5" s="13"/>
      <c r="CA5" s="1"/>
      <c r="CB5" s="13"/>
      <c r="CC5" s="13"/>
      <c r="CD5" s="1">
        <v>114</v>
      </c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</row>
    <row r="6" spans="1:93" x14ac:dyDescent="0.25">
      <c r="A6" s="1" t="s">
        <v>136</v>
      </c>
      <c r="B6" s="1" t="s">
        <v>142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1"/>
      <c r="L6" s="1"/>
      <c r="M6" s="1"/>
      <c r="N6" s="1"/>
      <c r="O6" s="1"/>
      <c r="P6" s="68">
        <v>66.179000000000002</v>
      </c>
      <c r="R6" s="19">
        <v>500</v>
      </c>
      <c r="S6" s="19"/>
      <c r="T6" s="19">
        <v>3500</v>
      </c>
      <c r="U6" s="19"/>
      <c r="V6" s="19"/>
      <c r="W6" s="19"/>
      <c r="X6" s="19"/>
      <c r="Y6" s="19">
        <v>1404</v>
      </c>
      <c r="Z6" s="19"/>
      <c r="AA6" s="19">
        <v>500</v>
      </c>
      <c r="AB6" s="19"/>
      <c r="AC6" s="67"/>
      <c r="AD6" s="67"/>
      <c r="AE6" s="9"/>
      <c r="AF6" s="49"/>
      <c r="AG6" s="67"/>
      <c r="AH6" s="20"/>
      <c r="AI6" s="19"/>
      <c r="AJ6" s="9"/>
      <c r="AK6" s="19"/>
      <c r="AL6" s="68"/>
      <c r="AM6" s="68">
        <v>2</v>
      </c>
      <c r="AN6" s="68">
        <v>3</v>
      </c>
      <c r="AO6" s="1"/>
      <c r="AP6" s="68">
        <v>3.5</v>
      </c>
      <c r="AQ6" s="1">
        <v>6</v>
      </c>
      <c r="AR6" s="1"/>
      <c r="AS6" s="1"/>
      <c r="AT6" s="1"/>
      <c r="AU6" s="1"/>
      <c r="AV6" s="1"/>
      <c r="AW6" s="1"/>
      <c r="AX6" s="68"/>
      <c r="AY6" s="1"/>
      <c r="AZ6" s="19"/>
      <c r="BA6" s="19"/>
      <c r="BB6" s="19"/>
      <c r="BC6" s="8"/>
      <c r="BD6" s="8"/>
      <c r="BE6" s="8"/>
      <c r="BF6" s="8"/>
      <c r="BG6" s="8"/>
      <c r="BH6" s="68"/>
      <c r="BI6" s="68"/>
      <c r="BJ6" s="1"/>
      <c r="BK6" s="1"/>
      <c r="BL6" s="1"/>
      <c r="BM6" s="1"/>
      <c r="BN6" s="1"/>
      <c r="BO6" s="1"/>
      <c r="BP6" s="1"/>
      <c r="BQ6" s="1"/>
      <c r="BR6" s="1">
        <v>99</v>
      </c>
      <c r="BS6" s="1"/>
      <c r="BT6" s="1"/>
      <c r="BU6" s="13">
        <v>116</v>
      </c>
      <c r="BV6" s="1">
        <v>116</v>
      </c>
      <c r="BW6" s="13"/>
      <c r="BX6" s="13"/>
      <c r="BY6" s="13"/>
      <c r="BZ6" s="13"/>
      <c r="CA6" s="1"/>
      <c r="CB6" s="13"/>
      <c r="CC6" s="13"/>
      <c r="CD6" s="1">
        <v>116</v>
      </c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</row>
    <row r="7" spans="1:93" x14ac:dyDescent="0.25">
      <c r="A7" s="1" t="s">
        <v>394</v>
      </c>
      <c r="B7" s="1" t="s">
        <v>130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1"/>
      <c r="L7" s="1"/>
      <c r="M7" s="1"/>
      <c r="N7" s="1"/>
      <c r="O7" s="1"/>
      <c r="P7" s="68">
        <v>66.179000000000002</v>
      </c>
      <c r="R7" s="19">
        <v>250</v>
      </c>
      <c r="S7" s="19"/>
      <c r="T7" s="19">
        <v>2800</v>
      </c>
      <c r="U7" s="19"/>
      <c r="V7" s="19"/>
      <c r="W7" s="19"/>
      <c r="X7" s="19"/>
      <c r="Y7" s="19">
        <v>250</v>
      </c>
      <c r="Z7" s="19"/>
      <c r="AA7" s="19">
        <v>1119</v>
      </c>
      <c r="AB7" s="19"/>
      <c r="AC7" s="67"/>
      <c r="AD7" s="67"/>
      <c r="AE7" s="9"/>
      <c r="AF7" s="49"/>
      <c r="AG7" s="67"/>
      <c r="AH7" s="20"/>
      <c r="AI7" s="19"/>
      <c r="AJ7" s="9"/>
      <c r="AK7" s="19"/>
      <c r="AL7" s="68"/>
      <c r="AM7" s="68">
        <v>1</v>
      </c>
      <c r="AN7" s="68">
        <v>2</v>
      </c>
      <c r="AO7" s="1"/>
      <c r="AP7" s="68">
        <v>2</v>
      </c>
      <c r="AQ7" s="1">
        <v>4</v>
      </c>
      <c r="AR7" s="1"/>
      <c r="AS7" s="1"/>
      <c r="AT7" s="1"/>
      <c r="AU7" s="1"/>
      <c r="AV7" s="1"/>
      <c r="AW7" s="1"/>
      <c r="AX7" s="68"/>
      <c r="AY7" s="1"/>
      <c r="AZ7" s="19"/>
      <c r="BA7" s="19"/>
      <c r="BB7" s="19"/>
      <c r="BC7" s="8"/>
      <c r="BD7" s="8"/>
      <c r="BE7" s="8"/>
      <c r="BF7" s="8"/>
      <c r="BG7" s="8"/>
      <c r="BH7" s="68"/>
      <c r="BI7" s="68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3">
        <v>122</v>
      </c>
      <c r="BV7" s="1">
        <v>122</v>
      </c>
      <c r="BW7" s="13"/>
      <c r="BX7" s="13"/>
      <c r="BY7" s="13"/>
      <c r="BZ7" s="13"/>
      <c r="CA7" s="1"/>
      <c r="CB7" s="13"/>
      <c r="CC7" s="13"/>
      <c r="CD7" s="1">
        <v>122</v>
      </c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</row>
    <row r="8" spans="1:93" x14ac:dyDescent="0.25">
      <c r="A8" s="1" t="s">
        <v>153</v>
      </c>
      <c r="B8" s="1" t="s">
        <v>889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1"/>
      <c r="L8" s="1"/>
      <c r="M8" s="1"/>
      <c r="N8" s="1"/>
      <c r="O8" s="1"/>
      <c r="P8" s="68">
        <v>15</v>
      </c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67"/>
      <c r="AD8" s="67"/>
      <c r="AE8" s="9"/>
      <c r="AF8" s="49"/>
      <c r="AG8" s="67"/>
      <c r="AH8" s="20"/>
      <c r="AI8" s="19"/>
      <c r="AJ8" s="9"/>
      <c r="AK8" s="19"/>
      <c r="AL8" s="68"/>
      <c r="AM8" s="68"/>
      <c r="AN8" s="68"/>
      <c r="AO8" s="1"/>
      <c r="AP8" s="68"/>
      <c r="AQ8" s="1"/>
      <c r="AR8" s="1"/>
      <c r="AS8" s="1"/>
      <c r="AT8" s="1"/>
      <c r="AU8" s="1"/>
      <c r="AV8" s="1"/>
      <c r="AW8" s="1"/>
      <c r="AX8" s="68"/>
      <c r="AY8" s="1"/>
      <c r="AZ8" s="19"/>
      <c r="BA8" s="19"/>
      <c r="BB8" s="19"/>
      <c r="BC8" s="8"/>
      <c r="BD8" s="8"/>
      <c r="BE8" s="8"/>
      <c r="BF8" s="8"/>
      <c r="BG8" s="8"/>
      <c r="BH8" s="68"/>
      <c r="BI8" s="68"/>
      <c r="BJ8" s="1"/>
      <c r="BK8" s="1"/>
      <c r="BL8" s="1"/>
      <c r="BM8" s="1"/>
      <c r="BN8" s="1">
        <v>140</v>
      </c>
      <c r="BO8" s="1"/>
      <c r="BP8" s="1"/>
      <c r="BQ8" s="1"/>
      <c r="BR8" s="1"/>
      <c r="BS8" s="1"/>
      <c r="BT8" s="1"/>
      <c r="BU8" s="13"/>
      <c r="BV8" s="1"/>
      <c r="BW8" s="13"/>
      <c r="BX8" s="13"/>
      <c r="BY8" s="13"/>
      <c r="BZ8" s="13"/>
      <c r="CA8" s="1"/>
      <c r="CB8" s="13"/>
      <c r="CC8" s="13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</row>
    <row r="9" spans="1:93" x14ac:dyDescent="0.25">
      <c r="A9" s="1" t="s">
        <v>224</v>
      </c>
      <c r="B9" s="1" t="s">
        <v>129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1"/>
      <c r="L9" s="1"/>
      <c r="M9" s="1"/>
      <c r="N9" s="1"/>
      <c r="O9" s="1"/>
      <c r="P9" s="68">
        <v>14</v>
      </c>
      <c r="R9" s="19"/>
      <c r="S9" s="19">
        <v>223.7</v>
      </c>
      <c r="T9" s="19"/>
      <c r="U9" s="19"/>
      <c r="V9" s="19"/>
      <c r="W9" s="19"/>
      <c r="X9" s="19"/>
      <c r="Y9" s="19"/>
      <c r="Z9" s="19">
        <v>91</v>
      </c>
      <c r="AA9" s="19"/>
      <c r="AB9" s="19"/>
      <c r="AC9" s="67"/>
      <c r="AD9" s="67"/>
      <c r="AE9" s="9"/>
      <c r="AF9" s="49"/>
      <c r="AG9" s="67"/>
      <c r="AH9" s="20">
        <v>1598</v>
      </c>
      <c r="AI9" s="19"/>
      <c r="AJ9" s="9"/>
      <c r="AK9" s="19"/>
      <c r="AL9" s="68"/>
      <c r="AM9" s="68"/>
      <c r="AN9" s="68"/>
      <c r="AO9" s="1"/>
      <c r="AP9" s="68"/>
      <c r="AQ9" s="1"/>
      <c r="AR9" s="1"/>
      <c r="AS9" s="1"/>
      <c r="AT9" s="1"/>
      <c r="AU9" s="1"/>
      <c r="AV9" s="1"/>
      <c r="AW9" s="1"/>
      <c r="AX9" s="68"/>
      <c r="AY9" s="1"/>
      <c r="AZ9" s="19"/>
      <c r="BA9" s="19"/>
      <c r="BB9" s="19"/>
      <c r="BC9" s="8"/>
      <c r="BD9" s="8"/>
      <c r="BE9" s="8"/>
      <c r="BF9" s="8"/>
      <c r="BG9" s="8"/>
      <c r="BH9" s="68"/>
      <c r="BI9" s="68"/>
      <c r="BJ9" s="1"/>
      <c r="BK9" s="1"/>
      <c r="BL9" s="1"/>
      <c r="BM9" s="1"/>
      <c r="BN9" s="1"/>
      <c r="BO9" s="1"/>
      <c r="BP9" s="1"/>
      <c r="BQ9" s="1"/>
      <c r="BR9" s="1">
        <v>162</v>
      </c>
      <c r="BS9" s="1"/>
      <c r="BT9" s="1"/>
      <c r="BU9" s="13">
        <v>162</v>
      </c>
      <c r="BV9" s="1">
        <v>162</v>
      </c>
      <c r="BW9" s="13"/>
      <c r="BX9" s="13"/>
      <c r="BY9" s="13"/>
      <c r="BZ9" s="13"/>
      <c r="CA9" s="1"/>
      <c r="CB9" s="13"/>
      <c r="CC9" s="13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</row>
    <row r="10" spans="1:93" x14ac:dyDescent="0.25">
      <c r="A10" s="1" t="s">
        <v>132</v>
      </c>
      <c r="B10" s="1" t="s">
        <v>142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1"/>
      <c r="L10" s="1"/>
      <c r="M10" s="1"/>
      <c r="N10" s="1"/>
      <c r="O10" s="1"/>
      <c r="P10" s="68"/>
      <c r="R10" s="19">
        <v>0</v>
      </c>
      <c r="S10" s="19">
        <v>578</v>
      </c>
      <c r="T10" s="19">
        <v>1438</v>
      </c>
      <c r="U10" s="19"/>
      <c r="V10" s="19"/>
      <c r="W10" s="19"/>
      <c r="X10" s="19"/>
      <c r="Y10" s="19"/>
      <c r="Z10" s="19"/>
      <c r="AA10" s="19"/>
      <c r="AB10" s="19"/>
      <c r="AC10" s="67"/>
      <c r="AD10" s="67"/>
      <c r="AE10" s="9"/>
      <c r="AF10" s="49"/>
      <c r="AG10" s="67"/>
      <c r="AH10" s="20"/>
      <c r="AI10" s="19"/>
      <c r="AJ10" s="9"/>
      <c r="AK10" s="19"/>
      <c r="AL10" s="68"/>
      <c r="AM10" s="68"/>
      <c r="AN10" s="68"/>
      <c r="AO10" s="1">
        <v>2</v>
      </c>
      <c r="AP10" s="68"/>
      <c r="AQ10" s="1"/>
      <c r="AR10" s="1">
        <v>2</v>
      </c>
      <c r="AS10" s="1">
        <v>24</v>
      </c>
      <c r="AT10" s="1"/>
      <c r="AU10" s="1"/>
      <c r="AV10" s="1"/>
      <c r="AW10" s="1"/>
      <c r="AX10" s="68"/>
      <c r="AY10" s="1"/>
      <c r="AZ10" s="19"/>
      <c r="BA10" s="19"/>
      <c r="BB10" s="19"/>
      <c r="BC10" s="8"/>
      <c r="BD10" s="8"/>
      <c r="BE10" s="8"/>
      <c r="BF10" s="8"/>
      <c r="BG10" s="8"/>
      <c r="BH10" s="68"/>
      <c r="BI10" s="68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3" t="s">
        <v>936</v>
      </c>
      <c r="BV10" s="1"/>
      <c r="BW10" s="13"/>
      <c r="BX10" s="13"/>
      <c r="BY10" s="13"/>
      <c r="BZ10" s="13"/>
      <c r="CA10" s="1"/>
      <c r="CB10" s="13"/>
      <c r="CC10" s="13"/>
      <c r="CD10" s="1">
        <v>169</v>
      </c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</row>
    <row r="11" spans="1:93" x14ac:dyDescent="0.25">
      <c r="A11" s="1" t="s">
        <v>133</v>
      </c>
      <c r="B11" s="1" t="s">
        <v>142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1"/>
      <c r="L11" s="1"/>
      <c r="M11" s="1"/>
      <c r="N11" s="1"/>
      <c r="O11" s="1"/>
      <c r="P11" s="68"/>
      <c r="R11" s="19">
        <v>0</v>
      </c>
      <c r="S11" s="19">
        <v>580.49999999999989</v>
      </c>
      <c r="T11" s="19">
        <v>1885</v>
      </c>
      <c r="U11" s="19"/>
      <c r="V11" s="19"/>
      <c r="W11" s="19"/>
      <c r="X11" s="19"/>
      <c r="Y11" s="19"/>
      <c r="Z11" s="19"/>
      <c r="AA11" s="19"/>
      <c r="AB11" s="19"/>
      <c r="AC11" s="67"/>
      <c r="AD11" s="67"/>
      <c r="AE11" s="9"/>
      <c r="AF11" s="49"/>
      <c r="AG11" s="67"/>
      <c r="AH11" s="20"/>
      <c r="AI11" s="19"/>
      <c r="AJ11" s="9"/>
      <c r="AK11" s="19"/>
      <c r="AL11" s="68"/>
      <c r="AM11" s="68"/>
      <c r="AN11" s="68"/>
      <c r="AO11" s="1">
        <v>2</v>
      </c>
      <c r="AP11" s="68"/>
      <c r="AQ11" s="1"/>
      <c r="AR11" s="1">
        <v>2</v>
      </c>
      <c r="AS11" s="1">
        <v>24</v>
      </c>
      <c r="AT11" s="1"/>
      <c r="AU11" s="1"/>
      <c r="AV11" s="1"/>
      <c r="AW11" s="1"/>
      <c r="AX11" s="68"/>
      <c r="AY11" s="1"/>
      <c r="AZ11" s="19"/>
      <c r="BA11" s="19"/>
      <c r="BB11" s="19"/>
      <c r="BC11" s="8"/>
      <c r="BD11" s="8"/>
      <c r="BE11" s="8"/>
      <c r="BF11" s="8"/>
      <c r="BG11" s="8"/>
      <c r="BH11" s="68"/>
      <c r="BI11" s="68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3" t="s">
        <v>936</v>
      </c>
      <c r="BV11" s="1"/>
      <c r="BW11" s="13"/>
      <c r="BX11" s="13"/>
      <c r="BY11" s="13"/>
      <c r="BZ11" s="13"/>
      <c r="CA11" s="1"/>
      <c r="CB11" s="13"/>
      <c r="CC11" s="13"/>
      <c r="CD11" s="1">
        <v>169</v>
      </c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</row>
    <row r="12" spans="1:93" x14ac:dyDescent="0.25">
      <c r="A12" s="1" t="s">
        <v>288</v>
      </c>
      <c r="B12" s="1" t="s">
        <v>142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1"/>
      <c r="L12" s="1"/>
      <c r="M12" s="1"/>
      <c r="N12" s="1"/>
      <c r="O12" s="1"/>
      <c r="P12" s="68"/>
      <c r="R12" s="19">
        <v>0</v>
      </c>
      <c r="S12" s="19">
        <v>570.96820464750033</v>
      </c>
      <c r="T12" s="19">
        <v>1661.4793977026998</v>
      </c>
      <c r="U12" s="19"/>
      <c r="V12" s="19"/>
      <c r="W12" s="19"/>
      <c r="X12" s="19"/>
      <c r="Y12" s="19"/>
      <c r="Z12" s="19"/>
      <c r="AA12" s="19"/>
      <c r="AB12" s="19"/>
      <c r="AC12" s="67"/>
      <c r="AD12" s="67"/>
      <c r="AE12" s="9"/>
      <c r="AF12" s="49"/>
      <c r="AG12" s="67"/>
      <c r="AH12" s="20"/>
      <c r="AI12" s="19"/>
      <c r="AJ12" s="9"/>
      <c r="AK12" s="19"/>
      <c r="AL12" s="68"/>
      <c r="AM12" s="68"/>
      <c r="AN12" s="68"/>
      <c r="AO12" s="1">
        <v>2</v>
      </c>
      <c r="AP12" s="68"/>
      <c r="AQ12" s="1"/>
      <c r="AR12" s="1">
        <v>2</v>
      </c>
      <c r="AS12" s="1">
        <v>24</v>
      </c>
      <c r="AT12" s="1"/>
      <c r="AU12" s="1"/>
      <c r="AV12" s="1"/>
      <c r="AW12" s="1"/>
      <c r="AX12" s="68"/>
      <c r="AY12" s="1"/>
      <c r="AZ12" s="19"/>
      <c r="BA12" s="19"/>
      <c r="BB12" s="19"/>
      <c r="BC12" s="8"/>
      <c r="BD12" s="8"/>
      <c r="BE12" s="8"/>
      <c r="BF12" s="8"/>
      <c r="BG12" s="8"/>
      <c r="BH12" s="68"/>
      <c r="BI12" s="68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3" t="s">
        <v>936</v>
      </c>
      <c r="BV12" s="1"/>
      <c r="BW12" s="13"/>
      <c r="BX12" s="13"/>
      <c r="BY12" s="13"/>
      <c r="BZ12" s="13"/>
      <c r="CA12" s="1"/>
      <c r="CB12" s="13"/>
      <c r="CC12" s="13"/>
      <c r="CD12" s="1">
        <v>169</v>
      </c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</row>
    <row r="13" spans="1:93" x14ac:dyDescent="0.25">
      <c r="A13" s="1" t="s">
        <v>167</v>
      </c>
      <c r="B13" s="1" t="s">
        <v>142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1"/>
      <c r="L13" s="1"/>
      <c r="M13" s="1"/>
      <c r="N13" s="1"/>
      <c r="O13" s="1"/>
      <c r="P13" s="68"/>
      <c r="R13" s="19"/>
      <c r="S13" s="19"/>
      <c r="T13" s="19"/>
      <c r="U13" s="19"/>
      <c r="V13" s="19"/>
      <c r="W13" s="19"/>
      <c r="X13" s="19"/>
      <c r="Y13" s="19">
        <v>17003.040582987822</v>
      </c>
      <c r="Z13" s="19">
        <v>19070.240128685829</v>
      </c>
      <c r="AA13" s="19">
        <v>20800</v>
      </c>
      <c r="AB13" s="19"/>
      <c r="AC13" s="67"/>
      <c r="AD13" s="67"/>
      <c r="AE13" s="9"/>
      <c r="AF13" s="49"/>
      <c r="AG13" s="67"/>
      <c r="AH13" s="20"/>
      <c r="AI13" s="19"/>
      <c r="AJ13" s="9"/>
      <c r="AK13" s="19"/>
      <c r="AL13" s="68"/>
      <c r="AM13" s="68"/>
      <c r="AN13" s="68"/>
      <c r="AO13" s="1">
        <v>2</v>
      </c>
      <c r="AP13" s="68"/>
      <c r="AQ13" s="1"/>
      <c r="AR13" s="1">
        <v>2</v>
      </c>
      <c r="AS13" s="1">
        <v>24</v>
      </c>
      <c r="AT13" s="1"/>
      <c r="AU13" s="1"/>
      <c r="AV13" s="1"/>
      <c r="AW13" s="1"/>
      <c r="AX13" s="68"/>
      <c r="AY13" s="1"/>
      <c r="AZ13" s="19"/>
      <c r="BA13" s="19"/>
      <c r="BB13" s="19"/>
      <c r="BC13" s="8"/>
      <c r="BD13" s="8"/>
      <c r="BE13" s="8"/>
      <c r="BF13" s="8"/>
      <c r="BG13" s="8"/>
      <c r="BH13" s="68"/>
      <c r="BI13" s="68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3"/>
      <c r="BV13" s="1">
        <v>169</v>
      </c>
      <c r="BW13" s="13"/>
      <c r="BX13" s="13"/>
      <c r="BY13" s="13"/>
      <c r="BZ13" s="13"/>
      <c r="CA13" s="1"/>
      <c r="CB13" s="13"/>
      <c r="CC13" s="13"/>
      <c r="CD13" s="1">
        <v>169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tabSelected="1" zoomScale="70" zoomScaleNormal="70" workbookViewId="0">
      <pane xSplit="10" ySplit="1" topLeftCell="K49" activePane="bottomRight" state="frozen"/>
      <selection pane="topRight" activeCell="K1" sqref="K1"/>
      <selection pane="bottomLeft" activeCell="A2" sqref="A2"/>
      <selection pane="bottomRight" activeCell="H49" sqref="H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751</v>
      </c>
      <c r="C1" s="2" t="s">
        <v>659</v>
      </c>
      <c r="D1" s="2" t="s">
        <v>240</v>
      </c>
      <c r="E1" s="2" t="s">
        <v>131</v>
      </c>
      <c r="F1" s="2" t="s">
        <v>750</v>
      </c>
      <c r="G1" s="2" t="s">
        <v>8</v>
      </c>
      <c r="H1" s="2" t="s">
        <v>161</v>
      </c>
      <c r="I1" s="2" t="s">
        <v>162</v>
      </c>
      <c r="J1" s="2" t="s">
        <v>315</v>
      </c>
      <c r="K1" s="2" t="s">
        <v>594</v>
      </c>
      <c r="L1" s="2" t="s">
        <v>149</v>
      </c>
      <c r="M1" s="2" t="s">
        <v>595</v>
      </c>
      <c r="N1" s="2" t="s">
        <v>1181</v>
      </c>
      <c r="O1" s="2" t="s">
        <v>1172</v>
      </c>
      <c r="P1" s="2" t="s">
        <v>1182</v>
      </c>
      <c r="Q1" s="2" t="s">
        <v>760</v>
      </c>
      <c r="R1" s="2" t="s">
        <v>761</v>
      </c>
      <c r="S1" s="2" t="s">
        <v>762</v>
      </c>
      <c r="T1" s="2" t="s">
        <v>1204</v>
      </c>
      <c r="U1" s="2" t="s">
        <v>1205</v>
      </c>
      <c r="V1" s="2" t="s">
        <v>1206</v>
      </c>
      <c r="W1" s="2" t="s">
        <v>763</v>
      </c>
      <c r="X1" s="2" t="s">
        <v>764</v>
      </c>
      <c r="Y1" s="2" t="s">
        <v>765</v>
      </c>
      <c r="Z1" s="2" t="s">
        <v>766</v>
      </c>
      <c r="AA1" s="2" t="s">
        <v>767</v>
      </c>
      <c r="AB1" s="2" t="s">
        <v>768</v>
      </c>
      <c r="AC1" s="2" t="s">
        <v>1201</v>
      </c>
      <c r="AD1" s="2" t="s">
        <v>1202</v>
      </c>
      <c r="AE1" s="2" t="s">
        <v>1203</v>
      </c>
      <c r="AF1" s="2" t="s">
        <v>769</v>
      </c>
      <c r="AG1" s="2" t="s">
        <v>770</v>
      </c>
      <c r="AH1" s="2" t="s">
        <v>771</v>
      </c>
      <c r="AI1" s="2" t="s">
        <v>772</v>
      </c>
      <c r="AJ1" s="2" t="s">
        <v>773</v>
      </c>
      <c r="AK1" s="2" t="s">
        <v>774</v>
      </c>
      <c r="AL1" s="2" t="s">
        <v>775</v>
      </c>
      <c r="AM1" s="2" t="s">
        <v>776</v>
      </c>
      <c r="AN1" s="2" t="s">
        <v>777</v>
      </c>
      <c r="AO1" s="2" t="s">
        <v>778</v>
      </c>
      <c r="AP1" s="2" t="s">
        <v>779</v>
      </c>
      <c r="AQ1" s="2" t="s">
        <v>780</v>
      </c>
      <c r="AR1" s="2" t="s">
        <v>1198</v>
      </c>
      <c r="AS1" s="2" t="s">
        <v>1199</v>
      </c>
      <c r="AT1" s="2" t="s">
        <v>1200</v>
      </c>
      <c r="AU1" s="2" t="s">
        <v>781</v>
      </c>
      <c r="AV1" s="2" t="s">
        <v>782</v>
      </c>
      <c r="AW1" s="2" t="s">
        <v>783</v>
      </c>
      <c r="AX1" s="2" t="s">
        <v>784</v>
      </c>
      <c r="AY1" s="2" t="s">
        <v>785</v>
      </c>
      <c r="AZ1" s="2" t="s">
        <v>786</v>
      </c>
      <c r="BA1" s="2" t="s">
        <v>1195</v>
      </c>
      <c r="BB1" s="2" t="s">
        <v>1196</v>
      </c>
      <c r="BC1" s="2" t="s">
        <v>1197</v>
      </c>
      <c r="BD1" s="2" t="s">
        <v>787</v>
      </c>
      <c r="BE1" s="2" t="s">
        <v>788</v>
      </c>
      <c r="BF1" s="2" t="s">
        <v>789</v>
      </c>
      <c r="BG1" s="2" t="s">
        <v>790</v>
      </c>
      <c r="BH1" s="2" t="s">
        <v>791</v>
      </c>
      <c r="BI1" s="2" t="s">
        <v>792</v>
      </c>
      <c r="BJ1" s="2" t="s">
        <v>1192</v>
      </c>
      <c r="BK1" s="2" t="s">
        <v>1193</v>
      </c>
      <c r="BL1" s="2" t="s">
        <v>1194</v>
      </c>
      <c r="BM1" s="2" t="s">
        <v>793</v>
      </c>
      <c r="BN1" s="2" t="s">
        <v>794</v>
      </c>
      <c r="BO1" s="2" t="s">
        <v>795</v>
      </c>
      <c r="BP1" s="2" t="s">
        <v>796</v>
      </c>
      <c r="BQ1" s="2" t="s">
        <v>797</v>
      </c>
      <c r="BR1" s="2" t="s">
        <v>798</v>
      </c>
      <c r="BS1" s="2" t="s">
        <v>1189</v>
      </c>
      <c r="BT1" s="2" t="s">
        <v>1190</v>
      </c>
      <c r="BU1" s="2" t="s">
        <v>1191</v>
      </c>
      <c r="BV1" s="2" t="s">
        <v>799</v>
      </c>
      <c r="BW1" s="2" t="s">
        <v>800</v>
      </c>
      <c r="BX1" s="2" t="s">
        <v>801</v>
      </c>
      <c r="BY1" s="2" t="s">
        <v>802</v>
      </c>
      <c r="BZ1" s="2" t="s">
        <v>803</v>
      </c>
      <c r="CA1" s="2" t="s">
        <v>804</v>
      </c>
      <c r="CB1" s="2" t="s">
        <v>1186</v>
      </c>
      <c r="CC1" s="2" t="s">
        <v>1187</v>
      </c>
      <c r="CD1" s="2" t="s">
        <v>1188</v>
      </c>
      <c r="CE1" s="2" t="s">
        <v>805</v>
      </c>
      <c r="CF1" s="2" t="s">
        <v>806</v>
      </c>
      <c r="CG1" s="2" t="s">
        <v>807</v>
      </c>
      <c r="CH1" s="2" t="s">
        <v>808</v>
      </c>
      <c r="CI1" s="2" t="s">
        <v>809</v>
      </c>
      <c r="CJ1" s="2" t="s">
        <v>810</v>
      </c>
      <c r="CK1" s="2" t="s">
        <v>1183</v>
      </c>
      <c r="CL1" s="2" t="s">
        <v>1184</v>
      </c>
      <c r="CM1" s="2" t="s">
        <v>1185</v>
      </c>
      <c r="CN1" s="2" t="s">
        <v>811</v>
      </c>
      <c r="CO1" s="2" t="s">
        <v>812</v>
      </c>
      <c r="CP1" s="2" t="s">
        <v>813</v>
      </c>
      <c r="CQ1" s="2" t="s">
        <v>97</v>
      </c>
      <c r="CR1" s="2" t="s">
        <v>596</v>
      </c>
      <c r="CS1" s="2" t="s">
        <v>158</v>
      </c>
      <c r="CT1" s="2" t="s">
        <v>597</v>
      </c>
      <c r="CU1" s="2" t="s">
        <v>610</v>
      </c>
      <c r="CV1" s="2" t="s">
        <v>609</v>
      </c>
      <c r="CW1" s="2" t="s">
        <v>611</v>
      </c>
      <c r="CX1" s="2" t="s">
        <v>612</v>
      </c>
      <c r="CY1" s="2" t="s">
        <v>598</v>
      </c>
      <c r="CZ1" s="2" t="s">
        <v>599</v>
      </c>
      <c r="DA1" s="2" t="s">
        <v>87</v>
      </c>
      <c r="DB1" s="56" t="s">
        <v>722</v>
      </c>
      <c r="DC1" s="56" t="s">
        <v>723</v>
      </c>
      <c r="DD1" s="56" t="s">
        <v>724</v>
      </c>
      <c r="DE1" s="56" t="s">
        <v>725</v>
      </c>
      <c r="DF1" s="56" t="s">
        <v>726</v>
      </c>
      <c r="DG1" s="56" t="s">
        <v>727</v>
      </c>
      <c r="DH1" s="56" t="s">
        <v>728</v>
      </c>
      <c r="DI1" s="56" t="s">
        <v>729</v>
      </c>
      <c r="DJ1" s="56" t="s">
        <v>730</v>
      </c>
      <c r="DK1" s="56" t="s">
        <v>731</v>
      </c>
      <c r="DL1" s="56" t="s">
        <v>732</v>
      </c>
      <c r="DM1" s="56" t="s">
        <v>733</v>
      </c>
      <c r="DN1" s="56" t="s">
        <v>734</v>
      </c>
      <c r="DO1" s="56" t="s">
        <v>735</v>
      </c>
      <c r="DP1" s="56" t="s">
        <v>736</v>
      </c>
      <c r="DQ1" s="56" t="s">
        <v>737</v>
      </c>
      <c r="DR1" s="56" t="s">
        <v>738</v>
      </c>
      <c r="DS1" s="56" t="s">
        <v>739</v>
      </c>
      <c r="DT1" s="56" t="s">
        <v>740</v>
      </c>
      <c r="DU1" s="56" t="s">
        <v>741</v>
      </c>
      <c r="DV1" s="56" t="s">
        <v>742</v>
      </c>
      <c r="DW1" s="56" t="s">
        <v>743</v>
      </c>
      <c r="DX1" s="56" t="s">
        <v>744</v>
      </c>
      <c r="DY1" s="56" t="s">
        <v>745</v>
      </c>
      <c r="DZ1" s="56" t="s">
        <v>746</v>
      </c>
      <c r="EA1" s="56" t="s">
        <v>747</v>
      </c>
      <c r="EB1" s="56" t="s">
        <v>748</v>
      </c>
      <c r="EC1" s="2" t="s">
        <v>600</v>
      </c>
      <c r="ED1" s="2" t="s">
        <v>605</v>
      </c>
      <c r="EE1" s="2" t="s">
        <v>601</v>
      </c>
      <c r="EF1" s="2" t="s">
        <v>613</v>
      </c>
      <c r="EG1" s="2" t="s">
        <v>614</v>
      </c>
      <c r="EH1" s="2" t="s">
        <v>615</v>
      </c>
      <c r="EI1" s="2" t="s">
        <v>616</v>
      </c>
      <c r="EJ1" s="2" t="s">
        <v>617</v>
      </c>
      <c r="EK1" s="2" t="s">
        <v>618</v>
      </c>
      <c r="EL1" s="2" t="s">
        <v>607</v>
      </c>
      <c r="EM1" s="2" t="s">
        <v>606</v>
      </c>
      <c r="EN1" s="2" t="s">
        <v>608</v>
      </c>
      <c r="EO1" s="2" t="s">
        <v>602</v>
      </c>
      <c r="EP1" s="2" t="s">
        <v>603</v>
      </c>
      <c r="EQ1" s="2" t="s">
        <v>604</v>
      </c>
      <c r="ER1" s="2" t="s">
        <v>619</v>
      </c>
      <c r="ES1" s="2" t="s">
        <v>620</v>
      </c>
      <c r="ET1" s="2" t="s">
        <v>621</v>
      </c>
      <c r="EU1" s="2" t="s">
        <v>622</v>
      </c>
      <c r="EV1" s="2" t="s">
        <v>623</v>
      </c>
      <c r="EW1" s="2" t="s">
        <v>624</v>
      </c>
      <c r="EX1" s="2" t="s">
        <v>159</v>
      </c>
      <c r="EY1" s="2" t="s">
        <v>431</v>
      </c>
      <c r="EZ1" s="2" t="s">
        <v>227</v>
      </c>
      <c r="FA1" s="2" t="s">
        <v>1173</v>
      </c>
      <c r="FB1" s="2" t="s">
        <v>1170</v>
      </c>
      <c r="FC1" s="2" t="s">
        <v>1171</v>
      </c>
      <c r="FD1" s="2" t="s">
        <v>160</v>
      </c>
      <c r="FE1" s="2" t="s">
        <v>229</v>
      </c>
      <c r="FF1" s="2" t="s">
        <v>230</v>
      </c>
      <c r="FG1" s="2" t="s">
        <v>3</v>
      </c>
      <c r="FH1" s="2" t="s">
        <v>216</v>
      </c>
      <c r="FI1" s="2" t="s">
        <v>217</v>
      </c>
      <c r="FJ1" s="2" t="s">
        <v>625</v>
      </c>
      <c r="FK1" s="2" t="s">
        <v>626</v>
      </c>
      <c r="FL1" s="2" t="s">
        <v>627</v>
      </c>
      <c r="FM1" s="2" t="s">
        <v>10</v>
      </c>
      <c r="FN1" s="2" t="s">
        <v>16</v>
      </c>
      <c r="FO1" s="2" t="s">
        <v>4</v>
      </c>
      <c r="FP1" s="2" t="s">
        <v>628</v>
      </c>
      <c r="FQ1" s="2" t="s">
        <v>629</v>
      </c>
      <c r="FR1" s="2" t="s">
        <v>630</v>
      </c>
      <c r="FS1" s="2" t="s">
        <v>631</v>
      </c>
      <c r="FT1" s="2" t="s">
        <v>632</v>
      </c>
      <c r="FU1" s="2" t="s">
        <v>633</v>
      </c>
      <c r="FV1" s="2" t="s">
        <v>634</v>
      </c>
      <c r="FW1" s="2" t="s">
        <v>635</v>
      </c>
      <c r="FX1" s="2" t="s">
        <v>636</v>
      </c>
      <c r="FY1" s="2" t="s">
        <v>12</v>
      </c>
      <c r="FZ1" s="2" t="s">
        <v>185</v>
      </c>
      <c r="GA1" s="2" t="s">
        <v>184</v>
      </c>
      <c r="GB1" s="2" t="s">
        <v>1155</v>
      </c>
      <c r="GC1" s="2" t="s">
        <v>1156</v>
      </c>
      <c r="GD1" s="2" t="s">
        <v>1157</v>
      </c>
      <c r="GE1" s="2" t="s">
        <v>639</v>
      </c>
      <c r="GF1" s="2" t="s">
        <v>640</v>
      </c>
      <c r="GG1" s="2" t="s">
        <v>641</v>
      </c>
      <c r="GH1" s="2" t="s">
        <v>645</v>
      </c>
      <c r="GI1" s="2" t="s">
        <v>646</v>
      </c>
      <c r="GJ1" s="2" t="s">
        <v>647</v>
      </c>
      <c r="GK1" s="2" t="s">
        <v>648</v>
      </c>
      <c r="GL1" s="2" t="s">
        <v>649</v>
      </c>
      <c r="GM1" s="2" t="s">
        <v>650</v>
      </c>
      <c r="GN1" s="2" t="s">
        <v>335</v>
      </c>
      <c r="GO1" s="2" t="s">
        <v>638</v>
      </c>
      <c r="GP1" s="2" t="s">
        <v>637</v>
      </c>
      <c r="GQ1" s="2" t="s">
        <v>147</v>
      </c>
      <c r="GR1" s="2" t="s">
        <v>22</v>
      </c>
      <c r="GS1" s="2" t="s">
        <v>164</v>
      </c>
      <c r="GT1" s="2" t="s">
        <v>165</v>
      </c>
      <c r="GU1" s="2" t="s">
        <v>749</v>
      </c>
      <c r="GV1" s="2" t="s">
        <v>1</v>
      </c>
      <c r="GW1" s="2" t="s">
        <v>2</v>
      </c>
      <c r="GX1" s="2" t="s">
        <v>59</v>
      </c>
      <c r="GY1" s="2" t="s">
        <v>1161</v>
      </c>
      <c r="GZ1" s="2" t="s">
        <v>238</v>
      </c>
      <c r="HA1" s="2" t="s">
        <v>117</v>
      </c>
      <c r="HB1" s="2" t="s">
        <v>60</v>
      </c>
      <c r="HC1" s="2" t="s">
        <v>61</v>
      </c>
      <c r="HD1" s="2" t="s">
        <v>98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148</v>
      </c>
      <c r="HN1" s="2" t="s">
        <v>23</v>
      </c>
      <c r="HO1" s="2" t="s">
        <v>51</v>
      </c>
    </row>
    <row r="2" spans="1:223" s="87" customFormat="1" ht="12.75" customHeight="1" x14ac:dyDescent="0.2">
      <c r="A2" s="87" t="s">
        <v>542</v>
      </c>
      <c r="B2" s="87" t="s">
        <v>542</v>
      </c>
      <c r="E2" s="87" t="s">
        <v>130</v>
      </c>
      <c r="F2" s="87">
        <v>2</v>
      </c>
      <c r="G2" s="87">
        <v>2015</v>
      </c>
      <c r="H2" s="87">
        <v>1</v>
      </c>
      <c r="I2" s="87">
        <v>0</v>
      </c>
      <c r="J2" s="87">
        <v>0</v>
      </c>
      <c r="K2" s="88"/>
      <c r="L2" s="88"/>
      <c r="M2" s="88"/>
      <c r="N2" s="88"/>
      <c r="O2" s="88"/>
      <c r="P2" s="88"/>
      <c r="Q2" s="88">
        <v>0</v>
      </c>
      <c r="R2" s="88">
        <v>0</v>
      </c>
      <c r="S2" s="88">
        <v>0</v>
      </c>
      <c r="T2" s="88"/>
      <c r="U2" s="88"/>
      <c r="V2" s="88"/>
      <c r="W2" s="88">
        <v>7.9539999999999997</v>
      </c>
      <c r="X2" s="88">
        <v>4.4400000000000004</v>
      </c>
      <c r="Y2" s="88">
        <v>12.06</v>
      </c>
      <c r="Z2" s="88">
        <v>0</v>
      </c>
      <c r="AA2" s="88">
        <v>0</v>
      </c>
      <c r="AB2" s="88">
        <v>0</v>
      </c>
      <c r="AC2" s="88"/>
      <c r="AD2" s="88"/>
      <c r="AE2" s="88"/>
      <c r="AF2" s="88">
        <v>7.9539999999999997</v>
      </c>
      <c r="AG2" s="88">
        <v>4.4400000000000004</v>
      </c>
      <c r="AH2" s="88">
        <v>12.06</v>
      </c>
      <c r="AI2" s="88">
        <v>0</v>
      </c>
      <c r="AJ2" s="88">
        <v>0</v>
      </c>
      <c r="AK2" s="88">
        <v>0</v>
      </c>
      <c r="AL2" s="88">
        <v>7.9539999999999997</v>
      </c>
      <c r="AM2" s="88">
        <v>4.4400000000000004</v>
      </c>
      <c r="AN2" s="88">
        <v>12.06</v>
      </c>
      <c r="AO2" s="88">
        <v>3.1040000000000001</v>
      </c>
      <c r="AP2" s="88">
        <v>1.92</v>
      </c>
      <c r="AQ2" s="88">
        <v>4.2880000000000003</v>
      </c>
      <c r="AR2" s="88"/>
      <c r="AS2" s="88"/>
      <c r="AT2" s="88"/>
      <c r="AU2" s="88">
        <v>4.8499999999999996</v>
      </c>
      <c r="AV2" s="88">
        <v>2.52</v>
      </c>
      <c r="AW2" s="88">
        <v>7.7720000000000002</v>
      </c>
      <c r="AX2" s="88">
        <v>3.1040000000000001</v>
      </c>
      <c r="AY2" s="88">
        <v>1.92</v>
      </c>
      <c r="AZ2" s="88">
        <v>4.2880000000000003</v>
      </c>
      <c r="BA2" s="88"/>
      <c r="BB2" s="88"/>
      <c r="BC2" s="88"/>
      <c r="BD2" s="88">
        <v>4.8499999999999996</v>
      </c>
      <c r="BE2" s="88">
        <v>2.52</v>
      </c>
      <c r="BF2" s="88">
        <v>7.7720000000000002</v>
      </c>
      <c r="BG2" s="88">
        <v>1.746</v>
      </c>
      <c r="BH2" s="88">
        <v>1.08</v>
      </c>
      <c r="BI2" s="88">
        <v>2.4119999999999999</v>
      </c>
      <c r="BJ2" s="88"/>
      <c r="BK2" s="88"/>
      <c r="BL2" s="88"/>
      <c r="BM2" s="88">
        <v>6.2079999999999993</v>
      </c>
      <c r="BN2" s="88">
        <v>3.36</v>
      </c>
      <c r="BO2" s="88">
        <v>9.6480000000000015</v>
      </c>
      <c r="BP2" s="88">
        <v>15.907999999999999</v>
      </c>
      <c r="BQ2" s="88">
        <v>9.84</v>
      </c>
      <c r="BR2" s="88">
        <v>21.975999999999999</v>
      </c>
      <c r="BS2" s="88"/>
      <c r="BT2" s="88"/>
      <c r="BU2" s="88"/>
      <c r="BV2" s="88">
        <v>0</v>
      </c>
      <c r="BW2" s="88">
        <v>0</v>
      </c>
      <c r="BX2" s="88">
        <v>0</v>
      </c>
      <c r="BY2" s="88">
        <v>15.907999999999999</v>
      </c>
      <c r="BZ2" s="88">
        <v>9.84</v>
      </c>
      <c r="CA2" s="88">
        <v>21.975999999999999</v>
      </c>
      <c r="CB2" s="88"/>
      <c r="CC2" s="88"/>
      <c r="CD2" s="88"/>
      <c r="CE2" s="88">
        <v>0</v>
      </c>
      <c r="CF2" s="88">
        <v>0</v>
      </c>
      <c r="CG2" s="88">
        <v>0</v>
      </c>
      <c r="CH2" s="88">
        <v>8.3419999999999987</v>
      </c>
      <c r="CI2" s="88">
        <v>5.16</v>
      </c>
      <c r="CJ2" s="88">
        <v>11.523999999999999</v>
      </c>
      <c r="CK2" s="88"/>
      <c r="CL2" s="88"/>
      <c r="CM2" s="88"/>
      <c r="CN2" s="88">
        <v>0</v>
      </c>
      <c r="CO2" s="88">
        <v>0</v>
      </c>
      <c r="CP2" s="88">
        <v>0.53600000000000003</v>
      </c>
      <c r="CQ2" s="88"/>
      <c r="CR2" s="88"/>
      <c r="CS2" s="88"/>
      <c r="CT2" s="88"/>
      <c r="CU2" s="89">
        <f>Tabelle58971121[[#This Row],[Mindestauslastung durch]]*Tabelle58971121[[#This Row],[installierte Leistung MW durch]]</f>
        <v>0</v>
      </c>
      <c r="CV2" s="89">
        <f>Tabelle58971121[[#This Row],[Mindestauslastung min]]*Tabelle58971121[[#This Row],[installierte Leistung MW min]]</f>
        <v>0</v>
      </c>
      <c r="CW2" s="89">
        <f>Tabelle58971121[[#This Row],[Mindestauslastung max]]*Tabelle58971121[[#This Row],[installierte Leistung MW max]]</f>
        <v>0</v>
      </c>
      <c r="CX2" s="90">
        <v>0</v>
      </c>
      <c r="CY2" s="90">
        <v>0</v>
      </c>
      <c r="CZ2" s="90">
        <v>0</v>
      </c>
      <c r="DA2" s="90"/>
      <c r="DB2" s="90">
        <v>0</v>
      </c>
      <c r="DC2" s="90">
        <v>0</v>
      </c>
      <c r="DD2" s="90">
        <v>0</v>
      </c>
      <c r="DE2" s="90">
        <v>0</v>
      </c>
      <c r="DF2" s="90">
        <v>0</v>
      </c>
      <c r="DG2" s="90">
        <v>0</v>
      </c>
      <c r="DH2" s="90">
        <v>0</v>
      </c>
      <c r="DI2" s="90">
        <v>0</v>
      </c>
      <c r="DJ2" s="90">
        <v>0</v>
      </c>
      <c r="DK2" s="90">
        <v>0.16</v>
      </c>
      <c r="DL2" s="90">
        <v>0.16</v>
      </c>
      <c r="DM2" s="90">
        <v>0.16</v>
      </c>
      <c r="DN2" s="90">
        <v>0.16</v>
      </c>
      <c r="DO2" s="90">
        <v>0.16</v>
      </c>
      <c r="DP2" s="90">
        <v>0.16</v>
      </c>
      <c r="DQ2" s="90">
        <v>0.09</v>
      </c>
      <c r="DR2" s="90">
        <v>0.09</v>
      </c>
      <c r="DS2" s="90">
        <v>0.09</v>
      </c>
      <c r="DT2" s="90">
        <v>0.82</v>
      </c>
      <c r="DU2" s="90">
        <v>0.82</v>
      </c>
      <c r="DV2" s="90">
        <v>0.82</v>
      </c>
      <c r="DW2" s="90">
        <v>0.82</v>
      </c>
      <c r="DX2" s="90">
        <v>0.82</v>
      </c>
      <c r="DY2" s="90">
        <v>0.82</v>
      </c>
      <c r="DZ2" s="90">
        <v>0.43</v>
      </c>
      <c r="EA2" s="90">
        <v>0.43</v>
      </c>
      <c r="EB2" s="90">
        <v>0.43</v>
      </c>
      <c r="EC2" s="90"/>
      <c r="ED2" s="90"/>
      <c r="EE2" s="90"/>
      <c r="EF2" s="91">
        <f>Tabelle58971121[[#This Row],[Durchschnittsauslastung min]]*Tabelle58971121[[#This Row],[installierte Leistung MW min]]</f>
        <v>0</v>
      </c>
      <c r="EG2" s="91">
        <f>Tabelle58971121[[#This Row],[Durchschnittsauslastung durch]]*Tabelle58971121[[#This Row],[installierte Leistung MW durch]]</f>
        <v>0</v>
      </c>
      <c r="EH2" s="91">
        <f>Tabelle58971121[[#This Row],[Durchschnittsauslastung max]]*Tabelle58971121[[#This Row],[installierte Leistung MW max]]</f>
        <v>0</v>
      </c>
      <c r="EI2" s="91">
        <f>Tabelle58971121[[#This Row],[Maximalauslastung durch]]*Tabelle58971121[[#This Row],[installierte Leistung MW min]]</f>
        <v>4.92</v>
      </c>
      <c r="EJ2" s="91">
        <f>Tabelle58971121[[#This Row],[Maximalauslastung durch]]*Tabelle58971121[[#This Row],[installierte Leistung MW durch]]</f>
        <v>7.9539999999999988</v>
      </c>
      <c r="EK2" s="88">
        <f>Tabelle58971121[[#This Row],[Maximalauslastung max]]*Tabelle58971121[[#This Row],[installierte Leistung MW durch]]</f>
        <v>8.73</v>
      </c>
      <c r="EL2" s="90">
        <v>0.41</v>
      </c>
      <c r="EM2" s="90">
        <v>0.37</v>
      </c>
      <c r="EN2" s="90">
        <v>0.45</v>
      </c>
      <c r="EO2" s="87">
        <v>19.399999999999999</v>
      </c>
      <c r="EP2" s="87">
        <v>12</v>
      </c>
      <c r="EQ2" s="87">
        <v>26.8</v>
      </c>
      <c r="ER2" s="88"/>
      <c r="ES2" s="88"/>
      <c r="EX2" s="87">
        <v>2</v>
      </c>
      <c r="EY2" s="87">
        <v>1.6</v>
      </c>
      <c r="EZ2" s="87">
        <v>2.4</v>
      </c>
      <c r="FD2" s="87">
        <v>2</v>
      </c>
      <c r="FE2" s="87">
        <v>1.6</v>
      </c>
      <c r="FF2" s="87">
        <v>2.4</v>
      </c>
      <c r="FG2" s="87">
        <v>24</v>
      </c>
      <c r="FJ2" s="87">
        <v>2.6</v>
      </c>
      <c r="FK2" s="87">
        <v>1.8</v>
      </c>
      <c r="FL2" s="87">
        <v>3.4</v>
      </c>
      <c r="FP2" s="87">
        <v>243</v>
      </c>
      <c r="FQ2" s="87">
        <v>219</v>
      </c>
      <c r="FR2" s="87">
        <v>267</v>
      </c>
      <c r="FS2" s="89"/>
      <c r="FT2" s="89"/>
      <c r="FU2" s="89"/>
      <c r="FV2" s="87">
        <v>243</v>
      </c>
      <c r="FW2" s="87">
        <v>219</v>
      </c>
      <c r="FX2" s="87">
        <v>267</v>
      </c>
      <c r="FZ2" s="88"/>
      <c r="GA2" s="88"/>
      <c r="GB2" s="88"/>
      <c r="GC2" s="92"/>
      <c r="GD2" s="92"/>
      <c r="GE2" s="92"/>
      <c r="GF2" s="92"/>
      <c r="GG2" s="92"/>
      <c r="GH2" s="92"/>
      <c r="GI2" s="92"/>
      <c r="GJ2" s="92"/>
      <c r="GK2" s="92"/>
      <c r="GL2" s="92"/>
      <c r="GM2" s="92"/>
      <c r="GN2" s="92" t="s">
        <v>1119</v>
      </c>
      <c r="GO2" s="92" t="s">
        <v>1119</v>
      </c>
      <c r="GP2" s="92" t="s">
        <v>1119</v>
      </c>
      <c r="GS2" s="87">
        <v>67</v>
      </c>
      <c r="GT2" s="87">
        <v>67</v>
      </c>
      <c r="GU2" s="87">
        <v>67</v>
      </c>
      <c r="GV2" s="93" t="s">
        <v>816</v>
      </c>
      <c r="GW2" s="93" t="s">
        <v>816</v>
      </c>
      <c r="GX2" s="93" t="s">
        <v>816</v>
      </c>
      <c r="GY2" s="93"/>
      <c r="GZ2" s="93" t="s">
        <v>816</v>
      </c>
      <c r="HA2" s="93" t="s">
        <v>816</v>
      </c>
      <c r="HB2" s="93" t="s">
        <v>816</v>
      </c>
      <c r="HC2" s="93" t="s">
        <v>816</v>
      </c>
      <c r="HD2" s="93" t="s">
        <v>816</v>
      </c>
      <c r="HE2" s="93" t="s">
        <v>816</v>
      </c>
      <c r="HF2" s="93" t="s">
        <v>816</v>
      </c>
      <c r="HI2" s="93" t="s">
        <v>816</v>
      </c>
      <c r="HJ2" s="93" t="s">
        <v>816</v>
      </c>
      <c r="HL2" s="93" t="s">
        <v>816</v>
      </c>
    </row>
    <row r="3" spans="1:223" ht="12.75" customHeight="1" x14ac:dyDescent="0.2">
      <c r="A3" s="1" t="s">
        <v>542</v>
      </c>
      <c r="B3" s="1" t="s">
        <v>542</v>
      </c>
      <c r="E3" s="1" t="s">
        <v>130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9">
        <f>Tabelle58971121[[#This Row],[Durchschnittsauslastung min]]*Tabelle58971121[[#This Row],[installierte Leistung MW min]]</f>
        <v>0</v>
      </c>
      <c r="EG3" s="49">
        <f>Tabelle58971121[[#This Row],[Durchschnittsauslastung durch]]*Tabelle58971121[[#This Row],[installierte Leistung MW durch]]</f>
        <v>0</v>
      </c>
      <c r="EH3" s="49">
        <f>Tabelle58971121[[#This Row],[Durchschnittsauslastung max]]*Tabelle58971121[[#This Row],[installierte Leistung MW max]]</f>
        <v>0</v>
      </c>
      <c r="EI3" s="91">
        <f>Tabelle58971121[[#This Row],[Maximalauslastung durch]]*Tabelle58971121[[#This Row],[installierte Leistung MW min]]</f>
        <v>4.92</v>
      </c>
      <c r="EJ3" s="49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1119</v>
      </c>
      <c r="GO3" s="8" t="s">
        <v>1119</v>
      </c>
      <c r="GP3" s="8" t="s">
        <v>1119</v>
      </c>
      <c r="GS3" s="1">
        <v>67</v>
      </c>
      <c r="GT3" s="1">
        <v>67</v>
      </c>
      <c r="GU3" s="1">
        <v>67</v>
      </c>
      <c r="GV3" s="13" t="s">
        <v>816</v>
      </c>
      <c r="GW3" s="13" t="s">
        <v>816</v>
      </c>
      <c r="GX3" s="13" t="s">
        <v>816</v>
      </c>
      <c r="GY3" s="13"/>
      <c r="GZ3" s="13" t="s">
        <v>816</v>
      </c>
      <c r="HA3" s="13" t="s">
        <v>816</v>
      </c>
      <c r="HB3" s="13" t="s">
        <v>816</v>
      </c>
      <c r="HC3" s="13" t="s">
        <v>816</v>
      </c>
      <c r="HD3" s="13" t="s">
        <v>816</v>
      </c>
      <c r="HE3" s="13" t="s">
        <v>816</v>
      </c>
      <c r="HF3" s="13" t="s">
        <v>816</v>
      </c>
      <c r="HI3" s="13" t="s">
        <v>816</v>
      </c>
      <c r="HJ3" s="13" t="s">
        <v>816</v>
      </c>
      <c r="HL3" s="13" t="s">
        <v>816</v>
      </c>
    </row>
    <row r="4" spans="1:223" ht="12.75" customHeight="1" x14ac:dyDescent="0.2">
      <c r="A4" s="1" t="s">
        <v>542</v>
      </c>
      <c r="B4" s="1" t="s">
        <v>542</v>
      </c>
      <c r="E4" s="1" t="s">
        <v>130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9">
        <f>Tabelle58971121[[#This Row],[Durchschnittsauslastung min]]*Tabelle58971121[[#This Row],[installierte Leistung MW min]]</f>
        <v>0</v>
      </c>
      <c r="EG4" s="49">
        <f>Tabelle58971121[[#This Row],[Durchschnittsauslastung durch]]*Tabelle58971121[[#This Row],[installierte Leistung MW durch]]</f>
        <v>0</v>
      </c>
      <c r="EH4" s="49">
        <f>Tabelle58971121[[#This Row],[Durchschnittsauslastung max]]*Tabelle58971121[[#This Row],[installierte Leistung MW max]]</f>
        <v>0</v>
      </c>
      <c r="EI4" s="91">
        <f>Tabelle58971121[[#This Row],[Maximalauslastung durch]]*Tabelle58971121[[#This Row],[installierte Leistung MW min]]</f>
        <v>4.92</v>
      </c>
      <c r="EJ4" s="49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1119</v>
      </c>
      <c r="GO4" s="8" t="s">
        <v>1119</v>
      </c>
      <c r="GP4" s="8" t="s">
        <v>1119</v>
      </c>
      <c r="GS4" s="1">
        <v>67</v>
      </c>
      <c r="GT4" s="1">
        <v>67</v>
      </c>
      <c r="GU4" s="1">
        <v>67</v>
      </c>
      <c r="GV4" s="13" t="s">
        <v>816</v>
      </c>
      <c r="GW4" s="13" t="s">
        <v>816</v>
      </c>
      <c r="GX4" s="13" t="s">
        <v>816</v>
      </c>
      <c r="GY4" s="13"/>
      <c r="GZ4" s="13" t="s">
        <v>816</v>
      </c>
      <c r="HA4" s="13" t="s">
        <v>816</v>
      </c>
      <c r="HB4" s="13" t="s">
        <v>816</v>
      </c>
      <c r="HC4" s="13" t="s">
        <v>816</v>
      </c>
      <c r="HD4" s="13" t="s">
        <v>816</v>
      </c>
      <c r="HE4" s="13" t="s">
        <v>816</v>
      </c>
      <c r="HF4" s="13" t="s">
        <v>816</v>
      </c>
      <c r="HI4" s="13" t="s">
        <v>816</v>
      </c>
      <c r="HJ4" s="13" t="s">
        <v>816</v>
      </c>
      <c r="HL4" s="13" t="s">
        <v>816</v>
      </c>
    </row>
    <row r="5" spans="1:223" ht="12.75" customHeight="1" x14ac:dyDescent="0.2">
      <c r="A5" s="1" t="s">
        <v>542</v>
      </c>
      <c r="B5" s="1" t="s">
        <v>542</v>
      </c>
      <c r="E5" s="1" t="s">
        <v>130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9">
        <f>Tabelle58971121[[#This Row],[Durchschnittsauslastung min]]*Tabelle58971121[[#This Row],[installierte Leistung MW min]]</f>
        <v>0</v>
      </c>
      <c r="EG5" s="49">
        <f>Tabelle58971121[[#This Row],[Durchschnittsauslastung durch]]*Tabelle58971121[[#This Row],[installierte Leistung MW durch]]</f>
        <v>0</v>
      </c>
      <c r="EH5" s="49">
        <f>Tabelle58971121[[#This Row],[Durchschnittsauslastung max]]*Tabelle58971121[[#This Row],[installierte Leistung MW max]]</f>
        <v>0</v>
      </c>
      <c r="EI5" s="91">
        <f>Tabelle58971121[[#This Row],[Maximalauslastung durch]]*Tabelle58971121[[#This Row],[installierte Leistung MW min]]</f>
        <v>4.92</v>
      </c>
      <c r="EJ5" s="49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1119</v>
      </c>
      <c r="GO5" s="8" t="s">
        <v>1119</v>
      </c>
      <c r="GP5" s="8" t="s">
        <v>1119</v>
      </c>
      <c r="GS5" s="1">
        <v>67</v>
      </c>
      <c r="GT5" s="1">
        <v>67</v>
      </c>
      <c r="GU5" s="1">
        <v>67</v>
      </c>
      <c r="GV5" s="13" t="s">
        <v>816</v>
      </c>
      <c r="GW5" s="13" t="s">
        <v>816</v>
      </c>
      <c r="GX5" s="13" t="s">
        <v>816</v>
      </c>
      <c r="GY5" s="13"/>
      <c r="GZ5" s="13" t="s">
        <v>816</v>
      </c>
      <c r="HA5" s="13" t="s">
        <v>816</v>
      </c>
      <c r="HB5" s="13" t="s">
        <v>816</v>
      </c>
      <c r="HC5" s="13" t="s">
        <v>816</v>
      </c>
      <c r="HD5" s="13" t="s">
        <v>816</v>
      </c>
      <c r="HE5" s="13" t="s">
        <v>816</v>
      </c>
      <c r="HF5" s="13" t="s">
        <v>816</v>
      </c>
      <c r="HI5" s="13" t="s">
        <v>816</v>
      </c>
      <c r="HJ5" s="13" t="s">
        <v>816</v>
      </c>
      <c r="HL5" s="13" t="s">
        <v>816</v>
      </c>
    </row>
    <row r="6" spans="1:223" ht="12.75" customHeight="1" x14ac:dyDescent="0.2">
      <c r="A6" s="1" t="s">
        <v>542</v>
      </c>
      <c r="B6" s="1" t="s">
        <v>542</v>
      </c>
      <c r="E6" s="1" t="s">
        <v>130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9">
        <f>Tabelle58971121[[#This Row],[Durchschnittsauslastung min]]*Tabelle58971121[[#This Row],[installierte Leistung MW min]]</f>
        <v>0</v>
      </c>
      <c r="EG6" s="49">
        <f>Tabelle58971121[[#This Row],[Durchschnittsauslastung durch]]*Tabelle58971121[[#This Row],[installierte Leistung MW durch]]</f>
        <v>0</v>
      </c>
      <c r="EH6" s="49">
        <f>Tabelle58971121[[#This Row],[Durchschnittsauslastung max]]*Tabelle58971121[[#This Row],[installierte Leistung MW max]]</f>
        <v>0</v>
      </c>
      <c r="EI6" s="91">
        <f>Tabelle58971121[[#This Row],[Maximalauslastung durch]]*Tabelle58971121[[#This Row],[installierte Leistung MW min]]</f>
        <v>4.92</v>
      </c>
      <c r="EJ6" s="49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1119</v>
      </c>
      <c r="GO6" s="8" t="s">
        <v>1119</v>
      </c>
      <c r="GP6" s="8" t="s">
        <v>1119</v>
      </c>
      <c r="GS6" s="1">
        <v>67</v>
      </c>
      <c r="GT6" s="1">
        <v>67</v>
      </c>
      <c r="GU6" s="1">
        <v>67</v>
      </c>
      <c r="GV6" s="13" t="s">
        <v>816</v>
      </c>
      <c r="GW6" s="13" t="s">
        <v>816</v>
      </c>
      <c r="GX6" s="13" t="s">
        <v>816</v>
      </c>
      <c r="GY6" s="13"/>
      <c r="GZ6" s="13" t="s">
        <v>816</v>
      </c>
      <c r="HA6" s="13" t="s">
        <v>816</v>
      </c>
      <c r="HB6" s="13" t="s">
        <v>816</v>
      </c>
      <c r="HC6" s="13" t="s">
        <v>816</v>
      </c>
      <c r="HD6" s="13" t="s">
        <v>816</v>
      </c>
      <c r="HE6" s="13" t="s">
        <v>816</v>
      </c>
      <c r="HF6" s="13" t="s">
        <v>816</v>
      </c>
      <c r="HI6" s="13" t="s">
        <v>816</v>
      </c>
      <c r="HJ6" s="13" t="s">
        <v>816</v>
      </c>
      <c r="HL6" s="13" t="s">
        <v>816</v>
      </c>
    </row>
    <row r="7" spans="1:223" ht="12.75" customHeight="1" x14ac:dyDescent="0.2">
      <c r="A7" s="1" t="s">
        <v>542</v>
      </c>
      <c r="B7" s="1" t="s">
        <v>542</v>
      </c>
      <c r="E7" s="1" t="s">
        <v>130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9">
        <f>Tabelle58971121[[#This Row],[Durchschnittsauslastung min]]*Tabelle58971121[[#This Row],[installierte Leistung MW min]]</f>
        <v>0</v>
      </c>
      <c r="EG7" s="49">
        <f>Tabelle58971121[[#This Row],[Durchschnittsauslastung durch]]*Tabelle58971121[[#This Row],[installierte Leistung MW durch]]</f>
        <v>0</v>
      </c>
      <c r="EH7" s="49">
        <f>Tabelle58971121[[#This Row],[Durchschnittsauslastung max]]*Tabelle58971121[[#This Row],[installierte Leistung MW max]]</f>
        <v>0</v>
      </c>
      <c r="EI7" s="91">
        <f>Tabelle58971121[[#This Row],[Maximalauslastung durch]]*Tabelle58971121[[#This Row],[installierte Leistung MW min]]</f>
        <v>4.92</v>
      </c>
      <c r="EJ7" s="49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1119</v>
      </c>
      <c r="GO7" s="8" t="s">
        <v>1119</v>
      </c>
      <c r="GP7" s="8" t="s">
        <v>1119</v>
      </c>
      <c r="GS7" s="1">
        <v>67</v>
      </c>
      <c r="GT7" s="1">
        <v>67</v>
      </c>
      <c r="GU7" s="1">
        <v>67</v>
      </c>
      <c r="GV7" s="13" t="s">
        <v>816</v>
      </c>
      <c r="GW7" s="13" t="s">
        <v>816</v>
      </c>
      <c r="GX7" s="13" t="s">
        <v>816</v>
      </c>
      <c r="GY7" s="13"/>
      <c r="GZ7" s="13" t="s">
        <v>816</v>
      </c>
      <c r="HA7" s="13" t="s">
        <v>816</v>
      </c>
      <c r="HB7" s="13" t="s">
        <v>816</v>
      </c>
      <c r="HC7" s="13" t="s">
        <v>816</v>
      </c>
      <c r="HD7" s="13" t="s">
        <v>816</v>
      </c>
      <c r="HE7" s="13" t="s">
        <v>816</v>
      </c>
      <c r="HF7" s="13" t="s">
        <v>816</v>
      </c>
      <c r="HI7" s="13" t="s">
        <v>816</v>
      </c>
      <c r="HJ7" s="13" t="s">
        <v>816</v>
      </c>
      <c r="HL7" s="13" t="s">
        <v>816</v>
      </c>
    </row>
    <row r="8" spans="1:223" ht="12.75" customHeight="1" x14ac:dyDescent="0.2">
      <c r="A8" s="1" t="s">
        <v>542</v>
      </c>
      <c r="B8" s="1" t="s">
        <v>542</v>
      </c>
      <c r="E8" s="1" t="s">
        <v>130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9">
        <f>Tabelle58971121[[#This Row],[Durchschnittsauslastung min]]*Tabelle58971121[[#This Row],[installierte Leistung MW min]]</f>
        <v>0</v>
      </c>
      <c r="EG8" s="49">
        <f>Tabelle58971121[[#This Row],[Durchschnittsauslastung durch]]*Tabelle58971121[[#This Row],[installierte Leistung MW durch]]</f>
        <v>0</v>
      </c>
      <c r="EH8" s="49">
        <f>Tabelle58971121[[#This Row],[Durchschnittsauslastung max]]*Tabelle58971121[[#This Row],[installierte Leistung MW max]]</f>
        <v>0</v>
      </c>
      <c r="EI8" s="91">
        <f>Tabelle58971121[[#This Row],[Maximalauslastung durch]]*Tabelle58971121[[#This Row],[installierte Leistung MW min]]</f>
        <v>4.92</v>
      </c>
      <c r="EJ8" s="49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1119</v>
      </c>
      <c r="GO8" s="8" t="s">
        <v>1119</v>
      </c>
      <c r="GP8" s="8" t="s">
        <v>1119</v>
      </c>
      <c r="GS8" s="1">
        <v>67</v>
      </c>
      <c r="GT8" s="1">
        <v>67</v>
      </c>
      <c r="GU8" s="1">
        <v>67</v>
      </c>
      <c r="GV8" s="13" t="s">
        <v>816</v>
      </c>
      <c r="GW8" s="13" t="s">
        <v>816</v>
      </c>
      <c r="GX8" s="13" t="s">
        <v>816</v>
      </c>
      <c r="GY8" s="13"/>
      <c r="GZ8" s="13" t="s">
        <v>816</v>
      </c>
      <c r="HA8" s="13" t="s">
        <v>816</v>
      </c>
      <c r="HB8" s="13" t="s">
        <v>816</v>
      </c>
      <c r="HC8" s="13" t="s">
        <v>816</v>
      </c>
      <c r="HD8" s="13" t="s">
        <v>816</v>
      </c>
      <c r="HE8" s="13" t="s">
        <v>816</v>
      </c>
      <c r="HF8" s="13" t="s">
        <v>816</v>
      </c>
      <c r="HI8" s="13" t="s">
        <v>816</v>
      </c>
      <c r="HJ8" s="13" t="s">
        <v>816</v>
      </c>
      <c r="HL8" s="13" t="s">
        <v>816</v>
      </c>
    </row>
    <row r="9" spans="1:223" ht="12.75" customHeight="1" x14ac:dyDescent="0.2">
      <c r="A9" s="1" t="s">
        <v>542</v>
      </c>
      <c r="B9" s="1" t="s">
        <v>542</v>
      </c>
      <c r="E9" s="1" t="s">
        <v>130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9">
        <f>Tabelle58971121[[#This Row],[Durchschnittsauslastung min]]*Tabelle58971121[[#This Row],[installierte Leistung MW min]]</f>
        <v>0</v>
      </c>
      <c r="EG9" s="49">
        <f>Tabelle58971121[[#This Row],[Durchschnittsauslastung durch]]*Tabelle58971121[[#This Row],[installierte Leistung MW durch]]</f>
        <v>0</v>
      </c>
      <c r="EH9" s="49">
        <f>Tabelle58971121[[#This Row],[Durchschnittsauslastung max]]*Tabelle58971121[[#This Row],[installierte Leistung MW max]]</f>
        <v>0</v>
      </c>
      <c r="EI9" s="91">
        <f>Tabelle58971121[[#This Row],[Maximalauslastung durch]]*Tabelle58971121[[#This Row],[installierte Leistung MW min]]</f>
        <v>4.92</v>
      </c>
      <c r="EJ9" s="49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1119</v>
      </c>
      <c r="GO9" s="8" t="s">
        <v>1119</v>
      </c>
      <c r="GP9" s="8" t="s">
        <v>1119</v>
      </c>
      <c r="GS9" s="1">
        <v>67</v>
      </c>
      <c r="GT9" s="1">
        <v>67</v>
      </c>
      <c r="GU9" s="1">
        <v>67</v>
      </c>
      <c r="GV9" s="13" t="s">
        <v>816</v>
      </c>
      <c r="GW9" s="13" t="s">
        <v>816</v>
      </c>
      <c r="GX9" s="13" t="s">
        <v>816</v>
      </c>
      <c r="GY9" s="13"/>
      <c r="GZ9" s="13" t="s">
        <v>816</v>
      </c>
      <c r="HA9" s="13" t="s">
        <v>816</v>
      </c>
      <c r="HB9" s="13" t="s">
        <v>816</v>
      </c>
      <c r="HC9" s="13" t="s">
        <v>816</v>
      </c>
      <c r="HD9" s="13" t="s">
        <v>816</v>
      </c>
      <c r="HE9" s="13" t="s">
        <v>816</v>
      </c>
      <c r="HF9" s="13" t="s">
        <v>816</v>
      </c>
      <c r="HI9" s="13" t="s">
        <v>816</v>
      </c>
      <c r="HJ9" s="13" t="s">
        <v>816</v>
      </c>
      <c r="HL9" s="13" t="s">
        <v>816</v>
      </c>
    </row>
    <row r="10" spans="1:223" ht="12.75" customHeight="1" x14ac:dyDescent="0.2">
      <c r="A10" s="1" t="s">
        <v>367</v>
      </c>
      <c r="B10" s="1" t="s">
        <v>660</v>
      </c>
      <c r="E10" s="1" t="s">
        <v>130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9">
        <f>Tabelle58971121[[#This Row],[Durchschnittsauslastung min]]*Tabelle58971121[[#This Row],[installierte Leistung MW min]]</f>
        <v>0</v>
      </c>
      <c r="EG10" s="49">
        <f>Tabelle58971121[[#This Row],[Durchschnittsauslastung durch]]*Tabelle58971121[[#This Row],[installierte Leistung MW durch]]</f>
        <v>0</v>
      </c>
      <c r="EH10" s="49">
        <f>Tabelle58971121[[#This Row],[Durchschnittsauslastung max]]*Tabelle58971121[[#This Row],[installierte Leistung MW max]]</f>
        <v>0</v>
      </c>
      <c r="EI10" s="91">
        <f>Tabelle58971121[[#This Row],[Maximalauslastung durch]]*Tabelle58971121[[#This Row],[installierte Leistung MW min]]</f>
        <v>548.72</v>
      </c>
      <c r="EJ10" s="49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1119</v>
      </c>
      <c r="GO10" s="8" t="s">
        <v>1119</v>
      </c>
      <c r="GP10" s="8" t="s">
        <v>1119</v>
      </c>
      <c r="GS10" s="1">
        <v>67</v>
      </c>
      <c r="GT10" s="1">
        <v>67</v>
      </c>
      <c r="GU10" s="1">
        <v>67</v>
      </c>
      <c r="GV10" s="13" t="s">
        <v>816</v>
      </c>
      <c r="GW10" s="13" t="s">
        <v>816</v>
      </c>
      <c r="GX10" s="13" t="s">
        <v>816</v>
      </c>
      <c r="GY10" s="13"/>
      <c r="GZ10" s="13" t="s">
        <v>816</v>
      </c>
      <c r="HA10" s="13" t="s">
        <v>816</v>
      </c>
      <c r="HB10" s="13" t="s">
        <v>816</v>
      </c>
      <c r="HC10" s="13" t="s">
        <v>816</v>
      </c>
      <c r="HD10" s="13" t="s">
        <v>816</v>
      </c>
      <c r="HE10" s="13" t="s">
        <v>816</v>
      </c>
      <c r="HF10" s="13" t="s">
        <v>816</v>
      </c>
      <c r="HI10" s="13" t="s">
        <v>816</v>
      </c>
      <c r="HJ10" s="13" t="s">
        <v>816</v>
      </c>
      <c r="HL10" s="13" t="s">
        <v>816</v>
      </c>
    </row>
    <row r="11" spans="1:223" ht="12.75" customHeight="1" x14ac:dyDescent="0.2">
      <c r="A11" s="1" t="s">
        <v>367</v>
      </c>
      <c r="B11" s="1" t="s">
        <v>660</v>
      </c>
      <c r="E11" s="1" t="s">
        <v>130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9">
        <f>Tabelle58971121[[#This Row],[Durchschnittsauslastung min]]*Tabelle58971121[[#This Row],[installierte Leistung MW min]]</f>
        <v>0</v>
      </c>
      <c r="EG11" s="49">
        <f>Tabelle58971121[[#This Row],[Durchschnittsauslastung durch]]*Tabelle58971121[[#This Row],[installierte Leistung MW durch]]</f>
        <v>0</v>
      </c>
      <c r="EH11" s="49">
        <f>Tabelle58971121[[#This Row],[Durchschnittsauslastung max]]*Tabelle58971121[[#This Row],[installierte Leistung MW max]]</f>
        <v>0</v>
      </c>
      <c r="EI11" s="91">
        <f>Tabelle58971121[[#This Row],[Maximalauslastung durch]]*Tabelle58971121[[#This Row],[installierte Leistung MW min]]</f>
        <v>593.08271999999999</v>
      </c>
      <c r="EJ11" s="49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1119</v>
      </c>
      <c r="GO11" s="8" t="s">
        <v>1119</v>
      </c>
      <c r="GP11" s="8" t="s">
        <v>1119</v>
      </c>
      <c r="GS11" s="1">
        <v>67</v>
      </c>
      <c r="GT11" s="1">
        <v>67</v>
      </c>
      <c r="GU11" s="1">
        <v>67</v>
      </c>
      <c r="GV11" s="13" t="s">
        <v>816</v>
      </c>
      <c r="GW11" s="13" t="s">
        <v>816</v>
      </c>
      <c r="GX11" s="13" t="s">
        <v>816</v>
      </c>
      <c r="GY11" s="13"/>
      <c r="GZ11" s="13" t="s">
        <v>816</v>
      </c>
      <c r="HA11" s="13" t="s">
        <v>816</v>
      </c>
      <c r="HB11" s="13" t="s">
        <v>816</v>
      </c>
      <c r="HC11" s="13" t="s">
        <v>816</v>
      </c>
      <c r="HD11" s="13" t="s">
        <v>816</v>
      </c>
      <c r="HE11" s="13" t="s">
        <v>816</v>
      </c>
      <c r="HF11" s="13" t="s">
        <v>816</v>
      </c>
      <c r="HI11" s="13" t="s">
        <v>816</v>
      </c>
      <c r="HJ11" s="13" t="s">
        <v>816</v>
      </c>
      <c r="HL11" s="13" t="s">
        <v>816</v>
      </c>
    </row>
    <row r="12" spans="1:223" ht="12.75" customHeight="1" x14ac:dyDescent="0.2">
      <c r="A12" s="1" t="s">
        <v>367</v>
      </c>
      <c r="B12" s="1" t="s">
        <v>660</v>
      </c>
      <c r="E12" s="1" t="s">
        <v>130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9">
        <f>Tabelle58971121[[#This Row],[Durchschnittsauslastung min]]*Tabelle58971121[[#This Row],[installierte Leistung MW min]]</f>
        <v>0</v>
      </c>
      <c r="EG12" s="49">
        <f>Tabelle58971121[[#This Row],[Durchschnittsauslastung durch]]*Tabelle58971121[[#This Row],[installierte Leistung MW durch]]</f>
        <v>0</v>
      </c>
      <c r="EH12" s="49">
        <f>Tabelle58971121[[#This Row],[Durchschnittsauslastung max]]*Tabelle58971121[[#This Row],[installierte Leistung MW max]]</f>
        <v>0</v>
      </c>
      <c r="EI12" s="91">
        <f>Tabelle58971121[[#This Row],[Maximalauslastung durch]]*Tabelle58971121[[#This Row],[installierte Leistung MW min]]</f>
        <v>643.27920000000006</v>
      </c>
      <c r="EJ12" s="49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1119</v>
      </c>
      <c r="GO12" s="8" t="s">
        <v>1119</v>
      </c>
      <c r="GP12" s="8" t="s">
        <v>1119</v>
      </c>
      <c r="GS12" s="1">
        <v>67</v>
      </c>
      <c r="GT12" s="1">
        <v>67</v>
      </c>
      <c r="GU12" s="1">
        <v>67</v>
      </c>
      <c r="GV12" s="13" t="s">
        <v>816</v>
      </c>
      <c r="GW12" s="13" t="s">
        <v>816</v>
      </c>
      <c r="GX12" s="13" t="s">
        <v>816</v>
      </c>
      <c r="GY12" s="13"/>
      <c r="GZ12" s="13" t="s">
        <v>816</v>
      </c>
      <c r="HA12" s="13" t="s">
        <v>816</v>
      </c>
      <c r="HB12" s="13" t="s">
        <v>816</v>
      </c>
      <c r="HC12" s="13" t="s">
        <v>816</v>
      </c>
      <c r="HD12" s="13" t="s">
        <v>816</v>
      </c>
      <c r="HE12" s="13" t="s">
        <v>816</v>
      </c>
      <c r="HF12" s="13" t="s">
        <v>816</v>
      </c>
      <c r="HI12" s="13" t="s">
        <v>816</v>
      </c>
      <c r="HJ12" s="13" t="s">
        <v>816</v>
      </c>
      <c r="HL12" s="13" t="s">
        <v>816</v>
      </c>
    </row>
    <row r="13" spans="1:223" ht="12.75" customHeight="1" x14ac:dyDescent="0.2">
      <c r="A13" s="1" t="s">
        <v>367</v>
      </c>
      <c r="B13" s="1" t="s">
        <v>660</v>
      </c>
      <c r="E13" s="1" t="s">
        <v>130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9">
        <f>Tabelle58971121[[#This Row],[Durchschnittsauslastung min]]*Tabelle58971121[[#This Row],[installierte Leistung MW min]]</f>
        <v>0</v>
      </c>
      <c r="EG13" s="49">
        <f>Tabelle58971121[[#This Row],[Durchschnittsauslastung durch]]*Tabelle58971121[[#This Row],[installierte Leistung MW durch]]</f>
        <v>0</v>
      </c>
      <c r="EH13" s="49">
        <f>Tabelle58971121[[#This Row],[Durchschnittsauslastung max]]*Tabelle58971121[[#This Row],[installierte Leistung MW max]]</f>
        <v>0</v>
      </c>
      <c r="EI13" s="91">
        <f>Tabelle58971121[[#This Row],[Maximalauslastung durch]]*Tabelle58971121[[#This Row],[installierte Leistung MW min]]</f>
        <v>703.41647999999998</v>
      </c>
      <c r="EJ13" s="49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1119</v>
      </c>
      <c r="GO13" s="8" t="s">
        <v>1119</v>
      </c>
      <c r="GP13" s="8" t="s">
        <v>1119</v>
      </c>
      <c r="GS13" s="1">
        <v>67</v>
      </c>
      <c r="GT13" s="1">
        <v>67</v>
      </c>
      <c r="GU13" s="1">
        <v>67</v>
      </c>
      <c r="GV13" s="13" t="s">
        <v>816</v>
      </c>
      <c r="GW13" s="13" t="s">
        <v>816</v>
      </c>
      <c r="GX13" s="13" t="s">
        <v>816</v>
      </c>
      <c r="GY13" s="13"/>
      <c r="GZ13" s="13" t="s">
        <v>816</v>
      </c>
      <c r="HA13" s="13" t="s">
        <v>816</v>
      </c>
      <c r="HB13" s="13" t="s">
        <v>816</v>
      </c>
      <c r="HC13" s="13" t="s">
        <v>816</v>
      </c>
      <c r="HD13" s="13" t="s">
        <v>816</v>
      </c>
      <c r="HE13" s="13" t="s">
        <v>816</v>
      </c>
      <c r="HF13" s="13" t="s">
        <v>816</v>
      </c>
      <c r="HI13" s="13" t="s">
        <v>816</v>
      </c>
      <c r="HJ13" s="13" t="s">
        <v>816</v>
      </c>
      <c r="HL13" s="13" t="s">
        <v>816</v>
      </c>
    </row>
    <row r="14" spans="1:223" ht="12.75" customHeight="1" x14ac:dyDescent="0.2">
      <c r="A14" s="1" t="s">
        <v>367</v>
      </c>
      <c r="B14" s="1" t="s">
        <v>660</v>
      </c>
      <c r="E14" s="1" t="s">
        <v>130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9">
        <f>Tabelle58971121[[#This Row],[Durchschnittsauslastung min]]*Tabelle58971121[[#This Row],[installierte Leistung MW min]]</f>
        <v>0</v>
      </c>
      <c r="EG14" s="49">
        <f>Tabelle58971121[[#This Row],[Durchschnittsauslastung durch]]*Tabelle58971121[[#This Row],[installierte Leistung MW durch]]</f>
        <v>0</v>
      </c>
      <c r="EH14" s="49">
        <f>Tabelle58971121[[#This Row],[Durchschnittsauslastung max]]*Tabelle58971121[[#This Row],[installierte Leistung MW max]]</f>
        <v>0</v>
      </c>
      <c r="EI14" s="91">
        <f>Tabelle58971121[[#This Row],[Maximalauslastung durch]]*Tabelle58971121[[#This Row],[installierte Leistung MW min]]</f>
        <v>772.93823999999972</v>
      </c>
      <c r="EJ14" s="49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1119</v>
      </c>
      <c r="GO14" s="8" t="s">
        <v>1119</v>
      </c>
      <c r="GP14" s="8" t="s">
        <v>1119</v>
      </c>
      <c r="GS14" s="1">
        <v>67</v>
      </c>
      <c r="GT14" s="1">
        <v>67</v>
      </c>
      <c r="GU14" s="1">
        <v>67</v>
      </c>
      <c r="GV14" s="13" t="s">
        <v>816</v>
      </c>
      <c r="GW14" s="13" t="s">
        <v>816</v>
      </c>
      <c r="GX14" s="13" t="s">
        <v>816</v>
      </c>
      <c r="GY14" s="13"/>
      <c r="GZ14" s="13" t="s">
        <v>816</v>
      </c>
      <c r="HA14" s="13" t="s">
        <v>816</v>
      </c>
      <c r="HB14" s="13" t="s">
        <v>816</v>
      </c>
      <c r="HC14" s="13" t="s">
        <v>816</v>
      </c>
      <c r="HD14" s="13" t="s">
        <v>816</v>
      </c>
      <c r="HE14" s="13" t="s">
        <v>816</v>
      </c>
      <c r="HF14" s="13" t="s">
        <v>816</v>
      </c>
      <c r="HI14" s="13" t="s">
        <v>816</v>
      </c>
      <c r="HJ14" s="13" t="s">
        <v>816</v>
      </c>
      <c r="HL14" s="13" t="s">
        <v>816</v>
      </c>
    </row>
    <row r="15" spans="1:223" ht="12.75" customHeight="1" x14ac:dyDescent="0.2">
      <c r="A15" s="1" t="s">
        <v>367</v>
      </c>
      <c r="B15" s="1" t="s">
        <v>660</v>
      </c>
      <c r="E15" s="1" t="s">
        <v>130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9">
        <f>Tabelle58971121[[#This Row],[Durchschnittsauslastung min]]*Tabelle58971121[[#This Row],[installierte Leistung MW min]]</f>
        <v>0</v>
      </c>
      <c r="EG15" s="49">
        <f>Tabelle58971121[[#This Row],[Durchschnittsauslastung durch]]*Tabelle58971121[[#This Row],[installierte Leistung MW durch]]</f>
        <v>0</v>
      </c>
      <c r="EH15" s="49">
        <f>Tabelle58971121[[#This Row],[Durchschnittsauslastung max]]*Tabelle58971121[[#This Row],[installierte Leistung MW max]]</f>
        <v>0</v>
      </c>
      <c r="EI15" s="91">
        <f>Tabelle58971121[[#This Row],[Maximalauslastung durch]]*Tabelle58971121[[#This Row],[installierte Leistung MW min]]</f>
        <v>853.82655999999997</v>
      </c>
      <c r="EJ15" s="49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1119</v>
      </c>
      <c r="GO15" s="8" t="s">
        <v>1119</v>
      </c>
      <c r="GP15" s="8" t="s">
        <v>1119</v>
      </c>
      <c r="GS15" s="1">
        <v>67</v>
      </c>
      <c r="GT15" s="1">
        <v>67</v>
      </c>
      <c r="GU15" s="1">
        <v>67</v>
      </c>
      <c r="GV15" s="13" t="s">
        <v>816</v>
      </c>
      <c r="GW15" s="13" t="s">
        <v>816</v>
      </c>
      <c r="GX15" s="13" t="s">
        <v>816</v>
      </c>
      <c r="GY15" s="13"/>
      <c r="GZ15" s="13" t="s">
        <v>816</v>
      </c>
      <c r="HA15" s="13" t="s">
        <v>816</v>
      </c>
      <c r="HB15" s="13" t="s">
        <v>816</v>
      </c>
      <c r="HC15" s="13" t="s">
        <v>816</v>
      </c>
      <c r="HD15" s="13" t="s">
        <v>816</v>
      </c>
      <c r="HE15" s="13" t="s">
        <v>816</v>
      </c>
      <c r="HF15" s="13" t="s">
        <v>816</v>
      </c>
      <c r="HI15" s="13" t="s">
        <v>816</v>
      </c>
      <c r="HJ15" s="13" t="s">
        <v>816</v>
      </c>
      <c r="HL15" s="13" t="s">
        <v>816</v>
      </c>
    </row>
    <row r="16" spans="1:223" ht="12.75" customHeight="1" x14ac:dyDescent="0.2">
      <c r="A16" s="1" t="s">
        <v>367</v>
      </c>
      <c r="B16" s="1" t="s">
        <v>660</v>
      </c>
      <c r="E16" s="1" t="s">
        <v>130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9">
        <f>Tabelle58971121[[#This Row],[Durchschnittsauslastung min]]*Tabelle58971121[[#This Row],[installierte Leistung MW min]]</f>
        <v>0</v>
      </c>
      <c r="EG16" s="49">
        <f>Tabelle58971121[[#This Row],[Durchschnittsauslastung durch]]*Tabelle58971121[[#This Row],[installierte Leistung MW durch]]</f>
        <v>0</v>
      </c>
      <c r="EH16" s="49">
        <f>Tabelle58971121[[#This Row],[Durchschnittsauslastung max]]*Tabelle58971121[[#This Row],[installierte Leistung MW max]]</f>
        <v>0</v>
      </c>
      <c r="EI16" s="91">
        <f>Tabelle58971121[[#This Row],[Maximalauslastung durch]]*Tabelle58971121[[#This Row],[installierte Leistung MW min]]</f>
        <v>951.38319999999999</v>
      </c>
      <c r="EJ16" s="49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1119</v>
      </c>
      <c r="GO16" s="8" t="s">
        <v>1119</v>
      </c>
      <c r="GP16" s="8" t="s">
        <v>1119</v>
      </c>
      <c r="GS16" s="1">
        <v>67</v>
      </c>
      <c r="GT16" s="1">
        <v>67</v>
      </c>
      <c r="GU16" s="1">
        <v>67</v>
      </c>
      <c r="GV16" s="13" t="s">
        <v>816</v>
      </c>
      <c r="GW16" s="13" t="s">
        <v>816</v>
      </c>
      <c r="GX16" s="13" t="s">
        <v>816</v>
      </c>
      <c r="GY16" s="13"/>
      <c r="GZ16" s="13" t="s">
        <v>816</v>
      </c>
      <c r="HA16" s="13" t="s">
        <v>816</v>
      </c>
      <c r="HB16" s="13" t="s">
        <v>816</v>
      </c>
      <c r="HC16" s="13" t="s">
        <v>816</v>
      </c>
      <c r="HD16" s="13" t="s">
        <v>816</v>
      </c>
      <c r="HE16" s="13" t="s">
        <v>816</v>
      </c>
      <c r="HF16" s="13" t="s">
        <v>816</v>
      </c>
      <c r="HI16" s="13" t="s">
        <v>816</v>
      </c>
      <c r="HJ16" s="13" t="s">
        <v>816</v>
      </c>
      <c r="HL16" s="13" t="s">
        <v>816</v>
      </c>
    </row>
    <row r="17" spans="1:220" ht="12.75" customHeight="1" x14ac:dyDescent="0.2">
      <c r="A17" s="1" t="s">
        <v>367</v>
      </c>
      <c r="B17" s="1" t="s">
        <v>660</v>
      </c>
      <c r="E17" s="1" t="s">
        <v>130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9">
        <f>Tabelle58971121[[#This Row],[Durchschnittsauslastung min]]*Tabelle58971121[[#This Row],[installierte Leistung MW min]]</f>
        <v>0</v>
      </c>
      <c r="EG17" s="49">
        <f>Tabelle58971121[[#This Row],[Durchschnittsauslastung durch]]*Tabelle58971121[[#This Row],[installierte Leistung MW durch]]</f>
        <v>0</v>
      </c>
      <c r="EH17" s="49">
        <f>Tabelle58971121[[#This Row],[Durchschnittsauslastung max]]*Tabelle58971121[[#This Row],[installierte Leistung MW max]]</f>
        <v>0</v>
      </c>
      <c r="EI17" s="91">
        <f>Tabelle58971121[[#This Row],[Maximalauslastung durch]]*Tabelle58971121[[#This Row],[installierte Leistung MW min]]</f>
        <v>1064.2036800000001</v>
      </c>
      <c r="EJ17" s="49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1119</v>
      </c>
      <c r="GO17" s="8" t="s">
        <v>1119</v>
      </c>
      <c r="GP17" s="8" t="s">
        <v>1119</v>
      </c>
      <c r="GS17" s="1">
        <v>67</v>
      </c>
      <c r="GT17" s="1">
        <v>67</v>
      </c>
      <c r="GU17" s="1">
        <v>67</v>
      </c>
      <c r="GV17" s="13" t="s">
        <v>816</v>
      </c>
      <c r="GW17" s="13" t="s">
        <v>816</v>
      </c>
      <c r="GX17" s="13" t="s">
        <v>816</v>
      </c>
      <c r="GY17" s="13"/>
      <c r="GZ17" s="13" t="s">
        <v>816</v>
      </c>
      <c r="HA17" s="13" t="s">
        <v>816</v>
      </c>
      <c r="HB17" s="13" t="s">
        <v>816</v>
      </c>
      <c r="HC17" s="13" t="s">
        <v>816</v>
      </c>
      <c r="HD17" s="13" t="s">
        <v>816</v>
      </c>
      <c r="HE17" s="13" t="s">
        <v>816</v>
      </c>
      <c r="HF17" s="13" t="s">
        <v>816</v>
      </c>
      <c r="HI17" s="13" t="s">
        <v>816</v>
      </c>
      <c r="HJ17" s="13" t="s">
        <v>816</v>
      </c>
      <c r="HL17" s="13" t="s">
        <v>816</v>
      </c>
    </row>
    <row r="18" spans="1:220" ht="12.75" customHeight="1" x14ac:dyDescent="0.2">
      <c r="A18" s="1" t="s">
        <v>211</v>
      </c>
      <c r="B18" s="1" t="s">
        <v>757</v>
      </c>
      <c r="E18" s="1" t="s">
        <v>130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9">
        <f>Tabelle58971121[[#This Row],[Durchschnittsauslastung min]]*Tabelle58971121[[#This Row],[installierte Leistung MW min]]</f>
        <v>0</v>
      </c>
      <c r="EG18" s="49">
        <f>Tabelle58971121[[#This Row],[Durchschnittsauslastung durch]]*Tabelle58971121[[#This Row],[installierte Leistung MW durch]]</f>
        <v>0</v>
      </c>
      <c r="EH18" s="49">
        <f>Tabelle58971121[[#This Row],[Durchschnittsauslastung max]]*Tabelle58971121[[#This Row],[installierte Leistung MW max]]</f>
        <v>0</v>
      </c>
      <c r="EI18" s="91">
        <f>Tabelle58971121[[#This Row],[Maximalauslastung durch]]*Tabelle58971121[[#This Row],[installierte Leistung MW min]]</f>
        <v>1517</v>
      </c>
      <c r="EJ18" s="49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1119</v>
      </c>
      <c r="GO18" s="8" t="s">
        <v>1119</v>
      </c>
      <c r="GP18" s="8" t="s">
        <v>1119</v>
      </c>
      <c r="GS18" s="1">
        <v>67</v>
      </c>
      <c r="GT18" s="1">
        <v>67</v>
      </c>
      <c r="GU18" s="1">
        <v>67</v>
      </c>
      <c r="GV18" s="13" t="s">
        <v>816</v>
      </c>
      <c r="GW18" s="13" t="s">
        <v>816</v>
      </c>
      <c r="GX18" s="13" t="s">
        <v>816</v>
      </c>
      <c r="GY18" s="13"/>
      <c r="GZ18" s="13" t="s">
        <v>816</v>
      </c>
      <c r="HA18" s="13" t="s">
        <v>816</v>
      </c>
      <c r="HB18" s="13" t="s">
        <v>816</v>
      </c>
      <c r="HC18" s="13" t="s">
        <v>816</v>
      </c>
      <c r="HD18" s="13" t="s">
        <v>816</v>
      </c>
      <c r="HE18" s="13" t="s">
        <v>816</v>
      </c>
      <c r="HF18" s="13" t="s">
        <v>816</v>
      </c>
      <c r="HI18" s="13" t="s">
        <v>816</v>
      </c>
      <c r="HJ18" s="13" t="s">
        <v>816</v>
      </c>
      <c r="HL18" s="13" t="s">
        <v>816</v>
      </c>
    </row>
    <row r="19" spans="1:220" ht="12.75" customHeight="1" x14ac:dyDescent="0.2">
      <c r="A19" s="1" t="s">
        <v>211</v>
      </c>
      <c r="B19" s="1" t="s">
        <v>757</v>
      </c>
      <c r="E19" s="1" t="s">
        <v>130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9">
        <f>Tabelle58971121[[#This Row],[Durchschnittsauslastung min]]*Tabelle58971121[[#This Row],[installierte Leistung MW min]]</f>
        <v>0</v>
      </c>
      <c r="EG19" s="49">
        <f>Tabelle58971121[[#This Row],[Durchschnittsauslastung durch]]*Tabelle58971121[[#This Row],[installierte Leistung MW durch]]</f>
        <v>0</v>
      </c>
      <c r="EH19" s="49">
        <f>Tabelle58971121[[#This Row],[Durchschnittsauslastung max]]*Tabelle58971121[[#This Row],[installierte Leistung MW max]]</f>
        <v>0</v>
      </c>
      <c r="EI19" s="91">
        <f>Tabelle58971121[[#This Row],[Maximalauslastung durch]]*Tabelle58971121[[#This Row],[installierte Leistung MW min]]</f>
        <v>1605.83</v>
      </c>
      <c r="EJ19" s="49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1119</v>
      </c>
      <c r="GO19" s="8" t="s">
        <v>1119</v>
      </c>
      <c r="GP19" s="8" t="s">
        <v>1119</v>
      </c>
      <c r="GS19" s="1">
        <v>67</v>
      </c>
      <c r="GT19" s="1">
        <v>67</v>
      </c>
      <c r="GU19" s="1">
        <v>67</v>
      </c>
      <c r="GV19" s="13" t="s">
        <v>816</v>
      </c>
      <c r="GW19" s="13" t="s">
        <v>816</v>
      </c>
      <c r="GX19" s="13" t="s">
        <v>816</v>
      </c>
      <c r="GY19" s="13"/>
      <c r="GZ19" s="13" t="s">
        <v>816</v>
      </c>
      <c r="HA19" s="13" t="s">
        <v>816</v>
      </c>
      <c r="HB19" s="13" t="s">
        <v>816</v>
      </c>
      <c r="HC19" s="13" t="s">
        <v>816</v>
      </c>
      <c r="HD19" s="13" t="s">
        <v>816</v>
      </c>
      <c r="HE19" s="13" t="s">
        <v>816</v>
      </c>
      <c r="HF19" s="13" t="s">
        <v>816</v>
      </c>
      <c r="HI19" s="13" t="s">
        <v>816</v>
      </c>
      <c r="HJ19" s="13" t="s">
        <v>816</v>
      </c>
      <c r="HL19" s="13" t="s">
        <v>816</v>
      </c>
    </row>
    <row r="20" spans="1:220" ht="12.75" customHeight="1" x14ac:dyDescent="0.2">
      <c r="A20" s="1" t="s">
        <v>211</v>
      </c>
      <c r="B20" s="1" t="s">
        <v>757</v>
      </c>
      <c r="E20" s="1" t="s">
        <v>130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9">
        <f>Tabelle58971121[[#This Row],[Durchschnittsauslastung min]]*Tabelle58971121[[#This Row],[installierte Leistung MW min]]</f>
        <v>0</v>
      </c>
      <c r="EG20" s="49">
        <f>Tabelle58971121[[#This Row],[Durchschnittsauslastung durch]]*Tabelle58971121[[#This Row],[installierte Leistung MW durch]]</f>
        <v>0</v>
      </c>
      <c r="EH20" s="49">
        <f>Tabelle58971121[[#This Row],[Durchschnittsauslastung max]]*Tabelle58971121[[#This Row],[installierte Leistung MW max]]</f>
        <v>0</v>
      </c>
      <c r="EI20" s="91">
        <f>Tabelle58971121[[#This Row],[Maximalauslastung durch]]*Tabelle58971121[[#This Row],[installierte Leistung MW min]]</f>
        <v>1707.61</v>
      </c>
      <c r="EJ20" s="49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1119</v>
      </c>
      <c r="GO20" s="8" t="s">
        <v>1119</v>
      </c>
      <c r="GP20" s="8" t="s">
        <v>1119</v>
      </c>
      <c r="GS20" s="1">
        <v>67</v>
      </c>
      <c r="GT20" s="1">
        <v>67</v>
      </c>
      <c r="GU20" s="1">
        <v>67</v>
      </c>
      <c r="GV20" s="13" t="s">
        <v>816</v>
      </c>
      <c r="GW20" s="13" t="s">
        <v>816</v>
      </c>
      <c r="GX20" s="13" t="s">
        <v>816</v>
      </c>
      <c r="GY20" s="13"/>
      <c r="GZ20" s="13" t="s">
        <v>816</v>
      </c>
      <c r="HA20" s="13" t="s">
        <v>816</v>
      </c>
      <c r="HB20" s="13" t="s">
        <v>816</v>
      </c>
      <c r="HC20" s="13" t="s">
        <v>816</v>
      </c>
      <c r="HD20" s="13" t="s">
        <v>816</v>
      </c>
      <c r="HE20" s="13" t="s">
        <v>816</v>
      </c>
      <c r="HF20" s="13" t="s">
        <v>816</v>
      </c>
      <c r="HI20" s="13" t="s">
        <v>816</v>
      </c>
      <c r="HJ20" s="13" t="s">
        <v>816</v>
      </c>
      <c r="HL20" s="13" t="s">
        <v>816</v>
      </c>
    </row>
    <row r="21" spans="1:220" ht="12.75" customHeight="1" x14ac:dyDescent="0.2">
      <c r="A21" s="1" t="s">
        <v>211</v>
      </c>
      <c r="B21" s="1" t="s">
        <v>757</v>
      </c>
      <c r="E21" s="1" t="s">
        <v>130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9">
        <f>Tabelle58971121[[#This Row],[Durchschnittsauslastung min]]*Tabelle58971121[[#This Row],[installierte Leistung MW min]]</f>
        <v>0</v>
      </c>
      <c r="EG21" s="49">
        <f>Tabelle58971121[[#This Row],[Durchschnittsauslastung durch]]*Tabelle58971121[[#This Row],[installierte Leistung MW durch]]</f>
        <v>0</v>
      </c>
      <c r="EH21" s="49">
        <f>Tabelle58971121[[#This Row],[Durchschnittsauslastung max]]*Tabelle58971121[[#This Row],[installierte Leistung MW max]]</f>
        <v>0</v>
      </c>
      <c r="EI21" s="91">
        <f>Tabelle58971121[[#This Row],[Maximalauslastung durch]]*Tabelle58971121[[#This Row],[installierte Leistung MW min]]</f>
        <v>1832.85</v>
      </c>
      <c r="EJ21" s="49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1119</v>
      </c>
      <c r="GO21" s="8" t="s">
        <v>1119</v>
      </c>
      <c r="GP21" s="8" t="s">
        <v>1119</v>
      </c>
      <c r="GS21" s="1">
        <v>67</v>
      </c>
      <c r="GT21" s="1">
        <v>67</v>
      </c>
      <c r="GU21" s="1">
        <v>67</v>
      </c>
      <c r="GV21" s="13" t="s">
        <v>816</v>
      </c>
      <c r="GW21" s="13" t="s">
        <v>816</v>
      </c>
      <c r="GX21" s="13" t="s">
        <v>816</v>
      </c>
      <c r="GY21" s="13"/>
      <c r="GZ21" s="13" t="s">
        <v>816</v>
      </c>
      <c r="HA21" s="13" t="s">
        <v>816</v>
      </c>
      <c r="HB21" s="13" t="s">
        <v>816</v>
      </c>
      <c r="HC21" s="13" t="s">
        <v>816</v>
      </c>
      <c r="HD21" s="13" t="s">
        <v>816</v>
      </c>
      <c r="HE21" s="13" t="s">
        <v>816</v>
      </c>
      <c r="HF21" s="13" t="s">
        <v>816</v>
      </c>
      <c r="HI21" s="13" t="s">
        <v>816</v>
      </c>
      <c r="HJ21" s="13" t="s">
        <v>816</v>
      </c>
      <c r="HL21" s="13" t="s">
        <v>816</v>
      </c>
    </row>
    <row r="22" spans="1:220" ht="12.75" customHeight="1" x14ac:dyDescent="0.2">
      <c r="A22" s="1" t="s">
        <v>211</v>
      </c>
      <c r="B22" s="1" t="s">
        <v>757</v>
      </c>
      <c r="E22" s="1" t="s">
        <v>130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9">
        <f>Tabelle58971121[[#This Row],[Durchschnittsauslastung min]]*Tabelle58971121[[#This Row],[installierte Leistung MW min]]</f>
        <v>0</v>
      </c>
      <c r="EG22" s="49">
        <f>Tabelle58971121[[#This Row],[Durchschnittsauslastung durch]]*Tabelle58971121[[#This Row],[installierte Leistung MW durch]]</f>
        <v>0</v>
      </c>
      <c r="EH22" s="49">
        <f>Tabelle58971121[[#This Row],[Durchschnittsauslastung max]]*Tabelle58971121[[#This Row],[installierte Leistung MW max]]</f>
        <v>0</v>
      </c>
      <c r="EI22" s="91">
        <f>Tabelle58971121[[#This Row],[Maximalauslastung durch]]*Tabelle58971121[[#This Row],[installierte Leistung MW min]]</f>
        <v>1978.53</v>
      </c>
      <c r="EJ22" s="49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1119</v>
      </c>
      <c r="GO22" s="8" t="s">
        <v>1119</v>
      </c>
      <c r="GP22" s="8" t="s">
        <v>1119</v>
      </c>
      <c r="GS22" s="1">
        <v>67</v>
      </c>
      <c r="GT22" s="1">
        <v>67</v>
      </c>
      <c r="GU22" s="1">
        <v>67</v>
      </c>
      <c r="GV22" s="13" t="s">
        <v>816</v>
      </c>
      <c r="GW22" s="13" t="s">
        <v>816</v>
      </c>
      <c r="GX22" s="13" t="s">
        <v>816</v>
      </c>
      <c r="GY22" s="13"/>
      <c r="GZ22" s="13" t="s">
        <v>816</v>
      </c>
      <c r="HA22" s="13" t="s">
        <v>816</v>
      </c>
      <c r="HB22" s="13" t="s">
        <v>816</v>
      </c>
      <c r="HC22" s="13" t="s">
        <v>816</v>
      </c>
      <c r="HD22" s="13" t="s">
        <v>816</v>
      </c>
      <c r="HE22" s="13" t="s">
        <v>816</v>
      </c>
      <c r="HF22" s="13" t="s">
        <v>816</v>
      </c>
      <c r="HI22" s="13" t="s">
        <v>816</v>
      </c>
      <c r="HJ22" s="13" t="s">
        <v>816</v>
      </c>
      <c r="HL22" s="13" t="s">
        <v>816</v>
      </c>
    </row>
    <row r="23" spans="1:220" ht="12.75" customHeight="1" x14ac:dyDescent="0.2">
      <c r="A23" s="1" t="s">
        <v>211</v>
      </c>
      <c r="B23" s="1" t="s">
        <v>757</v>
      </c>
      <c r="E23" s="1" t="s">
        <v>130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9">
        <f>Tabelle58971121[[#This Row],[Durchschnittsauslastung min]]*Tabelle58971121[[#This Row],[installierte Leistung MW min]]</f>
        <v>0</v>
      </c>
      <c r="EG23" s="49">
        <f>Tabelle58971121[[#This Row],[Durchschnittsauslastung durch]]*Tabelle58971121[[#This Row],[installierte Leistung MW durch]]</f>
        <v>0</v>
      </c>
      <c r="EH23" s="49">
        <f>Tabelle58971121[[#This Row],[Durchschnittsauslastung max]]*Tabelle58971121[[#This Row],[installierte Leistung MW max]]</f>
        <v>0</v>
      </c>
      <c r="EI23" s="91">
        <f>Tabelle58971121[[#This Row],[Maximalauslastung durch]]*Tabelle58971121[[#This Row],[installierte Leistung MW min]]</f>
        <v>2152.329999999999</v>
      </c>
      <c r="EJ23" s="49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1119</v>
      </c>
      <c r="GO23" s="8" t="s">
        <v>1119</v>
      </c>
      <c r="GP23" s="8" t="s">
        <v>1119</v>
      </c>
      <c r="GS23" s="1">
        <v>67</v>
      </c>
      <c r="GT23" s="1">
        <v>67</v>
      </c>
      <c r="GU23" s="1">
        <v>67</v>
      </c>
      <c r="GV23" s="13" t="s">
        <v>816</v>
      </c>
      <c r="GW23" s="13" t="s">
        <v>816</v>
      </c>
      <c r="GX23" s="13" t="s">
        <v>816</v>
      </c>
      <c r="GY23" s="13"/>
      <c r="GZ23" s="13" t="s">
        <v>816</v>
      </c>
      <c r="HA23" s="13" t="s">
        <v>816</v>
      </c>
      <c r="HB23" s="13" t="s">
        <v>816</v>
      </c>
      <c r="HC23" s="13" t="s">
        <v>816</v>
      </c>
      <c r="HD23" s="13" t="s">
        <v>816</v>
      </c>
      <c r="HE23" s="13" t="s">
        <v>816</v>
      </c>
      <c r="HF23" s="13" t="s">
        <v>816</v>
      </c>
      <c r="HI23" s="13" t="s">
        <v>816</v>
      </c>
      <c r="HJ23" s="13" t="s">
        <v>816</v>
      </c>
      <c r="HL23" s="13" t="s">
        <v>816</v>
      </c>
    </row>
    <row r="24" spans="1:220" ht="12.75" customHeight="1" x14ac:dyDescent="0.2">
      <c r="A24" s="1" t="s">
        <v>211</v>
      </c>
      <c r="B24" s="1" t="s">
        <v>757</v>
      </c>
      <c r="E24" s="1" t="s">
        <v>130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9">
        <f>Tabelle58971121[[#This Row],[Durchschnittsauslastung min]]*Tabelle58971121[[#This Row],[installierte Leistung MW min]]</f>
        <v>0</v>
      </c>
      <c r="EG24" s="49">
        <f>Tabelle58971121[[#This Row],[Durchschnittsauslastung durch]]*Tabelle58971121[[#This Row],[installierte Leistung MW durch]]</f>
        <v>0</v>
      </c>
      <c r="EH24" s="49">
        <f>Tabelle58971121[[#This Row],[Durchschnittsauslastung max]]*Tabelle58971121[[#This Row],[installierte Leistung MW max]]</f>
        <v>0</v>
      </c>
      <c r="EI24" s="91">
        <f>Tabelle58971121[[#This Row],[Maximalauslastung durch]]*Tabelle58971121[[#This Row],[installierte Leistung MW min]]</f>
        <v>2369.1999999999998</v>
      </c>
      <c r="EJ24" s="49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1119</v>
      </c>
      <c r="GO24" s="8" t="s">
        <v>1119</v>
      </c>
      <c r="GP24" s="8" t="s">
        <v>1119</v>
      </c>
      <c r="GS24" s="1">
        <v>67</v>
      </c>
      <c r="GT24" s="1">
        <v>67</v>
      </c>
      <c r="GU24" s="1">
        <v>67</v>
      </c>
      <c r="GV24" s="13" t="s">
        <v>816</v>
      </c>
      <c r="GW24" s="13" t="s">
        <v>816</v>
      </c>
      <c r="GX24" s="13" t="s">
        <v>816</v>
      </c>
      <c r="GY24" s="13"/>
      <c r="GZ24" s="13" t="s">
        <v>816</v>
      </c>
      <c r="HA24" s="13" t="s">
        <v>816</v>
      </c>
      <c r="HB24" s="13" t="s">
        <v>816</v>
      </c>
      <c r="HC24" s="13" t="s">
        <v>816</v>
      </c>
      <c r="HD24" s="13" t="s">
        <v>816</v>
      </c>
      <c r="HE24" s="13" t="s">
        <v>816</v>
      </c>
      <c r="HF24" s="13" t="s">
        <v>816</v>
      </c>
      <c r="HI24" s="13" t="s">
        <v>816</v>
      </c>
      <c r="HJ24" s="13" t="s">
        <v>816</v>
      </c>
      <c r="HL24" s="13" t="s">
        <v>816</v>
      </c>
    </row>
    <row r="25" spans="1:220" ht="12.75" customHeight="1" x14ac:dyDescent="0.2">
      <c r="A25" s="1" t="s">
        <v>211</v>
      </c>
      <c r="B25" s="1" t="s">
        <v>757</v>
      </c>
      <c r="E25" s="1" t="s">
        <v>130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9">
        <f>Tabelle58971121[[#This Row],[Durchschnittsauslastung min]]*Tabelle58971121[[#This Row],[installierte Leistung MW min]]</f>
        <v>0</v>
      </c>
      <c r="EG25" s="49">
        <f>Tabelle58971121[[#This Row],[Durchschnittsauslastung durch]]*Tabelle58971121[[#This Row],[installierte Leistung MW durch]]</f>
        <v>0</v>
      </c>
      <c r="EH25" s="49">
        <f>Tabelle58971121[[#This Row],[Durchschnittsauslastung max]]*Tabelle58971121[[#This Row],[installierte Leistung MW max]]</f>
        <v>0</v>
      </c>
      <c r="EI25" s="91">
        <f>Tabelle58971121[[#This Row],[Maximalauslastung durch]]*Tabelle58971121[[#This Row],[installierte Leistung MW min]]</f>
        <v>2622.46</v>
      </c>
      <c r="EJ25" s="49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1119</v>
      </c>
      <c r="GO25" s="8" t="s">
        <v>1119</v>
      </c>
      <c r="GP25" s="8" t="s">
        <v>1119</v>
      </c>
      <c r="GS25" s="1">
        <v>67</v>
      </c>
      <c r="GT25" s="1">
        <v>67</v>
      </c>
      <c r="GU25" s="1">
        <v>67</v>
      </c>
      <c r="GV25" s="13" t="s">
        <v>816</v>
      </c>
      <c r="GW25" s="13" t="s">
        <v>816</v>
      </c>
      <c r="GX25" s="13" t="s">
        <v>816</v>
      </c>
      <c r="GY25" s="13"/>
      <c r="GZ25" s="13" t="s">
        <v>816</v>
      </c>
      <c r="HA25" s="13" t="s">
        <v>816</v>
      </c>
      <c r="HB25" s="13" t="s">
        <v>816</v>
      </c>
      <c r="HC25" s="13" t="s">
        <v>816</v>
      </c>
      <c r="HD25" s="13" t="s">
        <v>816</v>
      </c>
      <c r="HE25" s="13" t="s">
        <v>816</v>
      </c>
      <c r="HF25" s="13" t="s">
        <v>816</v>
      </c>
      <c r="HI25" s="13" t="s">
        <v>816</v>
      </c>
      <c r="HJ25" s="13" t="s">
        <v>816</v>
      </c>
      <c r="HL25" s="13" t="s">
        <v>816</v>
      </c>
    </row>
    <row r="26" spans="1:220" ht="12.75" customHeight="1" x14ac:dyDescent="0.2">
      <c r="A26" s="1" t="s">
        <v>213</v>
      </c>
      <c r="B26" s="1" t="s">
        <v>661</v>
      </c>
      <c r="E26" s="1" t="s">
        <v>130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9">
        <f>Tabelle58971121[[#This Row],[Durchschnittsauslastung min]]*Tabelle58971121[[#This Row],[installierte Leistung MW min]]</f>
        <v>0</v>
      </c>
      <c r="EG26" s="49">
        <f>Tabelle58971121[[#This Row],[Durchschnittsauslastung durch]]*Tabelle58971121[[#This Row],[installierte Leistung MW durch]]</f>
        <v>0</v>
      </c>
      <c r="EH26" s="49">
        <f>Tabelle58971121[[#This Row],[Durchschnittsauslastung max]]*Tabelle58971121[[#This Row],[installierte Leistung MW max]]</f>
        <v>0</v>
      </c>
      <c r="EI26" s="91">
        <f>Tabelle58971121[[#This Row],[Maximalauslastung durch]]*Tabelle58971121[[#This Row],[installierte Leistung MW min]]</f>
        <v>594.40333333333331</v>
      </c>
      <c r="EJ26" s="49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1119</v>
      </c>
      <c r="GO26" s="8" t="s">
        <v>1119</v>
      </c>
      <c r="GP26" s="8" t="s">
        <v>1119</v>
      </c>
      <c r="GS26" s="1">
        <v>67</v>
      </c>
      <c r="GT26" s="1">
        <v>67</v>
      </c>
      <c r="GU26" s="1">
        <v>67</v>
      </c>
      <c r="GV26" s="13" t="s">
        <v>816</v>
      </c>
      <c r="GW26" s="13" t="s">
        <v>816</v>
      </c>
      <c r="GX26" s="13" t="s">
        <v>816</v>
      </c>
      <c r="GY26" s="13"/>
      <c r="GZ26" s="13" t="s">
        <v>816</v>
      </c>
      <c r="HA26" s="13" t="s">
        <v>816</v>
      </c>
      <c r="HB26" s="13" t="s">
        <v>816</v>
      </c>
      <c r="HC26" s="13" t="s">
        <v>816</v>
      </c>
      <c r="HD26" s="13" t="s">
        <v>816</v>
      </c>
      <c r="HE26" s="13" t="s">
        <v>816</v>
      </c>
      <c r="HF26" s="13" t="s">
        <v>816</v>
      </c>
      <c r="HI26" s="13" t="s">
        <v>816</v>
      </c>
      <c r="HJ26" s="13" t="s">
        <v>816</v>
      </c>
      <c r="HL26" s="13" t="s">
        <v>816</v>
      </c>
    </row>
    <row r="27" spans="1:220" ht="12.75" customHeight="1" x14ac:dyDescent="0.2">
      <c r="A27" s="1" t="s">
        <v>213</v>
      </c>
      <c r="B27" s="1" t="s">
        <v>661</v>
      </c>
      <c r="E27" s="1" t="s">
        <v>130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9">
        <f>Tabelle58971121[[#This Row],[Durchschnittsauslastung min]]*Tabelle58971121[[#This Row],[installierte Leistung MW min]]</f>
        <v>0</v>
      </c>
      <c r="EG27" s="49">
        <f>Tabelle58971121[[#This Row],[Durchschnittsauslastung durch]]*Tabelle58971121[[#This Row],[installierte Leistung MW durch]]</f>
        <v>0</v>
      </c>
      <c r="EH27" s="49">
        <f>Tabelle58971121[[#This Row],[Durchschnittsauslastung max]]*Tabelle58971121[[#This Row],[installierte Leistung MW max]]</f>
        <v>0</v>
      </c>
      <c r="EI27" s="91">
        <f>Tabelle58971121[[#This Row],[Maximalauslastung durch]]*Tabelle58971121[[#This Row],[installierte Leistung MW min]]</f>
        <v>612.45616666666672</v>
      </c>
      <c r="EJ27" s="49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1119</v>
      </c>
      <c r="GO27" s="8" t="s">
        <v>1119</v>
      </c>
      <c r="GP27" s="8" t="s">
        <v>1119</v>
      </c>
      <c r="GS27" s="1">
        <v>67</v>
      </c>
      <c r="GT27" s="1">
        <v>67</v>
      </c>
      <c r="GU27" s="1">
        <v>67</v>
      </c>
      <c r="GV27" s="13" t="s">
        <v>816</v>
      </c>
      <c r="GW27" s="13" t="s">
        <v>816</v>
      </c>
      <c r="GX27" s="13" t="s">
        <v>816</v>
      </c>
      <c r="GY27" s="13"/>
      <c r="GZ27" s="13" t="s">
        <v>816</v>
      </c>
      <c r="HA27" s="13" t="s">
        <v>816</v>
      </c>
      <c r="HB27" s="13" t="s">
        <v>816</v>
      </c>
      <c r="HC27" s="13" t="s">
        <v>816</v>
      </c>
      <c r="HD27" s="13" t="s">
        <v>816</v>
      </c>
      <c r="HE27" s="13" t="s">
        <v>816</v>
      </c>
      <c r="HF27" s="13" t="s">
        <v>816</v>
      </c>
      <c r="HI27" s="13" t="s">
        <v>816</v>
      </c>
      <c r="HJ27" s="13" t="s">
        <v>816</v>
      </c>
      <c r="HL27" s="13" t="s">
        <v>816</v>
      </c>
    </row>
    <row r="28" spans="1:220" ht="12.75" customHeight="1" x14ac:dyDescent="0.2">
      <c r="A28" s="1" t="s">
        <v>213</v>
      </c>
      <c r="B28" s="1" t="s">
        <v>661</v>
      </c>
      <c r="E28" s="1" t="s">
        <v>130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9">
        <f>Tabelle58971121[[#This Row],[Durchschnittsauslastung min]]*Tabelle58971121[[#This Row],[installierte Leistung MW min]]</f>
        <v>0</v>
      </c>
      <c r="EG28" s="49">
        <f>Tabelle58971121[[#This Row],[Durchschnittsauslastung durch]]*Tabelle58971121[[#This Row],[installierte Leistung MW durch]]</f>
        <v>0</v>
      </c>
      <c r="EH28" s="49">
        <f>Tabelle58971121[[#This Row],[Durchschnittsauslastung max]]*Tabelle58971121[[#This Row],[installierte Leistung MW max]]</f>
        <v>0</v>
      </c>
      <c r="EI28" s="91">
        <f>Tabelle58971121[[#This Row],[Maximalauslastung durch]]*Tabelle58971121[[#This Row],[installierte Leistung MW min]]</f>
        <v>636.85508333333337</v>
      </c>
      <c r="EJ28" s="49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1119</v>
      </c>
      <c r="GO28" s="8" t="s">
        <v>1119</v>
      </c>
      <c r="GP28" s="8" t="s">
        <v>1119</v>
      </c>
      <c r="GS28" s="1">
        <v>67</v>
      </c>
      <c r="GT28" s="1">
        <v>67</v>
      </c>
      <c r="GU28" s="1">
        <v>67</v>
      </c>
      <c r="GV28" s="13" t="s">
        <v>816</v>
      </c>
      <c r="GW28" s="13" t="s">
        <v>816</v>
      </c>
      <c r="GX28" s="13" t="s">
        <v>816</v>
      </c>
      <c r="GY28" s="13"/>
      <c r="GZ28" s="13" t="s">
        <v>816</v>
      </c>
      <c r="HA28" s="13" t="s">
        <v>816</v>
      </c>
      <c r="HB28" s="13" t="s">
        <v>816</v>
      </c>
      <c r="HC28" s="13" t="s">
        <v>816</v>
      </c>
      <c r="HD28" s="13" t="s">
        <v>816</v>
      </c>
      <c r="HE28" s="13" t="s">
        <v>816</v>
      </c>
      <c r="HF28" s="13" t="s">
        <v>816</v>
      </c>
      <c r="HI28" s="13" t="s">
        <v>816</v>
      </c>
      <c r="HJ28" s="13" t="s">
        <v>816</v>
      </c>
      <c r="HL28" s="13" t="s">
        <v>816</v>
      </c>
    </row>
    <row r="29" spans="1:220" ht="12.75" customHeight="1" x14ac:dyDescent="0.2">
      <c r="A29" s="1" t="s">
        <v>213</v>
      </c>
      <c r="B29" s="1" t="s">
        <v>661</v>
      </c>
      <c r="E29" s="1" t="s">
        <v>130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9">
        <f>Tabelle58971121[[#This Row],[Durchschnittsauslastung min]]*Tabelle58971121[[#This Row],[installierte Leistung MW min]]</f>
        <v>0</v>
      </c>
      <c r="EG29" s="49">
        <f>Tabelle58971121[[#This Row],[Durchschnittsauslastung durch]]*Tabelle58971121[[#This Row],[installierte Leistung MW durch]]</f>
        <v>0</v>
      </c>
      <c r="EH29" s="49">
        <f>Tabelle58971121[[#This Row],[Durchschnittsauslastung max]]*Tabelle58971121[[#This Row],[installierte Leistung MW max]]</f>
        <v>0</v>
      </c>
      <c r="EI29" s="91">
        <f>Tabelle58971121[[#This Row],[Maximalauslastung durch]]*Tabelle58971121[[#This Row],[installierte Leistung MW min]]</f>
        <v>665.08530000000007</v>
      </c>
      <c r="EJ29" s="49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1119</v>
      </c>
      <c r="GO29" s="8" t="s">
        <v>1119</v>
      </c>
      <c r="GP29" s="8" t="s">
        <v>1119</v>
      </c>
      <c r="GS29" s="1">
        <v>67</v>
      </c>
      <c r="GT29" s="1">
        <v>67</v>
      </c>
      <c r="GU29" s="1">
        <v>67</v>
      </c>
      <c r="GV29" s="13" t="s">
        <v>816</v>
      </c>
      <c r="GW29" s="13" t="s">
        <v>816</v>
      </c>
      <c r="GX29" s="13" t="s">
        <v>816</v>
      </c>
      <c r="GY29" s="13"/>
      <c r="GZ29" s="13" t="s">
        <v>816</v>
      </c>
      <c r="HA29" s="13" t="s">
        <v>816</v>
      </c>
      <c r="HB29" s="13" t="s">
        <v>816</v>
      </c>
      <c r="HC29" s="13" t="s">
        <v>816</v>
      </c>
      <c r="HD29" s="13" t="s">
        <v>816</v>
      </c>
      <c r="HE29" s="13" t="s">
        <v>816</v>
      </c>
      <c r="HF29" s="13" t="s">
        <v>816</v>
      </c>
      <c r="HI29" s="13" t="s">
        <v>816</v>
      </c>
      <c r="HJ29" s="13" t="s">
        <v>816</v>
      </c>
      <c r="HL29" s="13" t="s">
        <v>816</v>
      </c>
    </row>
    <row r="30" spans="1:220" ht="12.75" customHeight="1" x14ac:dyDescent="0.2">
      <c r="A30" s="1" t="s">
        <v>213</v>
      </c>
      <c r="B30" s="1" t="s">
        <v>661</v>
      </c>
      <c r="E30" s="1" t="s">
        <v>130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9">
        <f>Tabelle58971121[[#This Row],[Durchschnittsauslastung min]]*Tabelle58971121[[#This Row],[installierte Leistung MW min]]</f>
        <v>0</v>
      </c>
      <c r="EG30" s="49">
        <f>Tabelle58971121[[#This Row],[Durchschnittsauslastung durch]]*Tabelle58971121[[#This Row],[installierte Leistung MW durch]]</f>
        <v>0</v>
      </c>
      <c r="EH30" s="49">
        <f>Tabelle58971121[[#This Row],[Durchschnittsauslastung max]]*Tabelle58971121[[#This Row],[installierte Leistung MW max]]</f>
        <v>0</v>
      </c>
      <c r="EI30" s="91">
        <f>Tabelle58971121[[#This Row],[Maximalauslastung durch]]*Tabelle58971121[[#This Row],[installierte Leistung MW min]]</f>
        <v>699.5906500000001</v>
      </c>
      <c r="EJ30" s="49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1119</v>
      </c>
      <c r="GO30" s="8" t="s">
        <v>1119</v>
      </c>
      <c r="GP30" s="8" t="s">
        <v>1119</v>
      </c>
      <c r="GS30" s="1">
        <v>67</v>
      </c>
      <c r="GT30" s="1">
        <v>67</v>
      </c>
      <c r="GU30" s="1">
        <v>67</v>
      </c>
      <c r="GV30" s="13" t="s">
        <v>816</v>
      </c>
      <c r="GW30" s="13" t="s">
        <v>816</v>
      </c>
      <c r="GX30" s="13" t="s">
        <v>816</v>
      </c>
      <c r="GY30" s="13"/>
      <c r="GZ30" s="13" t="s">
        <v>816</v>
      </c>
      <c r="HA30" s="13" t="s">
        <v>816</v>
      </c>
      <c r="HB30" s="13" t="s">
        <v>816</v>
      </c>
      <c r="HC30" s="13" t="s">
        <v>816</v>
      </c>
      <c r="HD30" s="13" t="s">
        <v>816</v>
      </c>
      <c r="HE30" s="13" t="s">
        <v>816</v>
      </c>
      <c r="HF30" s="13" t="s">
        <v>816</v>
      </c>
      <c r="HI30" s="13" t="s">
        <v>816</v>
      </c>
      <c r="HJ30" s="13" t="s">
        <v>816</v>
      </c>
      <c r="HL30" s="13" t="s">
        <v>816</v>
      </c>
    </row>
    <row r="31" spans="1:220" ht="12.75" customHeight="1" x14ac:dyDescent="0.2">
      <c r="A31" s="1" t="s">
        <v>213</v>
      </c>
      <c r="B31" s="1" t="s">
        <v>661</v>
      </c>
      <c r="E31" s="1" t="s">
        <v>130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9">
        <f>Tabelle58971121[[#This Row],[Durchschnittsauslastung min]]*Tabelle58971121[[#This Row],[installierte Leistung MW min]]</f>
        <v>0</v>
      </c>
      <c r="EG31" s="49">
        <f>Tabelle58971121[[#This Row],[Durchschnittsauslastung durch]]*Tabelle58971121[[#This Row],[installierte Leistung MW durch]]</f>
        <v>0</v>
      </c>
      <c r="EH31" s="49">
        <f>Tabelle58971121[[#This Row],[Durchschnittsauslastung max]]*Tabelle58971121[[#This Row],[installierte Leistung MW max]]</f>
        <v>0</v>
      </c>
      <c r="EI31" s="91">
        <f>Tabelle58971121[[#This Row],[Maximalauslastung durch]]*Tabelle58971121[[#This Row],[installierte Leistung MW min]]</f>
        <v>744.28915000000006</v>
      </c>
      <c r="EJ31" s="49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1119</v>
      </c>
      <c r="GO31" s="8" t="s">
        <v>1119</v>
      </c>
      <c r="GP31" s="8" t="s">
        <v>1119</v>
      </c>
      <c r="GS31" s="1">
        <v>67</v>
      </c>
      <c r="GT31" s="1">
        <v>67</v>
      </c>
      <c r="GU31" s="1">
        <v>67</v>
      </c>
      <c r="GV31" s="13" t="s">
        <v>816</v>
      </c>
      <c r="GW31" s="13" t="s">
        <v>816</v>
      </c>
      <c r="GX31" s="13" t="s">
        <v>816</v>
      </c>
      <c r="GY31" s="13"/>
      <c r="GZ31" s="13" t="s">
        <v>816</v>
      </c>
      <c r="HA31" s="13" t="s">
        <v>816</v>
      </c>
      <c r="HB31" s="13" t="s">
        <v>816</v>
      </c>
      <c r="HC31" s="13" t="s">
        <v>816</v>
      </c>
      <c r="HD31" s="13" t="s">
        <v>816</v>
      </c>
      <c r="HE31" s="13" t="s">
        <v>816</v>
      </c>
      <c r="HF31" s="13" t="s">
        <v>816</v>
      </c>
      <c r="HI31" s="13" t="s">
        <v>816</v>
      </c>
      <c r="HJ31" s="13" t="s">
        <v>816</v>
      </c>
      <c r="HL31" s="13" t="s">
        <v>816</v>
      </c>
    </row>
    <row r="32" spans="1:220" ht="12.75" customHeight="1" x14ac:dyDescent="0.2">
      <c r="A32" s="1" t="s">
        <v>213</v>
      </c>
      <c r="B32" s="1" t="s">
        <v>661</v>
      </c>
      <c r="E32" s="1" t="s">
        <v>130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9">
        <f>Tabelle58971121[[#This Row],[Durchschnittsauslastung min]]*Tabelle58971121[[#This Row],[installierte Leistung MW min]]</f>
        <v>0</v>
      </c>
      <c r="EG32" s="49">
        <f>Tabelle58971121[[#This Row],[Durchschnittsauslastung durch]]*Tabelle58971121[[#This Row],[installierte Leistung MW durch]]</f>
        <v>0</v>
      </c>
      <c r="EH32" s="49">
        <f>Tabelle58971121[[#This Row],[Durchschnittsauslastung max]]*Tabelle58971121[[#This Row],[installierte Leistung MW max]]</f>
        <v>0</v>
      </c>
      <c r="EI32" s="91">
        <f>Tabelle58971121[[#This Row],[Maximalauslastung durch]]*Tabelle58971121[[#This Row],[installierte Leistung MW min]]</f>
        <v>797.7066166666666</v>
      </c>
      <c r="EJ32" s="49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1119</v>
      </c>
      <c r="GO32" s="8" t="s">
        <v>1119</v>
      </c>
      <c r="GP32" s="8" t="s">
        <v>1119</v>
      </c>
      <c r="GS32" s="1">
        <v>67</v>
      </c>
      <c r="GT32" s="1">
        <v>67</v>
      </c>
      <c r="GU32" s="1">
        <v>67</v>
      </c>
      <c r="GV32" s="13" t="s">
        <v>816</v>
      </c>
      <c r="GW32" s="13" t="s">
        <v>816</v>
      </c>
      <c r="GX32" s="13" t="s">
        <v>816</v>
      </c>
      <c r="GY32" s="13"/>
      <c r="GZ32" s="13" t="s">
        <v>816</v>
      </c>
      <c r="HA32" s="13" t="s">
        <v>816</v>
      </c>
      <c r="HB32" s="13" t="s">
        <v>816</v>
      </c>
      <c r="HC32" s="13" t="s">
        <v>816</v>
      </c>
      <c r="HD32" s="13" t="s">
        <v>816</v>
      </c>
      <c r="HE32" s="13" t="s">
        <v>816</v>
      </c>
      <c r="HF32" s="13" t="s">
        <v>816</v>
      </c>
      <c r="HI32" s="13" t="s">
        <v>816</v>
      </c>
      <c r="HJ32" s="13" t="s">
        <v>816</v>
      </c>
      <c r="HL32" s="13" t="s">
        <v>816</v>
      </c>
    </row>
    <row r="33" spans="1:220" ht="12.75" customHeight="1" x14ac:dyDescent="0.2">
      <c r="A33" s="1" t="s">
        <v>213</v>
      </c>
      <c r="B33" s="1" t="s">
        <v>661</v>
      </c>
      <c r="E33" s="1" t="s">
        <v>130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9">
        <f>Tabelle58971121[[#This Row],[Durchschnittsauslastung min]]*Tabelle58971121[[#This Row],[installierte Leistung MW min]]</f>
        <v>0</v>
      </c>
      <c r="EG33" s="49">
        <f>Tabelle58971121[[#This Row],[Durchschnittsauslastung durch]]*Tabelle58971121[[#This Row],[installierte Leistung MW durch]]</f>
        <v>0</v>
      </c>
      <c r="EH33" s="49">
        <f>Tabelle58971121[[#This Row],[Durchschnittsauslastung max]]*Tabelle58971121[[#This Row],[installierte Leistung MW max]]</f>
        <v>0</v>
      </c>
      <c r="EI33" s="91">
        <f>Tabelle58971121[[#This Row],[Maximalauslastung durch]]*Tabelle58971121[[#This Row],[installierte Leistung MW min]]</f>
        <v>864.31290000000013</v>
      </c>
      <c r="EJ33" s="49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1119</v>
      </c>
      <c r="GO33" s="8" t="s">
        <v>1119</v>
      </c>
      <c r="GP33" s="8" t="s">
        <v>1119</v>
      </c>
      <c r="GS33" s="1">
        <v>67</v>
      </c>
      <c r="GT33" s="1">
        <v>67</v>
      </c>
      <c r="GU33" s="1">
        <v>67</v>
      </c>
      <c r="GV33" s="13" t="s">
        <v>816</v>
      </c>
      <c r="GW33" s="13" t="s">
        <v>816</v>
      </c>
      <c r="GX33" s="13" t="s">
        <v>816</v>
      </c>
      <c r="GY33" s="13"/>
      <c r="GZ33" s="13" t="s">
        <v>816</v>
      </c>
      <c r="HA33" s="13" t="s">
        <v>816</v>
      </c>
      <c r="HB33" s="13" t="s">
        <v>816</v>
      </c>
      <c r="HC33" s="13" t="s">
        <v>816</v>
      </c>
      <c r="HD33" s="13" t="s">
        <v>816</v>
      </c>
      <c r="HE33" s="13" t="s">
        <v>816</v>
      </c>
      <c r="HF33" s="13" t="s">
        <v>816</v>
      </c>
      <c r="HI33" s="13" t="s">
        <v>816</v>
      </c>
      <c r="HJ33" s="13" t="s">
        <v>816</v>
      </c>
      <c r="HL33" s="13" t="s">
        <v>816</v>
      </c>
    </row>
    <row r="34" spans="1:220" ht="12.75" customHeight="1" x14ac:dyDescent="0.2">
      <c r="A34" s="1" t="s">
        <v>379</v>
      </c>
      <c r="B34" s="1" t="s">
        <v>752</v>
      </c>
      <c r="E34" s="1" t="s">
        <v>130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9">
        <f>Tabelle58971121[[#This Row],[Durchschnittsauslastung min]]*Tabelle58971121[[#This Row],[installierte Leistung MW min]]</f>
        <v>0</v>
      </c>
      <c r="EG34" s="49">
        <f>Tabelle58971121[[#This Row],[Durchschnittsauslastung durch]]*Tabelle58971121[[#This Row],[installierte Leistung MW durch]]</f>
        <v>0</v>
      </c>
      <c r="EH34" s="49">
        <f>Tabelle58971121[[#This Row],[Durchschnittsauslastung max]]*Tabelle58971121[[#This Row],[installierte Leistung MW max]]</f>
        <v>0</v>
      </c>
      <c r="EI34" s="91">
        <f>Tabelle58971121[[#This Row],[Maximalauslastung durch]]*Tabelle58971121[[#This Row],[installierte Leistung MW min]]</f>
        <v>386.5</v>
      </c>
      <c r="EJ34" s="49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1119</v>
      </c>
      <c r="GO34" s="8" t="s">
        <v>1119</v>
      </c>
      <c r="GP34" s="8" t="s">
        <v>1119</v>
      </c>
      <c r="GS34" s="1">
        <v>67</v>
      </c>
      <c r="GT34" s="1">
        <v>67</v>
      </c>
      <c r="GU34" s="1">
        <v>67</v>
      </c>
      <c r="GV34" s="13" t="s">
        <v>816</v>
      </c>
      <c r="GW34" s="13" t="s">
        <v>816</v>
      </c>
      <c r="GX34" s="13" t="s">
        <v>816</v>
      </c>
      <c r="GY34" s="13"/>
      <c r="GZ34" s="13" t="s">
        <v>816</v>
      </c>
      <c r="HA34" s="13" t="s">
        <v>816</v>
      </c>
      <c r="HB34" s="13" t="s">
        <v>816</v>
      </c>
      <c r="HC34" s="13" t="s">
        <v>816</v>
      </c>
      <c r="HD34" s="13" t="s">
        <v>816</v>
      </c>
      <c r="HE34" s="13" t="s">
        <v>816</v>
      </c>
      <c r="HF34" s="13" t="s">
        <v>816</v>
      </c>
      <c r="HI34" s="13" t="s">
        <v>816</v>
      </c>
      <c r="HJ34" s="13" t="s">
        <v>816</v>
      </c>
      <c r="HL34" s="13" t="s">
        <v>816</v>
      </c>
    </row>
    <row r="35" spans="1:220" ht="12.75" customHeight="1" x14ac:dyDescent="0.2">
      <c r="A35" s="1" t="s">
        <v>379</v>
      </c>
      <c r="B35" s="1" t="s">
        <v>752</v>
      </c>
      <c r="E35" s="1" t="s">
        <v>130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9">
        <f>Tabelle58971121[[#This Row],[Durchschnittsauslastung min]]*Tabelle58971121[[#This Row],[installierte Leistung MW min]]</f>
        <v>0</v>
      </c>
      <c r="EG35" s="49">
        <f>Tabelle58971121[[#This Row],[Durchschnittsauslastung durch]]*Tabelle58971121[[#This Row],[installierte Leistung MW durch]]</f>
        <v>0</v>
      </c>
      <c r="EH35" s="49">
        <f>Tabelle58971121[[#This Row],[Durchschnittsauslastung max]]*Tabelle58971121[[#This Row],[installierte Leistung MW max]]</f>
        <v>0</v>
      </c>
      <c r="EI35" s="91">
        <f>Tabelle58971121[[#This Row],[Maximalauslastung durch]]*Tabelle58971121[[#This Row],[installierte Leistung MW min]]</f>
        <v>386.5</v>
      </c>
      <c r="EJ35" s="49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1119</v>
      </c>
      <c r="GO35" s="8" t="s">
        <v>1119</v>
      </c>
      <c r="GP35" s="8" t="s">
        <v>1119</v>
      </c>
      <c r="GS35" s="1">
        <v>67</v>
      </c>
      <c r="GT35" s="1">
        <v>67</v>
      </c>
      <c r="GU35" s="1">
        <v>67</v>
      </c>
      <c r="GV35" s="13" t="s">
        <v>816</v>
      </c>
      <c r="GW35" s="13" t="s">
        <v>816</v>
      </c>
      <c r="GX35" s="13" t="s">
        <v>816</v>
      </c>
      <c r="GY35" s="13"/>
      <c r="GZ35" s="13" t="s">
        <v>816</v>
      </c>
      <c r="HA35" s="13" t="s">
        <v>816</v>
      </c>
      <c r="HB35" s="13" t="s">
        <v>816</v>
      </c>
      <c r="HC35" s="13" t="s">
        <v>816</v>
      </c>
      <c r="HD35" s="13" t="s">
        <v>816</v>
      </c>
      <c r="HE35" s="13" t="s">
        <v>816</v>
      </c>
      <c r="HF35" s="13" t="s">
        <v>816</v>
      </c>
      <c r="HI35" s="13" t="s">
        <v>816</v>
      </c>
      <c r="HJ35" s="13" t="s">
        <v>816</v>
      </c>
      <c r="HL35" s="13" t="s">
        <v>816</v>
      </c>
    </row>
    <row r="36" spans="1:220" ht="12.75" customHeight="1" x14ac:dyDescent="0.2">
      <c r="A36" s="1" t="s">
        <v>379</v>
      </c>
      <c r="B36" s="1" t="s">
        <v>752</v>
      </c>
      <c r="E36" s="1" t="s">
        <v>130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9">
        <f>Tabelle58971121[[#This Row],[Durchschnittsauslastung min]]*Tabelle58971121[[#This Row],[installierte Leistung MW min]]</f>
        <v>0</v>
      </c>
      <c r="EG36" s="49">
        <f>Tabelle58971121[[#This Row],[Durchschnittsauslastung durch]]*Tabelle58971121[[#This Row],[installierte Leistung MW durch]]</f>
        <v>0</v>
      </c>
      <c r="EH36" s="49">
        <f>Tabelle58971121[[#This Row],[Durchschnittsauslastung max]]*Tabelle58971121[[#This Row],[installierte Leistung MW max]]</f>
        <v>0</v>
      </c>
      <c r="EI36" s="91">
        <f>Tabelle58971121[[#This Row],[Maximalauslastung durch]]*Tabelle58971121[[#This Row],[installierte Leistung MW min]]</f>
        <v>386.5</v>
      </c>
      <c r="EJ36" s="49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1119</v>
      </c>
      <c r="GO36" s="8" t="s">
        <v>1119</v>
      </c>
      <c r="GP36" s="8" t="s">
        <v>1119</v>
      </c>
      <c r="GS36" s="1">
        <v>67</v>
      </c>
      <c r="GT36" s="1">
        <v>67</v>
      </c>
      <c r="GU36" s="1">
        <v>67</v>
      </c>
      <c r="GV36" s="13" t="s">
        <v>816</v>
      </c>
      <c r="GW36" s="13" t="s">
        <v>816</v>
      </c>
      <c r="GX36" s="13" t="s">
        <v>816</v>
      </c>
      <c r="GY36" s="13"/>
      <c r="GZ36" s="13" t="s">
        <v>816</v>
      </c>
      <c r="HA36" s="13" t="s">
        <v>816</v>
      </c>
      <c r="HB36" s="13" t="s">
        <v>816</v>
      </c>
      <c r="HC36" s="13" t="s">
        <v>816</v>
      </c>
      <c r="HD36" s="13" t="s">
        <v>816</v>
      </c>
      <c r="HE36" s="13" t="s">
        <v>816</v>
      </c>
      <c r="HF36" s="13" t="s">
        <v>816</v>
      </c>
      <c r="HI36" s="13" t="s">
        <v>816</v>
      </c>
      <c r="HJ36" s="13" t="s">
        <v>816</v>
      </c>
      <c r="HL36" s="13" t="s">
        <v>816</v>
      </c>
    </row>
    <row r="37" spans="1:220" ht="12.75" customHeight="1" x14ac:dyDescent="0.2">
      <c r="A37" s="1" t="s">
        <v>379</v>
      </c>
      <c r="B37" s="1" t="s">
        <v>752</v>
      </c>
      <c r="E37" s="1" t="s">
        <v>130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9">
        <f>Tabelle58971121[[#This Row],[Durchschnittsauslastung min]]*Tabelle58971121[[#This Row],[installierte Leistung MW min]]</f>
        <v>0</v>
      </c>
      <c r="EG37" s="49">
        <f>Tabelle58971121[[#This Row],[Durchschnittsauslastung durch]]*Tabelle58971121[[#This Row],[installierte Leistung MW durch]]</f>
        <v>0</v>
      </c>
      <c r="EH37" s="49">
        <f>Tabelle58971121[[#This Row],[Durchschnittsauslastung max]]*Tabelle58971121[[#This Row],[installierte Leistung MW max]]</f>
        <v>0</v>
      </c>
      <c r="EI37" s="91">
        <f>Tabelle58971121[[#This Row],[Maximalauslastung durch]]*Tabelle58971121[[#This Row],[installierte Leistung MW min]]</f>
        <v>386.5</v>
      </c>
      <c r="EJ37" s="49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1119</v>
      </c>
      <c r="GO37" s="8" t="s">
        <v>1119</v>
      </c>
      <c r="GP37" s="8" t="s">
        <v>1119</v>
      </c>
      <c r="GS37" s="1">
        <v>67</v>
      </c>
      <c r="GT37" s="1">
        <v>67</v>
      </c>
      <c r="GU37" s="1">
        <v>67</v>
      </c>
      <c r="GV37" s="13" t="s">
        <v>816</v>
      </c>
      <c r="GW37" s="13" t="s">
        <v>816</v>
      </c>
      <c r="GX37" s="13" t="s">
        <v>816</v>
      </c>
      <c r="GY37" s="13"/>
      <c r="GZ37" s="13" t="s">
        <v>816</v>
      </c>
      <c r="HA37" s="13" t="s">
        <v>816</v>
      </c>
      <c r="HB37" s="13" t="s">
        <v>816</v>
      </c>
      <c r="HC37" s="13" t="s">
        <v>816</v>
      </c>
      <c r="HD37" s="13" t="s">
        <v>816</v>
      </c>
      <c r="HE37" s="13" t="s">
        <v>816</v>
      </c>
      <c r="HF37" s="13" t="s">
        <v>816</v>
      </c>
      <c r="HI37" s="13" t="s">
        <v>816</v>
      </c>
      <c r="HJ37" s="13" t="s">
        <v>816</v>
      </c>
      <c r="HL37" s="13" t="s">
        <v>816</v>
      </c>
    </row>
    <row r="38" spans="1:220" ht="12.75" customHeight="1" x14ac:dyDescent="0.2">
      <c r="A38" s="1" t="s">
        <v>379</v>
      </c>
      <c r="B38" s="1" t="s">
        <v>752</v>
      </c>
      <c r="E38" s="1" t="s">
        <v>130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9">
        <f>Tabelle58971121[[#This Row],[Durchschnittsauslastung min]]*Tabelle58971121[[#This Row],[installierte Leistung MW min]]</f>
        <v>0</v>
      </c>
      <c r="EG38" s="49">
        <f>Tabelle58971121[[#This Row],[Durchschnittsauslastung durch]]*Tabelle58971121[[#This Row],[installierte Leistung MW durch]]</f>
        <v>0</v>
      </c>
      <c r="EH38" s="49">
        <f>Tabelle58971121[[#This Row],[Durchschnittsauslastung max]]*Tabelle58971121[[#This Row],[installierte Leistung MW max]]</f>
        <v>0</v>
      </c>
      <c r="EI38" s="91">
        <f>Tabelle58971121[[#This Row],[Maximalauslastung durch]]*Tabelle58971121[[#This Row],[installierte Leistung MW min]]</f>
        <v>386.5</v>
      </c>
      <c r="EJ38" s="49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1119</v>
      </c>
      <c r="GO38" s="8" t="s">
        <v>1119</v>
      </c>
      <c r="GP38" s="8" t="s">
        <v>1119</v>
      </c>
      <c r="GS38" s="1">
        <v>67</v>
      </c>
      <c r="GT38" s="1">
        <v>67</v>
      </c>
      <c r="GU38" s="1">
        <v>67</v>
      </c>
      <c r="GV38" s="13" t="s">
        <v>816</v>
      </c>
      <c r="GW38" s="13" t="s">
        <v>816</v>
      </c>
      <c r="GX38" s="13" t="s">
        <v>816</v>
      </c>
      <c r="GY38" s="13"/>
      <c r="GZ38" s="13" t="s">
        <v>816</v>
      </c>
      <c r="HA38" s="13" t="s">
        <v>816</v>
      </c>
      <c r="HB38" s="13" t="s">
        <v>816</v>
      </c>
      <c r="HC38" s="13" t="s">
        <v>816</v>
      </c>
      <c r="HD38" s="13" t="s">
        <v>816</v>
      </c>
      <c r="HE38" s="13" t="s">
        <v>816</v>
      </c>
      <c r="HF38" s="13" t="s">
        <v>816</v>
      </c>
      <c r="HI38" s="13" t="s">
        <v>816</v>
      </c>
      <c r="HJ38" s="13" t="s">
        <v>816</v>
      </c>
      <c r="HL38" s="13" t="s">
        <v>816</v>
      </c>
    </row>
    <row r="39" spans="1:220" ht="12.75" customHeight="1" x14ac:dyDescent="0.2">
      <c r="A39" s="1" t="s">
        <v>379</v>
      </c>
      <c r="B39" s="1" t="s">
        <v>752</v>
      </c>
      <c r="E39" s="1" t="s">
        <v>130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9">
        <f>Tabelle58971121[[#This Row],[Durchschnittsauslastung min]]*Tabelle58971121[[#This Row],[installierte Leistung MW min]]</f>
        <v>0</v>
      </c>
      <c r="EG39" s="49">
        <f>Tabelle58971121[[#This Row],[Durchschnittsauslastung durch]]*Tabelle58971121[[#This Row],[installierte Leistung MW durch]]</f>
        <v>0</v>
      </c>
      <c r="EH39" s="49">
        <f>Tabelle58971121[[#This Row],[Durchschnittsauslastung max]]*Tabelle58971121[[#This Row],[installierte Leistung MW max]]</f>
        <v>0</v>
      </c>
      <c r="EI39" s="91">
        <f>Tabelle58971121[[#This Row],[Maximalauslastung durch]]*Tabelle58971121[[#This Row],[installierte Leistung MW min]]</f>
        <v>386.5</v>
      </c>
      <c r="EJ39" s="49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1119</v>
      </c>
      <c r="GO39" s="8" t="s">
        <v>1119</v>
      </c>
      <c r="GP39" s="8" t="s">
        <v>1119</v>
      </c>
      <c r="GS39" s="1">
        <v>67</v>
      </c>
      <c r="GT39" s="1">
        <v>67</v>
      </c>
      <c r="GU39" s="1">
        <v>67</v>
      </c>
      <c r="GV39" s="13" t="s">
        <v>816</v>
      </c>
      <c r="GW39" s="13" t="s">
        <v>816</v>
      </c>
      <c r="GX39" s="13" t="s">
        <v>816</v>
      </c>
      <c r="GY39" s="13"/>
      <c r="GZ39" s="13" t="s">
        <v>816</v>
      </c>
      <c r="HA39" s="13" t="s">
        <v>816</v>
      </c>
      <c r="HB39" s="13" t="s">
        <v>816</v>
      </c>
      <c r="HC39" s="13" t="s">
        <v>816</v>
      </c>
      <c r="HD39" s="13" t="s">
        <v>816</v>
      </c>
      <c r="HE39" s="13" t="s">
        <v>816</v>
      </c>
      <c r="HF39" s="13" t="s">
        <v>816</v>
      </c>
      <c r="HI39" s="13" t="s">
        <v>816</v>
      </c>
      <c r="HJ39" s="13" t="s">
        <v>816</v>
      </c>
      <c r="HL39" s="13" t="s">
        <v>816</v>
      </c>
    </row>
    <row r="40" spans="1:220" ht="12.75" customHeight="1" x14ac:dyDescent="0.2">
      <c r="A40" s="1" t="s">
        <v>379</v>
      </c>
      <c r="B40" s="1" t="s">
        <v>752</v>
      </c>
      <c r="E40" s="1" t="s">
        <v>130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9">
        <f>Tabelle58971121[[#This Row],[Durchschnittsauslastung min]]*Tabelle58971121[[#This Row],[installierte Leistung MW min]]</f>
        <v>0</v>
      </c>
      <c r="EG40" s="49">
        <f>Tabelle58971121[[#This Row],[Durchschnittsauslastung durch]]*Tabelle58971121[[#This Row],[installierte Leistung MW durch]]</f>
        <v>0</v>
      </c>
      <c r="EH40" s="49">
        <f>Tabelle58971121[[#This Row],[Durchschnittsauslastung max]]*Tabelle58971121[[#This Row],[installierte Leistung MW max]]</f>
        <v>0</v>
      </c>
      <c r="EI40" s="91">
        <f>Tabelle58971121[[#This Row],[Maximalauslastung durch]]*Tabelle58971121[[#This Row],[installierte Leistung MW min]]</f>
        <v>386.5</v>
      </c>
      <c r="EJ40" s="49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1119</v>
      </c>
      <c r="GO40" s="8" t="s">
        <v>1119</v>
      </c>
      <c r="GP40" s="8" t="s">
        <v>1119</v>
      </c>
      <c r="GS40" s="1">
        <v>67</v>
      </c>
      <c r="GT40" s="1">
        <v>67</v>
      </c>
      <c r="GU40" s="1">
        <v>67</v>
      </c>
      <c r="GV40" s="13" t="s">
        <v>816</v>
      </c>
      <c r="GW40" s="13" t="s">
        <v>816</v>
      </c>
      <c r="GX40" s="13" t="s">
        <v>816</v>
      </c>
      <c r="GY40" s="13"/>
      <c r="GZ40" s="13" t="s">
        <v>816</v>
      </c>
      <c r="HA40" s="13" t="s">
        <v>816</v>
      </c>
      <c r="HB40" s="13" t="s">
        <v>816</v>
      </c>
      <c r="HC40" s="13" t="s">
        <v>816</v>
      </c>
      <c r="HD40" s="13" t="s">
        <v>816</v>
      </c>
      <c r="HE40" s="13" t="s">
        <v>816</v>
      </c>
      <c r="HF40" s="13" t="s">
        <v>816</v>
      </c>
      <c r="HI40" s="13" t="s">
        <v>816</v>
      </c>
      <c r="HJ40" s="13" t="s">
        <v>816</v>
      </c>
      <c r="HL40" s="13" t="s">
        <v>816</v>
      </c>
    </row>
    <row r="41" spans="1:220" ht="12.75" customHeight="1" x14ac:dyDescent="0.2">
      <c r="A41" s="1" t="s">
        <v>379</v>
      </c>
      <c r="B41" s="1" t="s">
        <v>752</v>
      </c>
      <c r="E41" s="1" t="s">
        <v>130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9">
        <f>Tabelle58971121[[#This Row],[Durchschnittsauslastung min]]*Tabelle58971121[[#This Row],[installierte Leistung MW min]]</f>
        <v>0</v>
      </c>
      <c r="EG41" s="49">
        <f>Tabelle58971121[[#This Row],[Durchschnittsauslastung durch]]*Tabelle58971121[[#This Row],[installierte Leistung MW durch]]</f>
        <v>0</v>
      </c>
      <c r="EH41" s="49">
        <f>Tabelle58971121[[#This Row],[Durchschnittsauslastung max]]*Tabelle58971121[[#This Row],[installierte Leistung MW max]]</f>
        <v>0</v>
      </c>
      <c r="EI41" s="91">
        <f>Tabelle58971121[[#This Row],[Maximalauslastung durch]]*Tabelle58971121[[#This Row],[installierte Leistung MW min]]</f>
        <v>386.5</v>
      </c>
      <c r="EJ41" s="49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1119</v>
      </c>
      <c r="GO41" s="8" t="s">
        <v>1119</v>
      </c>
      <c r="GP41" s="8" t="s">
        <v>1119</v>
      </c>
      <c r="GS41" s="1">
        <v>67</v>
      </c>
      <c r="GT41" s="1">
        <v>67</v>
      </c>
      <c r="GU41" s="1">
        <v>67</v>
      </c>
      <c r="GV41" s="13" t="s">
        <v>816</v>
      </c>
      <c r="GW41" s="13" t="s">
        <v>816</v>
      </c>
      <c r="GX41" s="13" t="s">
        <v>816</v>
      </c>
      <c r="GY41" s="13"/>
      <c r="GZ41" s="13" t="s">
        <v>816</v>
      </c>
      <c r="HA41" s="13" t="s">
        <v>816</v>
      </c>
      <c r="HB41" s="13" t="s">
        <v>816</v>
      </c>
      <c r="HC41" s="13" t="s">
        <v>816</v>
      </c>
      <c r="HD41" s="13" t="s">
        <v>816</v>
      </c>
      <c r="HE41" s="13" t="s">
        <v>816</v>
      </c>
      <c r="HF41" s="13" t="s">
        <v>816</v>
      </c>
      <c r="HI41" s="13" t="s">
        <v>816</v>
      </c>
      <c r="HJ41" s="13" t="s">
        <v>816</v>
      </c>
      <c r="HL41" s="13" t="s">
        <v>816</v>
      </c>
    </row>
    <row r="42" spans="1:220" ht="12.75" customHeight="1" x14ac:dyDescent="0.2">
      <c r="A42" s="1" t="s">
        <v>664</v>
      </c>
      <c r="B42" s="1" t="s">
        <v>664</v>
      </c>
      <c r="E42" s="1" t="s">
        <v>130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9">
        <f>Tabelle58971121[[#This Row],[Durchschnittsauslastung min]]*Tabelle58971121[[#This Row],[installierte Leistung MW min]]</f>
        <v>0</v>
      </c>
      <c r="EG42" s="49">
        <f>Tabelle58971121[[#This Row],[Durchschnittsauslastung durch]]*Tabelle58971121[[#This Row],[installierte Leistung MW durch]]</f>
        <v>0</v>
      </c>
      <c r="EH42" s="49">
        <f>Tabelle58971121[[#This Row],[Durchschnittsauslastung max]]*Tabelle58971121[[#This Row],[installierte Leistung MW max]]</f>
        <v>0</v>
      </c>
      <c r="EI42" s="91">
        <f>Tabelle58971121[[#This Row],[Maximalauslastung durch]]*Tabelle58971121[[#This Row],[installierte Leistung MW min]]</f>
        <v>27</v>
      </c>
      <c r="EJ42" s="49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1119</v>
      </c>
      <c r="GO42" s="8" t="s">
        <v>1119</v>
      </c>
      <c r="GP42" s="8" t="s">
        <v>1119</v>
      </c>
      <c r="GS42" s="1">
        <v>67</v>
      </c>
      <c r="GT42" s="1">
        <v>67</v>
      </c>
      <c r="GU42" s="1">
        <v>67</v>
      </c>
      <c r="GV42" s="13" t="s">
        <v>816</v>
      </c>
      <c r="GW42" s="13" t="s">
        <v>816</v>
      </c>
      <c r="GX42" s="13" t="s">
        <v>816</v>
      </c>
      <c r="GY42" s="13"/>
      <c r="GZ42" s="13" t="s">
        <v>816</v>
      </c>
      <c r="HA42" s="13" t="s">
        <v>816</v>
      </c>
      <c r="HB42" s="13" t="s">
        <v>816</v>
      </c>
      <c r="HC42" s="13" t="s">
        <v>816</v>
      </c>
      <c r="HD42" s="13" t="s">
        <v>816</v>
      </c>
      <c r="HE42" s="13" t="s">
        <v>816</v>
      </c>
      <c r="HF42" s="13" t="s">
        <v>816</v>
      </c>
      <c r="HI42" s="13" t="s">
        <v>816</v>
      </c>
      <c r="HJ42" s="13" t="s">
        <v>816</v>
      </c>
      <c r="HL42" s="13" t="s">
        <v>816</v>
      </c>
    </row>
    <row r="43" spans="1:220" ht="12.75" customHeight="1" x14ac:dyDescent="0.2">
      <c r="A43" s="1" t="s">
        <v>664</v>
      </c>
      <c r="B43" s="1" t="s">
        <v>664</v>
      </c>
      <c r="E43" s="1" t="s">
        <v>130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9">
        <f>Tabelle58971121[[#This Row],[Durchschnittsauslastung min]]*Tabelle58971121[[#This Row],[installierte Leistung MW min]]</f>
        <v>0</v>
      </c>
      <c r="EG43" s="49">
        <f>Tabelle58971121[[#This Row],[Durchschnittsauslastung durch]]*Tabelle58971121[[#This Row],[installierte Leistung MW durch]]</f>
        <v>0</v>
      </c>
      <c r="EH43" s="49">
        <f>Tabelle58971121[[#This Row],[Durchschnittsauslastung max]]*Tabelle58971121[[#This Row],[installierte Leistung MW max]]</f>
        <v>0</v>
      </c>
      <c r="EI43" s="91">
        <f>Tabelle58971121[[#This Row],[Maximalauslastung durch]]*Tabelle58971121[[#This Row],[installierte Leistung MW min]]</f>
        <v>27</v>
      </c>
      <c r="EJ43" s="49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1119</v>
      </c>
      <c r="GO43" s="8" t="s">
        <v>1119</v>
      </c>
      <c r="GP43" s="8" t="s">
        <v>1119</v>
      </c>
      <c r="GS43" s="1">
        <v>67</v>
      </c>
      <c r="GT43" s="1">
        <v>67</v>
      </c>
      <c r="GU43" s="1">
        <v>67</v>
      </c>
      <c r="GV43" s="13" t="s">
        <v>816</v>
      </c>
      <c r="GW43" s="13" t="s">
        <v>816</v>
      </c>
      <c r="GX43" s="13" t="s">
        <v>816</v>
      </c>
      <c r="GY43" s="13"/>
      <c r="GZ43" s="13" t="s">
        <v>816</v>
      </c>
      <c r="HA43" s="13" t="s">
        <v>816</v>
      </c>
      <c r="HB43" s="13" t="s">
        <v>816</v>
      </c>
      <c r="HC43" s="13" t="s">
        <v>816</v>
      </c>
      <c r="HD43" s="13" t="s">
        <v>816</v>
      </c>
      <c r="HE43" s="13" t="s">
        <v>816</v>
      </c>
      <c r="HF43" s="13" t="s">
        <v>816</v>
      </c>
      <c r="HI43" s="13" t="s">
        <v>816</v>
      </c>
      <c r="HJ43" s="13" t="s">
        <v>816</v>
      </c>
      <c r="HL43" s="13" t="s">
        <v>816</v>
      </c>
    </row>
    <row r="44" spans="1:220" ht="12.75" customHeight="1" x14ac:dyDescent="0.2">
      <c r="A44" s="1" t="s">
        <v>664</v>
      </c>
      <c r="B44" s="1" t="s">
        <v>664</v>
      </c>
      <c r="E44" s="1" t="s">
        <v>130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9">
        <f>Tabelle58971121[[#This Row],[Durchschnittsauslastung min]]*Tabelle58971121[[#This Row],[installierte Leistung MW min]]</f>
        <v>0</v>
      </c>
      <c r="EG44" s="49">
        <f>Tabelle58971121[[#This Row],[Durchschnittsauslastung durch]]*Tabelle58971121[[#This Row],[installierte Leistung MW durch]]</f>
        <v>0</v>
      </c>
      <c r="EH44" s="49">
        <f>Tabelle58971121[[#This Row],[Durchschnittsauslastung max]]*Tabelle58971121[[#This Row],[installierte Leistung MW max]]</f>
        <v>0</v>
      </c>
      <c r="EI44" s="91">
        <f>Tabelle58971121[[#This Row],[Maximalauslastung durch]]*Tabelle58971121[[#This Row],[installierte Leistung MW min]]</f>
        <v>27</v>
      </c>
      <c r="EJ44" s="49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1119</v>
      </c>
      <c r="GO44" s="8" t="s">
        <v>1119</v>
      </c>
      <c r="GP44" s="8" t="s">
        <v>1119</v>
      </c>
      <c r="GS44" s="1">
        <v>67</v>
      </c>
      <c r="GT44" s="1">
        <v>67</v>
      </c>
      <c r="GU44" s="1">
        <v>67</v>
      </c>
      <c r="GV44" s="13" t="s">
        <v>816</v>
      </c>
      <c r="GW44" s="13" t="s">
        <v>816</v>
      </c>
      <c r="GX44" s="13" t="s">
        <v>816</v>
      </c>
      <c r="GY44" s="13"/>
      <c r="GZ44" s="13" t="s">
        <v>816</v>
      </c>
      <c r="HA44" s="13" t="s">
        <v>816</v>
      </c>
      <c r="HB44" s="13" t="s">
        <v>816</v>
      </c>
      <c r="HC44" s="13" t="s">
        <v>816</v>
      </c>
      <c r="HD44" s="13" t="s">
        <v>816</v>
      </c>
      <c r="HE44" s="13" t="s">
        <v>816</v>
      </c>
      <c r="HF44" s="13" t="s">
        <v>816</v>
      </c>
      <c r="HI44" s="13" t="s">
        <v>816</v>
      </c>
      <c r="HJ44" s="13" t="s">
        <v>816</v>
      </c>
      <c r="HL44" s="13" t="s">
        <v>816</v>
      </c>
    </row>
    <row r="45" spans="1:220" ht="12.75" customHeight="1" x14ac:dyDescent="0.2">
      <c r="A45" s="1" t="s">
        <v>664</v>
      </c>
      <c r="B45" s="1" t="s">
        <v>664</v>
      </c>
      <c r="E45" s="1" t="s">
        <v>130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9">
        <f>Tabelle58971121[[#This Row],[Durchschnittsauslastung min]]*Tabelle58971121[[#This Row],[installierte Leistung MW min]]</f>
        <v>0</v>
      </c>
      <c r="EG45" s="49">
        <f>Tabelle58971121[[#This Row],[Durchschnittsauslastung durch]]*Tabelle58971121[[#This Row],[installierte Leistung MW durch]]</f>
        <v>0</v>
      </c>
      <c r="EH45" s="49">
        <f>Tabelle58971121[[#This Row],[Durchschnittsauslastung max]]*Tabelle58971121[[#This Row],[installierte Leistung MW max]]</f>
        <v>0</v>
      </c>
      <c r="EI45" s="91">
        <f>Tabelle58971121[[#This Row],[Maximalauslastung durch]]*Tabelle58971121[[#This Row],[installierte Leistung MW min]]</f>
        <v>27</v>
      </c>
      <c r="EJ45" s="49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1119</v>
      </c>
      <c r="GO45" s="8" t="s">
        <v>1119</v>
      </c>
      <c r="GP45" s="8" t="s">
        <v>1119</v>
      </c>
      <c r="GS45" s="1">
        <v>67</v>
      </c>
      <c r="GT45" s="1">
        <v>67</v>
      </c>
      <c r="GU45" s="1">
        <v>67</v>
      </c>
      <c r="GV45" s="13" t="s">
        <v>816</v>
      </c>
      <c r="GW45" s="13" t="s">
        <v>816</v>
      </c>
      <c r="GX45" s="13" t="s">
        <v>816</v>
      </c>
      <c r="GY45" s="13"/>
      <c r="GZ45" s="13" t="s">
        <v>816</v>
      </c>
      <c r="HA45" s="13" t="s">
        <v>816</v>
      </c>
      <c r="HB45" s="13" t="s">
        <v>816</v>
      </c>
      <c r="HC45" s="13" t="s">
        <v>816</v>
      </c>
      <c r="HD45" s="13" t="s">
        <v>816</v>
      </c>
      <c r="HE45" s="13" t="s">
        <v>816</v>
      </c>
      <c r="HF45" s="13" t="s">
        <v>816</v>
      </c>
      <c r="HI45" s="13" t="s">
        <v>816</v>
      </c>
      <c r="HJ45" s="13" t="s">
        <v>816</v>
      </c>
      <c r="HL45" s="13" t="s">
        <v>816</v>
      </c>
    </row>
    <row r="46" spans="1:220" ht="12.75" customHeight="1" x14ac:dyDescent="0.2">
      <c r="A46" s="1" t="s">
        <v>664</v>
      </c>
      <c r="B46" s="1" t="s">
        <v>664</v>
      </c>
      <c r="E46" s="1" t="s">
        <v>130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9">
        <f>Tabelle58971121[[#This Row],[Durchschnittsauslastung min]]*Tabelle58971121[[#This Row],[installierte Leistung MW min]]</f>
        <v>0</v>
      </c>
      <c r="EG46" s="49">
        <f>Tabelle58971121[[#This Row],[Durchschnittsauslastung durch]]*Tabelle58971121[[#This Row],[installierte Leistung MW durch]]</f>
        <v>0</v>
      </c>
      <c r="EH46" s="49">
        <f>Tabelle58971121[[#This Row],[Durchschnittsauslastung max]]*Tabelle58971121[[#This Row],[installierte Leistung MW max]]</f>
        <v>0</v>
      </c>
      <c r="EI46" s="91">
        <f>Tabelle58971121[[#This Row],[Maximalauslastung durch]]*Tabelle58971121[[#This Row],[installierte Leistung MW min]]</f>
        <v>27</v>
      </c>
      <c r="EJ46" s="49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1119</v>
      </c>
      <c r="GO46" s="8" t="s">
        <v>1119</v>
      </c>
      <c r="GP46" s="8" t="s">
        <v>1119</v>
      </c>
      <c r="GS46" s="1">
        <v>67</v>
      </c>
      <c r="GT46" s="1">
        <v>67</v>
      </c>
      <c r="GU46" s="1">
        <v>67</v>
      </c>
      <c r="GV46" s="13" t="s">
        <v>816</v>
      </c>
      <c r="GW46" s="13" t="s">
        <v>816</v>
      </c>
      <c r="GX46" s="13" t="s">
        <v>816</v>
      </c>
      <c r="GY46" s="13"/>
      <c r="GZ46" s="13" t="s">
        <v>816</v>
      </c>
      <c r="HA46" s="13" t="s">
        <v>816</v>
      </c>
      <c r="HB46" s="13" t="s">
        <v>816</v>
      </c>
      <c r="HC46" s="13" t="s">
        <v>816</v>
      </c>
      <c r="HD46" s="13" t="s">
        <v>816</v>
      </c>
      <c r="HE46" s="13" t="s">
        <v>816</v>
      </c>
      <c r="HF46" s="13" t="s">
        <v>816</v>
      </c>
      <c r="HI46" s="13" t="s">
        <v>816</v>
      </c>
      <c r="HJ46" s="13" t="s">
        <v>816</v>
      </c>
      <c r="HL46" s="13" t="s">
        <v>816</v>
      </c>
    </row>
    <row r="47" spans="1:220" ht="12.75" customHeight="1" x14ac:dyDescent="0.2">
      <c r="A47" s="1" t="s">
        <v>664</v>
      </c>
      <c r="B47" s="1" t="s">
        <v>664</v>
      </c>
      <c r="E47" s="1" t="s">
        <v>130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9">
        <f>Tabelle58971121[[#This Row],[Durchschnittsauslastung min]]*Tabelle58971121[[#This Row],[installierte Leistung MW min]]</f>
        <v>0</v>
      </c>
      <c r="EG47" s="49">
        <f>Tabelle58971121[[#This Row],[Durchschnittsauslastung durch]]*Tabelle58971121[[#This Row],[installierte Leistung MW durch]]</f>
        <v>0</v>
      </c>
      <c r="EH47" s="49">
        <f>Tabelle58971121[[#This Row],[Durchschnittsauslastung max]]*Tabelle58971121[[#This Row],[installierte Leistung MW max]]</f>
        <v>0</v>
      </c>
      <c r="EI47" s="91">
        <f>Tabelle58971121[[#This Row],[Maximalauslastung durch]]*Tabelle58971121[[#This Row],[installierte Leistung MW min]]</f>
        <v>27</v>
      </c>
      <c r="EJ47" s="49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1119</v>
      </c>
      <c r="GO47" s="8" t="s">
        <v>1119</v>
      </c>
      <c r="GP47" s="8" t="s">
        <v>1119</v>
      </c>
      <c r="GS47" s="1">
        <v>67</v>
      </c>
      <c r="GT47" s="1">
        <v>67</v>
      </c>
      <c r="GU47" s="1">
        <v>67</v>
      </c>
      <c r="GV47" s="13" t="s">
        <v>816</v>
      </c>
      <c r="GW47" s="13" t="s">
        <v>816</v>
      </c>
      <c r="GX47" s="13" t="s">
        <v>816</v>
      </c>
      <c r="GY47" s="13"/>
      <c r="GZ47" s="13" t="s">
        <v>816</v>
      </c>
      <c r="HA47" s="13" t="s">
        <v>816</v>
      </c>
      <c r="HB47" s="13" t="s">
        <v>816</v>
      </c>
      <c r="HC47" s="13" t="s">
        <v>816</v>
      </c>
      <c r="HD47" s="13" t="s">
        <v>816</v>
      </c>
      <c r="HE47" s="13" t="s">
        <v>816</v>
      </c>
      <c r="HF47" s="13" t="s">
        <v>816</v>
      </c>
      <c r="HI47" s="13" t="s">
        <v>816</v>
      </c>
      <c r="HJ47" s="13" t="s">
        <v>816</v>
      </c>
      <c r="HL47" s="13" t="s">
        <v>816</v>
      </c>
    </row>
    <row r="48" spans="1:220" ht="12.75" customHeight="1" x14ac:dyDescent="0.2">
      <c r="A48" s="1" t="s">
        <v>664</v>
      </c>
      <c r="B48" s="1" t="s">
        <v>664</v>
      </c>
      <c r="E48" s="1" t="s">
        <v>130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9">
        <f>Tabelle58971121[[#This Row],[Durchschnittsauslastung min]]*Tabelle58971121[[#This Row],[installierte Leistung MW min]]</f>
        <v>0</v>
      </c>
      <c r="EG48" s="49">
        <f>Tabelle58971121[[#This Row],[Durchschnittsauslastung durch]]*Tabelle58971121[[#This Row],[installierte Leistung MW durch]]</f>
        <v>0</v>
      </c>
      <c r="EH48" s="49">
        <f>Tabelle58971121[[#This Row],[Durchschnittsauslastung max]]*Tabelle58971121[[#This Row],[installierte Leistung MW max]]</f>
        <v>0</v>
      </c>
      <c r="EI48" s="91">
        <f>Tabelle58971121[[#This Row],[Maximalauslastung durch]]*Tabelle58971121[[#This Row],[installierte Leistung MW min]]</f>
        <v>27</v>
      </c>
      <c r="EJ48" s="49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1119</v>
      </c>
      <c r="GO48" s="8" t="s">
        <v>1119</v>
      </c>
      <c r="GP48" s="8" t="s">
        <v>1119</v>
      </c>
      <c r="GS48" s="1">
        <v>67</v>
      </c>
      <c r="GT48" s="1">
        <v>67</v>
      </c>
      <c r="GU48" s="1">
        <v>67</v>
      </c>
      <c r="GV48" s="13" t="s">
        <v>816</v>
      </c>
      <c r="GW48" s="13" t="s">
        <v>816</v>
      </c>
      <c r="GX48" s="13" t="s">
        <v>816</v>
      </c>
      <c r="GY48" s="13"/>
      <c r="GZ48" s="13" t="s">
        <v>816</v>
      </c>
      <c r="HA48" s="13" t="s">
        <v>816</v>
      </c>
      <c r="HB48" s="13" t="s">
        <v>816</v>
      </c>
      <c r="HC48" s="13" t="s">
        <v>816</v>
      </c>
      <c r="HD48" s="13" t="s">
        <v>816</v>
      </c>
      <c r="HE48" s="13" t="s">
        <v>816</v>
      </c>
      <c r="HF48" s="13" t="s">
        <v>816</v>
      </c>
      <c r="HI48" s="13" t="s">
        <v>816</v>
      </c>
      <c r="HJ48" s="13" t="s">
        <v>816</v>
      </c>
      <c r="HL48" s="13" t="s">
        <v>816</v>
      </c>
    </row>
    <row r="49" spans="1:220" ht="12.75" customHeight="1" x14ac:dyDescent="0.2">
      <c r="A49" s="1" t="s">
        <v>664</v>
      </c>
      <c r="B49" s="1" t="s">
        <v>664</v>
      </c>
      <c r="E49" s="1" t="s">
        <v>130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9">
        <f>Tabelle58971121[[#This Row],[Durchschnittsauslastung min]]*Tabelle58971121[[#This Row],[installierte Leistung MW min]]</f>
        <v>0</v>
      </c>
      <c r="EG49" s="49">
        <f>Tabelle58971121[[#This Row],[Durchschnittsauslastung durch]]*Tabelle58971121[[#This Row],[installierte Leistung MW durch]]</f>
        <v>0</v>
      </c>
      <c r="EH49" s="49">
        <f>Tabelle58971121[[#This Row],[Durchschnittsauslastung max]]*Tabelle58971121[[#This Row],[installierte Leistung MW max]]</f>
        <v>0</v>
      </c>
      <c r="EI49" s="91">
        <f>Tabelle58971121[[#This Row],[Maximalauslastung durch]]*Tabelle58971121[[#This Row],[installierte Leistung MW min]]</f>
        <v>27</v>
      </c>
      <c r="EJ49" s="49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1119</v>
      </c>
      <c r="GO49" s="8" t="s">
        <v>1119</v>
      </c>
      <c r="GP49" s="8" t="s">
        <v>1119</v>
      </c>
      <c r="GS49" s="1">
        <v>67</v>
      </c>
      <c r="GT49" s="1">
        <v>67</v>
      </c>
      <c r="GU49" s="1">
        <v>67</v>
      </c>
      <c r="GV49" s="13" t="s">
        <v>816</v>
      </c>
      <c r="GW49" s="13" t="s">
        <v>816</v>
      </c>
      <c r="GX49" s="13" t="s">
        <v>816</v>
      </c>
      <c r="GY49" s="13"/>
      <c r="GZ49" s="13" t="s">
        <v>816</v>
      </c>
      <c r="HA49" s="13" t="s">
        <v>816</v>
      </c>
      <c r="HB49" s="13" t="s">
        <v>816</v>
      </c>
      <c r="HC49" s="13" t="s">
        <v>816</v>
      </c>
      <c r="HD49" s="13" t="s">
        <v>816</v>
      </c>
      <c r="HE49" s="13" t="s">
        <v>816</v>
      </c>
      <c r="HF49" s="13" t="s">
        <v>816</v>
      </c>
      <c r="HI49" s="13" t="s">
        <v>816</v>
      </c>
      <c r="HJ49" s="13" t="s">
        <v>816</v>
      </c>
      <c r="HL49" s="13" t="s">
        <v>816</v>
      </c>
    </row>
    <row r="50" spans="1:220" ht="12.75" customHeight="1" x14ac:dyDescent="0.2">
      <c r="A50" s="1" t="s">
        <v>141</v>
      </c>
      <c r="B50" s="1" t="s">
        <v>753</v>
      </c>
      <c r="E50" s="1" t="s">
        <v>142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9">
        <f>Tabelle58971121[[#This Row],[Durchschnittsauslastung min]]*Tabelle58971121[[#This Row],[installierte Leistung MW min]]</f>
        <v>0</v>
      </c>
      <c r="EG50" s="49">
        <f>Tabelle58971121[[#This Row],[Durchschnittsauslastung durch]]*Tabelle58971121[[#This Row],[installierte Leistung MW durch]]</f>
        <v>0</v>
      </c>
      <c r="EH50" s="49">
        <f>Tabelle58971121[[#This Row],[Durchschnittsauslastung max]]*Tabelle58971121[[#This Row],[installierte Leistung MW max]]</f>
        <v>0</v>
      </c>
      <c r="EI50" s="91">
        <f>Tabelle58971121[[#This Row],[Maximalauslastung durch]]*Tabelle58971121[[#This Row],[installierte Leistung MW min]]</f>
        <v>12787.5</v>
      </c>
      <c r="EJ50" s="49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816</v>
      </c>
      <c r="GW50" s="13" t="s">
        <v>816</v>
      </c>
      <c r="GX50" s="13" t="s">
        <v>816</v>
      </c>
      <c r="GY50" s="13"/>
      <c r="GZ50" s="13" t="s">
        <v>816</v>
      </c>
      <c r="HA50" s="13" t="s">
        <v>816</v>
      </c>
      <c r="HB50" s="13" t="s">
        <v>816</v>
      </c>
      <c r="HC50" s="13" t="s">
        <v>816</v>
      </c>
      <c r="HD50" s="13" t="s">
        <v>816</v>
      </c>
      <c r="HE50" s="13" t="s">
        <v>816</v>
      </c>
      <c r="HF50" s="13" t="s">
        <v>816</v>
      </c>
      <c r="HI50" s="13" t="s">
        <v>816</v>
      </c>
      <c r="HJ50" s="13" t="s">
        <v>816</v>
      </c>
      <c r="HL50" s="13" t="s">
        <v>816</v>
      </c>
    </row>
    <row r="51" spans="1:220" ht="12.75" customHeight="1" x14ac:dyDescent="0.2">
      <c r="A51" s="1" t="s">
        <v>141</v>
      </c>
      <c r="B51" s="1" t="s">
        <v>753</v>
      </c>
      <c r="E51" s="1" t="s">
        <v>142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9">
        <f>Tabelle58971121[[#This Row],[Durchschnittsauslastung min]]*Tabelle58971121[[#This Row],[installierte Leistung MW min]]</f>
        <v>0</v>
      </c>
      <c r="EG51" s="49">
        <f>Tabelle58971121[[#This Row],[Durchschnittsauslastung durch]]*Tabelle58971121[[#This Row],[installierte Leistung MW durch]]</f>
        <v>0</v>
      </c>
      <c r="EH51" s="49">
        <f>Tabelle58971121[[#This Row],[Durchschnittsauslastung max]]*Tabelle58971121[[#This Row],[installierte Leistung MW max]]</f>
        <v>0</v>
      </c>
      <c r="EI51" s="91">
        <f>Tabelle58971121[[#This Row],[Maximalauslastung durch]]*Tabelle58971121[[#This Row],[installierte Leistung MW min]]</f>
        <v>10357.875</v>
      </c>
      <c r="EJ51" s="49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816</v>
      </c>
      <c r="GW51" s="13" t="s">
        <v>816</v>
      </c>
      <c r="GX51" s="13" t="s">
        <v>816</v>
      </c>
      <c r="GY51" s="13"/>
      <c r="GZ51" s="13" t="s">
        <v>816</v>
      </c>
      <c r="HA51" s="13" t="s">
        <v>816</v>
      </c>
      <c r="HB51" s="13" t="s">
        <v>816</v>
      </c>
      <c r="HC51" s="13" t="s">
        <v>816</v>
      </c>
      <c r="HD51" s="13" t="s">
        <v>816</v>
      </c>
      <c r="HE51" s="13" t="s">
        <v>816</v>
      </c>
      <c r="HF51" s="13" t="s">
        <v>816</v>
      </c>
      <c r="HI51" s="13" t="s">
        <v>816</v>
      </c>
      <c r="HJ51" s="13" t="s">
        <v>816</v>
      </c>
      <c r="HL51" s="13" t="s">
        <v>816</v>
      </c>
    </row>
    <row r="52" spans="1:220" ht="12.75" customHeight="1" x14ac:dyDescent="0.2">
      <c r="A52" s="1" t="s">
        <v>141</v>
      </c>
      <c r="B52" s="1" t="s">
        <v>753</v>
      </c>
      <c r="E52" s="1" t="s">
        <v>142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9">
        <f>Tabelle58971121[[#This Row],[Durchschnittsauslastung min]]*Tabelle58971121[[#This Row],[installierte Leistung MW min]]</f>
        <v>0</v>
      </c>
      <c r="EG52" s="49">
        <f>Tabelle58971121[[#This Row],[Durchschnittsauslastung durch]]*Tabelle58971121[[#This Row],[installierte Leistung MW durch]]</f>
        <v>0</v>
      </c>
      <c r="EH52" s="49">
        <f>Tabelle58971121[[#This Row],[Durchschnittsauslastung max]]*Tabelle58971121[[#This Row],[installierte Leistung MW max]]</f>
        <v>0</v>
      </c>
      <c r="EI52" s="91">
        <f>Tabelle58971121[[#This Row],[Maximalauslastung durch]]*Tabelle58971121[[#This Row],[installierte Leistung MW min]]</f>
        <v>8567.625</v>
      </c>
      <c r="EJ52" s="49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816</v>
      </c>
      <c r="GW52" s="13" t="s">
        <v>816</v>
      </c>
      <c r="GX52" s="13" t="s">
        <v>816</v>
      </c>
      <c r="GY52" s="13"/>
      <c r="GZ52" s="13" t="s">
        <v>816</v>
      </c>
      <c r="HA52" s="13" t="s">
        <v>816</v>
      </c>
      <c r="HB52" s="13" t="s">
        <v>816</v>
      </c>
      <c r="HC52" s="13" t="s">
        <v>816</v>
      </c>
      <c r="HD52" s="13" t="s">
        <v>816</v>
      </c>
      <c r="HE52" s="13" t="s">
        <v>816</v>
      </c>
      <c r="HF52" s="13" t="s">
        <v>816</v>
      </c>
      <c r="HI52" s="13" t="s">
        <v>816</v>
      </c>
      <c r="HJ52" s="13" t="s">
        <v>816</v>
      </c>
      <c r="HL52" s="13" t="s">
        <v>816</v>
      </c>
    </row>
    <row r="53" spans="1:220" ht="12.75" customHeight="1" x14ac:dyDescent="0.2">
      <c r="A53" s="1" t="s">
        <v>141</v>
      </c>
      <c r="B53" s="1" t="s">
        <v>753</v>
      </c>
      <c r="E53" s="1" t="s">
        <v>142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9">
        <f>Tabelle58971121[[#This Row],[Durchschnittsauslastung min]]*Tabelle58971121[[#This Row],[installierte Leistung MW min]]</f>
        <v>0</v>
      </c>
      <c r="EG53" s="49">
        <f>Tabelle58971121[[#This Row],[Durchschnittsauslastung durch]]*Tabelle58971121[[#This Row],[installierte Leistung MW durch]]</f>
        <v>0</v>
      </c>
      <c r="EH53" s="49">
        <f>Tabelle58971121[[#This Row],[Durchschnittsauslastung max]]*Tabelle58971121[[#This Row],[installierte Leistung MW max]]</f>
        <v>0</v>
      </c>
      <c r="EI53" s="91">
        <f>Tabelle58971121[[#This Row],[Maximalauslastung durch]]*Tabelle58971121[[#This Row],[installierte Leistung MW min]]</f>
        <v>6905.25</v>
      </c>
      <c r="EJ53" s="49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816</v>
      </c>
      <c r="GW53" s="13" t="s">
        <v>816</v>
      </c>
      <c r="GX53" s="13" t="s">
        <v>816</v>
      </c>
      <c r="GY53" s="13"/>
      <c r="GZ53" s="13" t="s">
        <v>816</v>
      </c>
      <c r="HA53" s="13" t="s">
        <v>816</v>
      </c>
      <c r="HB53" s="13" t="s">
        <v>816</v>
      </c>
      <c r="HC53" s="13" t="s">
        <v>816</v>
      </c>
      <c r="HD53" s="13" t="s">
        <v>816</v>
      </c>
      <c r="HE53" s="13" t="s">
        <v>816</v>
      </c>
      <c r="HF53" s="13" t="s">
        <v>816</v>
      </c>
      <c r="HI53" s="13" t="s">
        <v>816</v>
      </c>
      <c r="HJ53" s="13" t="s">
        <v>816</v>
      </c>
      <c r="HL53" s="13" t="s">
        <v>816</v>
      </c>
    </row>
    <row r="54" spans="1:220" ht="12.75" customHeight="1" x14ac:dyDescent="0.2">
      <c r="A54" s="1" t="s">
        <v>141</v>
      </c>
      <c r="B54" s="1" t="s">
        <v>753</v>
      </c>
      <c r="E54" s="1" t="s">
        <v>142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9">
        <f>Tabelle58971121[[#This Row],[Durchschnittsauslastung min]]*Tabelle58971121[[#This Row],[installierte Leistung MW min]]</f>
        <v>0</v>
      </c>
      <c r="EG54" s="49">
        <f>Tabelle58971121[[#This Row],[Durchschnittsauslastung durch]]*Tabelle58971121[[#This Row],[installierte Leistung MW durch]]</f>
        <v>0</v>
      </c>
      <c r="EH54" s="49">
        <f>Tabelle58971121[[#This Row],[Durchschnittsauslastung max]]*Tabelle58971121[[#This Row],[installierte Leistung MW max]]</f>
        <v>0</v>
      </c>
      <c r="EI54" s="91">
        <f>Tabelle58971121[[#This Row],[Maximalauslastung durch]]*Tabelle58971121[[#This Row],[installierte Leistung MW min]]</f>
        <v>4092</v>
      </c>
      <c r="EJ54" s="49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816</v>
      </c>
      <c r="GW54" s="13" t="s">
        <v>816</v>
      </c>
      <c r="GX54" s="13" t="s">
        <v>816</v>
      </c>
      <c r="GY54" s="13"/>
      <c r="GZ54" s="13" t="s">
        <v>816</v>
      </c>
      <c r="HA54" s="13" t="s">
        <v>816</v>
      </c>
      <c r="HB54" s="13" t="s">
        <v>816</v>
      </c>
      <c r="HC54" s="13" t="s">
        <v>816</v>
      </c>
      <c r="HD54" s="13" t="s">
        <v>816</v>
      </c>
      <c r="HE54" s="13" t="s">
        <v>816</v>
      </c>
      <c r="HF54" s="13" t="s">
        <v>816</v>
      </c>
      <c r="HI54" s="13" t="s">
        <v>816</v>
      </c>
      <c r="HJ54" s="13" t="s">
        <v>816</v>
      </c>
      <c r="HL54" s="13" t="s">
        <v>816</v>
      </c>
    </row>
    <row r="55" spans="1:220" ht="12.75" customHeight="1" x14ac:dyDescent="0.2">
      <c r="A55" s="1" t="s">
        <v>141</v>
      </c>
      <c r="B55" s="1" t="s">
        <v>753</v>
      </c>
      <c r="E55" s="1" t="s">
        <v>142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9">
        <f>Tabelle58971121[[#This Row],[Durchschnittsauslastung min]]*Tabelle58971121[[#This Row],[installierte Leistung MW min]]</f>
        <v>0</v>
      </c>
      <c r="EG55" s="49">
        <f>Tabelle58971121[[#This Row],[Durchschnittsauslastung durch]]*Tabelle58971121[[#This Row],[installierte Leistung MW durch]]</f>
        <v>0</v>
      </c>
      <c r="EH55" s="49">
        <f>Tabelle58971121[[#This Row],[Durchschnittsauslastung max]]*Tabelle58971121[[#This Row],[installierte Leistung MW max]]</f>
        <v>0</v>
      </c>
      <c r="EI55" s="91">
        <f>Tabelle58971121[[#This Row],[Maximalauslastung durch]]*Tabelle58971121[[#This Row],[installierte Leistung MW min]]</f>
        <v>2429.625</v>
      </c>
      <c r="EJ55" s="49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816</v>
      </c>
      <c r="GW55" s="13" t="s">
        <v>816</v>
      </c>
      <c r="GX55" s="13" t="s">
        <v>816</v>
      </c>
      <c r="GY55" s="13"/>
      <c r="GZ55" s="13" t="s">
        <v>816</v>
      </c>
      <c r="HA55" s="13" t="s">
        <v>816</v>
      </c>
      <c r="HB55" s="13" t="s">
        <v>816</v>
      </c>
      <c r="HC55" s="13" t="s">
        <v>816</v>
      </c>
      <c r="HD55" s="13" t="s">
        <v>816</v>
      </c>
      <c r="HE55" s="13" t="s">
        <v>816</v>
      </c>
      <c r="HF55" s="13" t="s">
        <v>816</v>
      </c>
      <c r="HI55" s="13" t="s">
        <v>816</v>
      </c>
      <c r="HJ55" s="13" t="s">
        <v>816</v>
      </c>
      <c r="HL55" s="13" t="s">
        <v>816</v>
      </c>
    </row>
    <row r="56" spans="1:220" ht="12.75" customHeight="1" x14ac:dyDescent="0.2">
      <c r="A56" s="1" t="s">
        <v>141</v>
      </c>
      <c r="B56" s="1" t="s">
        <v>753</v>
      </c>
      <c r="E56" s="1" t="s">
        <v>142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9">
        <f>Tabelle58971121[[#This Row],[Durchschnittsauslastung min]]*Tabelle58971121[[#This Row],[installierte Leistung MW min]]</f>
        <v>0</v>
      </c>
      <c r="EG56" s="49">
        <f>Tabelle58971121[[#This Row],[Durchschnittsauslastung durch]]*Tabelle58971121[[#This Row],[installierte Leistung MW durch]]</f>
        <v>0</v>
      </c>
      <c r="EH56" s="49">
        <f>Tabelle58971121[[#This Row],[Durchschnittsauslastung max]]*Tabelle58971121[[#This Row],[installierte Leistung MW max]]</f>
        <v>0</v>
      </c>
      <c r="EI56" s="91">
        <f>Tabelle58971121[[#This Row],[Maximalauslastung durch]]*Tabelle58971121[[#This Row],[installierte Leistung MW min]]</f>
        <v>1406.625</v>
      </c>
      <c r="EJ56" s="49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816</v>
      </c>
      <c r="GW56" s="13" t="s">
        <v>816</v>
      </c>
      <c r="GX56" s="13" t="s">
        <v>816</v>
      </c>
      <c r="GY56" s="13"/>
      <c r="GZ56" s="13" t="s">
        <v>816</v>
      </c>
      <c r="HA56" s="13" t="s">
        <v>816</v>
      </c>
      <c r="HB56" s="13" t="s">
        <v>816</v>
      </c>
      <c r="HC56" s="13" t="s">
        <v>816</v>
      </c>
      <c r="HD56" s="13" t="s">
        <v>816</v>
      </c>
      <c r="HE56" s="13" t="s">
        <v>816</v>
      </c>
      <c r="HF56" s="13" t="s">
        <v>816</v>
      </c>
      <c r="HI56" s="13" t="s">
        <v>816</v>
      </c>
      <c r="HJ56" s="13" t="s">
        <v>816</v>
      </c>
      <c r="HL56" s="13" t="s">
        <v>816</v>
      </c>
    </row>
    <row r="57" spans="1:220" ht="12.75" customHeight="1" x14ac:dyDescent="0.2">
      <c r="A57" s="1" t="s">
        <v>141</v>
      </c>
      <c r="B57" s="1" t="s">
        <v>753</v>
      </c>
      <c r="E57" s="1" t="s">
        <v>142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9">
        <f>Tabelle58971121[[#This Row],[Durchschnittsauslastung min]]*Tabelle58971121[[#This Row],[installierte Leistung MW min]]</f>
        <v>0</v>
      </c>
      <c r="EG57" s="49">
        <f>Tabelle58971121[[#This Row],[Durchschnittsauslastung durch]]*Tabelle58971121[[#This Row],[installierte Leistung MW durch]]</f>
        <v>0</v>
      </c>
      <c r="EH57" s="49">
        <f>Tabelle58971121[[#This Row],[Durchschnittsauslastung max]]*Tabelle58971121[[#This Row],[installierte Leistung MW max]]</f>
        <v>0</v>
      </c>
      <c r="EI57" s="91">
        <f>Tabelle58971121[[#This Row],[Maximalauslastung durch]]*Tabelle58971121[[#This Row],[installierte Leistung MW min]]</f>
        <v>767.25</v>
      </c>
      <c r="EJ57" s="49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816</v>
      </c>
      <c r="GW57" s="13" t="s">
        <v>816</v>
      </c>
      <c r="GX57" s="13" t="s">
        <v>816</v>
      </c>
      <c r="GY57" s="13"/>
      <c r="GZ57" s="13" t="s">
        <v>816</v>
      </c>
      <c r="HA57" s="13" t="s">
        <v>816</v>
      </c>
      <c r="HB57" s="13" t="s">
        <v>816</v>
      </c>
      <c r="HC57" s="13" t="s">
        <v>816</v>
      </c>
      <c r="HD57" s="13" t="s">
        <v>816</v>
      </c>
      <c r="HE57" s="13" t="s">
        <v>816</v>
      </c>
      <c r="HF57" s="13" t="s">
        <v>816</v>
      </c>
      <c r="HI57" s="13" t="s">
        <v>816</v>
      </c>
      <c r="HJ57" s="13" t="s">
        <v>816</v>
      </c>
      <c r="HL57" s="13" t="s">
        <v>816</v>
      </c>
    </row>
    <row r="58" spans="1:220" ht="12.75" customHeight="1" x14ac:dyDescent="0.2">
      <c r="A58" s="1" t="s">
        <v>136</v>
      </c>
      <c r="B58" s="1" t="s">
        <v>662</v>
      </c>
      <c r="E58" s="1" t="s">
        <v>142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9">
        <f>Tabelle58971121[[#This Row],[Durchschnittsauslastung min]]*Tabelle58971121[[#This Row],[installierte Leistung MW min]]</f>
        <v>0</v>
      </c>
      <c r="EG58" s="49">
        <f>Tabelle58971121[[#This Row],[Durchschnittsauslastung durch]]*Tabelle58971121[[#This Row],[installierte Leistung MW durch]]</f>
        <v>0</v>
      </c>
      <c r="EH58" s="49">
        <f>Tabelle58971121[[#This Row],[Durchschnittsauslastung max]]*Tabelle58971121[[#This Row],[installierte Leistung MW max]]</f>
        <v>0</v>
      </c>
      <c r="EI58" s="91">
        <f>Tabelle58971121[[#This Row],[Maximalauslastung durch]]*Tabelle58971121[[#This Row],[installierte Leistung MW min]]</f>
        <v>2158</v>
      </c>
      <c r="EJ58" s="49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816</v>
      </c>
      <c r="GW58" s="13" t="s">
        <v>816</v>
      </c>
      <c r="GX58" s="13" t="s">
        <v>816</v>
      </c>
      <c r="GY58" s="13"/>
      <c r="GZ58" s="13" t="s">
        <v>816</v>
      </c>
      <c r="HA58" s="13" t="s">
        <v>816</v>
      </c>
      <c r="HB58" s="13" t="s">
        <v>816</v>
      </c>
      <c r="HC58" s="13" t="s">
        <v>816</v>
      </c>
      <c r="HD58" s="13" t="s">
        <v>816</v>
      </c>
      <c r="HE58" s="13" t="s">
        <v>816</v>
      </c>
      <c r="HF58" s="13" t="s">
        <v>816</v>
      </c>
      <c r="HI58" s="13" t="s">
        <v>816</v>
      </c>
      <c r="HJ58" s="13" t="s">
        <v>816</v>
      </c>
      <c r="HL58" s="13" t="s">
        <v>816</v>
      </c>
    </row>
    <row r="59" spans="1:220" ht="12.75" customHeight="1" x14ac:dyDescent="0.2">
      <c r="A59" s="1" t="s">
        <v>136</v>
      </c>
      <c r="B59" s="1" t="s">
        <v>662</v>
      </c>
      <c r="E59" s="1" t="s">
        <v>142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9">
        <f>Tabelle58971121[[#This Row],[Durchschnittsauslastung min]]*Tabelle58971121[[#This Row],[installierte Leistung MW min]]</f>
        <v>0</v>
      </c>
      <c r="EG59" s="49">
        <f>Tabelle58971121[[#This Row],[Durchschnittsauslastung durch]]*Tabelle58971121[[#This Row],[installierte Leistung MW durch]]</f>
        <v>0</v>
      </c>
      <c r="EH59" s="49">
        <f>Tabelle58971121[[#This Row],[Durchschnittsauslastung max]]*Tabelle58971121[[#This Row],[installierte Leistung MW max]]</f>
        <v>0</v>
      </c>
      <c r="EI59" s="91">
        <f>Tabelle58971121[[#This Row],[Maximalauslastung durch]]*Tabelle58971121[[#This Row],[installierte Leistung MW min]]</f>
        <v>1920.62</v>
      </c>
      <c r="EJ59" s="49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816</v>
      </c>
      <c r="GW59" s="13" t="s">
        <v>816</v>
      </c>
      <c r="GX59" s="13" t="s">
        <v>816</v>
      </c>
      <c r="GY59" s="13"/>
      <c r="GZ59" s="13" t="s">
        <v>816</v>
      </c>
      <c r="HA59" s="13" t="s">
        <v>816</v>
      </c>
      <c r="HB59" s="13" t="s">
        <v>816</v>
      </c>
      <c r="HC59" s="13" t="s">
        <v>816</v>
      </c>
      <c r="HD59" s="13" t="s">
        <v>816</v>
      </c>
      <c r="HE59" s="13" t="s">
        <v>816</v>
      </c>
      <c r="HF59" s="13" t="s">
        <v>816</v>
      </c>
      <c r="HI59" s="13" t="s">
        <v>816</v>
      </c>
      <c r="HJ59" s="13" t="s">
        <v>816</v>
      </c>
      <c r="HL59" s="13" t="s">
        <v>816</v>
      </c>
    </row>
    <row r="60" spans="1:220" ht="12.75" customHeight="1" x14ac:dyDescent="0.2">
      <c r="A60" s="1" t="s">
        <v>136</v>
      </c>
      <c r="B60" s="1" t="s">
        <v>662</v>
      </c>
      <c r="E60" s="1" t="s">
        <v>142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9">
        <f>Tabelle58971121[[#This Row],[Durchschnittsauslastung min]]*Tabelle58971121[[#This Row],[installierte Leistung MW min]]</f>
        <v>0</v>
      </c>
      <c r="EG60" s="49">
        <f>Tabelle58971121[[#This Row],[Durchschnittsauslastung durch]]*Tabelle58971121[[#This Row],[installierte Leistung MW durch]]</f>
        <v>0</v>
      </c>
      <c r="EH60" s="49">
        <f>Tabelle58971121[[#This Row],[Durchschnittsauslastung max]]*Tabelle58971121[[#This Row],[installierte Leistung MW max]]</f>
        <v>0</v>
      </c>
      <c r="EI60" s="91">
        <f>Tabelle58971121[[#This Row],[Maximalauslastung durch]]*Tabelle58971121[[#This Row],[installierte Leistung MW min]]</f>
        <v>1877.46</v>
      </c>
      <c r="EJ60" s="49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816</v>
      </c>
      <c r="GW60" s="13" t="s">
        <v>816</v>
      </c>
      <c r="GX60" s="13" t="s">
        <v>816</v>
      </c>
      <c r="GY60" s="13"/>
      <c r="GZ60" s="13" t="s">
        <v>816</v>
      </c>
      <c r="HA60" s="13" t="s">
        <v>816</v>
      </c>
      <c r="HB60" s="13" t="s">
        <v>816</v>
      </c>
      <c r="HC60" s="13" t="s">
        <v>816</v>
      </c>
      <c r="HD60" s="13" t="s">
        <v>816</v>
      </c>
      <c r="HE60" s="13" t="s">
        <v>816</v>
      </c>
      <c r="HF60" s="13" t="s">
        <v>816</v>
      </c>
      <c r="HI60" s="13" t="s">
        <v>816</v>
      </c>
      <c r="HJ60" s="13" t="s">
        <v>816</v>
      </c>
      <c r="HL60" s="13" t="s">
        <v>816</v>
      </c>
    </row>
    <row r="61" spans="1:220" ht="12.75" customHeight="1" x14ac:dyDescent="0.2">
      <c r="A61" s="1" t="s">
        <v>136</v>
      </c>
      <c r="B61" s="1" t="s">
        <v>662</v>
      </c>
      <c r="E61" s="1" t="s">
        <v>142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9">
        <f>Tabelle58971121[[#This Row],[Durchschnittsauslastung min]]*Tabelle58971121[[#This Row],[installierte Leistung MW min]]</f>
        <v>0</v>
      </c>
      <c r="EG61" s="49">
        <f>Tabelle58971121[[#This Row],[Durchschnittsauslastung durch]]*Tabelle58971121[[#This Row],[installierte Leistung MW durch]]</f>
        <v>0</v>
      </c>
      <c r="EH61" s="49">
        <f>Tabelle58971121[[#This Row],[Durchschnittsauslastung max]]*Tabelle58971121[[#This Row],[installierte Leistung MW max]]</f>
        <v>0</v>
      </c>
      <c r="EI61" s="91">
        <f>Tabelle58971121[[#This Row],[Maximalauslastung durch]]*Tabelle58971121[[#This Row],[installierte Leistung MW min]]</f>
        <v>1791.14</v>
      </c>
      <c r="EJ61" s="49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816</v>
      </c>
      <c r="GW61" s="13" t="s">
        <v>816</v>
      </c>
      <c r="GX61" s="13" t="s">
        <v>816</v>
      </c>
      <c r="GY61" s="13"/>
      <c r="GZ61" s="13" t="s">
        <v>816</v>
      </c>
      <c r="HA61" s="13" t="s">
        <v>816</v>
      </c>
      <c r="HB61" s="13" t="s">
        <v>816</v>
      </c>
      <c r="HC61" s="13" t="s">
        <v>816</v>
      </c>
      <c r="HD61" s="13" t="s">
        <v>816</v>
      </c>
      <c r="HE61" s="13" t="s">
        <v>816</v>
      </c>
      <c r="HF61" s="13" t="s">
        <v>816</v>
      </c>
      <c r="HI61" s="13" t="s">
        <v>816</v>
      </c>
      <c r="HJ61" s="13" t="s">
        <v>816</v>
      </c>
      <c r="HL61" s="13" t="s">
        <v>816</v>
      </c>
    </row>
    <row r="62" spans="1:220" ht="12.75" customHeight="1" x14ac:dyDescent="0.2">
      <c r="A62" s="1" t="s">
        <v>136</v>
      </c>
      <c r="B62" s="1" t="s">
        <v>662</v>
      </c>
      <c r="E62" s="1" t="s">
        <v>142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9">
        <f>Tabelle58971121[[#This Row],[Durchschnittsauslastung min]]*Tabelle58971121[[#This Row],[installierte Leistung MW min]]</f>
        <v>0</v>
      </c>
      <c r="EG62" s="49">
        <f>Tabelle58971121[[#This Row],[Durchschnittsauslastung durch]]*Tabelle58971121[[#This Row],[installierte Leistung MW durch]]</f>
        <v>0</v>
      </c>
      <c r="EH62" s="49">
        <f>Tabelle58971121[[#This Row],[Durchschnittsauslastung max]]*Tabelle58971121[[#This Row],[installierte Leistung MW max]]</f>
        <v>0</v>
      </c>
      <c r="EI62" s="91">
        <f>Tabelle58971121[[#This Row],[Maximalauslastung durch]]*Tabelle58971121[[#This Row],[installierte Leistung MW min]]</f>
        <v>1661.66</v>
      </c>
      <c r="EJ62" s="49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816</v>
      </c>
      <c r="GW62" s="13" t="s">
        <v>816</v>
      </c>
      <c r="GX62" s="13" t="s">
        <v>816</v>
      </c>
      <c r="GY62" s="13"/>
      <c r="GZ62" s="13" t="s">
        <v>816</v>
      </c>
      <c r="HA62" s="13" t="s">
        <v>816</v>
      </c>
      <c r="HB62" s="13" t="s">
        <v>816</v>
      </c>
      <c r="HC62" s="13" t="s">
        <v>816</v>
      </c>
      <c r="HD62" s="13" t="s">
        <v>816</v>
      </c>
      <c r="HE62" s="13" t="s">
        <v>816</v>
      </c>
      <c r="HF62" s="13" t="s">
        <v>816</v>
      </c>
      <c r="HI62" s="13" t="s">
        <v>816</v>
      </c>
      <c r="HJ62" s="13" t="s">
        <v>816</v>
      </c>
      <c r="HL62" s="13" t="s">
        <v>816</v>
      </c>
    </row>
    <row r="63" spans="1:220" ht="12.75" customHeight="1" x14ac:dyDescent="0.2">
      <c r="A63" s="1" t="s">
        <v>136</v>
      </c>
      <c r="B63" s="1" t="s">
        <v>662</v>
      </c>
      <c r="E63" s="1" t="s">
        <v>142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9">
        <f>Tabelle58971121[[#This Row],[Durchschnittsauslastung min]]*Tabelle58971121[[#This Row],[installierte Leistung MW min]]</f>
        <v>0</v>
      </c>
      <c r="EG63" s="49">
        <f>Tabelle58971121[[#This Row],[Durchschnittsauslastung durch]]*Tabelle58971121[[#This Row],[installierte Leistung MW durch]]</f>
        <v>0</v>
      </c>
      <c r="EH63" s="49">
        <f>Tabelle58971121[[#This Row],[Durchschnittsauslastung max]]*Tabelle58971121[[#This Row],[installierte Leistung MW max]]</f>
        <v>0</v>
      </c>
      <c r="EI63" s="91">
        <f>Tabelle58971121[[#This Row],[Maximalauslastung durch]]*Tabelle58971121[[#This Row],[installierte Leistung MW min]]</f>
        <v>1510.6</v>
      </c>
      <c r="EJ63" s="49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816</v>
      </c>
      <c r="GW63" s="13" t="s">
        <v>816</v>
      </c>
      <c r="GX63" s="13" t="s">
        <v>816</v>
      </c>
      <c r="GY63" s="13"/>
      <c r="GZ63" s="13" t="s">
        <v>816</v>
      </c>
      <c r="HA63" s="13" t="s">
        <v>816</v>
      </c>
      <c r="HB63" s="13" t="s">
        <v>816</v>
      </c>
      <c r="HC63" s="13" t="s">
        <v>816</v>
      </c>
      <c r="HD63" s="13" t="s">
        <v>816</v>
      </c>
      <c r="HE63" s="13" t="s">
        <v>816</v>
      </c>
      <c r="HF63" s="13" t="s">
        <v>816</v>
      </c>
      <c r="HI63" s="13" t="s">
        <v>816</v>
      </c>
      <c r="HJ63" s="13" t="s">
        <v>816</v>
      </c>
      <c r="HL63" s="13" t="s">
        <v>816</v>
      </c>
    </row>
    <row r="64" spans="1:220" ht="12.75" customHeight="1" x14ac:dyDescent="0.2">
      <c r="A64" s="1" t="s">
        <v>136</v>
      </c>
      <c r="B64" s="1" t="s">
        <v>662</v>
      </c>
      <c r="E64" s="1" t="s">
        <v>142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9">
        <f>Tabelle58971121[[#This Row],[Durchschnittsauslastung min]]*Tabelle58971121[[#This Row],[installierte Leistung MW min]]</f>
        <v>0</v>
      </c>
      <c r="EG64" s="49">
        <f>Tabelle58971121[[#This Row],[Durchschnittsauslastung durch]]*Tabelle58971121[[#This Row],[installierte Leistung MW durch]]</f>
        <v>0</v>
      </c>
      <c r="EH64" s="49">
        <f>Tabelle58971121[[#This Row],[Durchschnittsauslastung max]]*Tabelle58971121[[#This Row],[installierte Leistung MW max]]</f>
        <v>0</v>
      </c>
      <c r="EI64" s="91">
        <f>Tabelle58971121[[#This Row],[Maximalauslastung durch]]*Tabelle58971121[[#This Row],[installierte Leistung MW min]]</f>
        <v>1402.7</v>
      </c>
      <c r="EJ64" s="49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816</v>
      </c>
      <c r="GW64" s="13" t="s">
        <v>816</v>
      </c>
      <c r="GX64" s="13" t="s">
        <v>816</v>
      </c>
      <c r="GY64" s="13"/>
      <c r="GZ64" s="13" t="s">
        <v>816</v>
      </c>
      <c r="HA64" s="13" t="s">
        <v>816</v>
      </c>
      <c r="HB64" s="13" t="s">
        <v>816</v>
      </c>
      <c r="HC64" s="13" t="s">
        <v>816</v>
      </c>
      <c r="HD64" s="13" t="s">
        <v>816</v>
      </c>
      <c r="HE64" s="13" t="s">
        <v>816</v>
      </c>
      <c r="HF64" s="13" t="s">
        <v>816</v>
      </c>
      <c r="HI64" s="13" t="s">
        <v>816</v>
      </c>
      <c r="HJ64" s="13" t="s">
        <v>816</v>
      </c>
      <c r="HL64" s="13" t="s">
        <v>816</v>
      </c>
    </row>
    <row r="65" spans="1:220" ht="12.75" customHeight="1" x14ac:dyDescent="0.2">
      <c r="A65" s="1" t="s">
        <v>136</v>
      </c>
      <c r="B65" s="1" t="s">
        <v>662</v>
      </c>
      <c r="E65" s="1" t="s">
        <v>142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9">
        <f>Tabelle58971121[[#This Row],[Durchschnittsauslastung min]]*Tabelle58971121[[#This Row],[installierte Leistung MW min]]</f>
        <v>0</v>
      </c>
      <c r="EG65" s="49">
        <f>Tabelle58971121[[#This Row],[Durchschnittsauslastung durch]]*Tabelle58971121[[#This Row],[installierte Leistung MW durch]]</f>
        <v>0</v>
      </c>
      <c r="EH65" s="49">
        <f>Tabelle58971121[[#This Row],[Durchschnittsauslastung max]]*Tabelle58971121[[#This Row],[installierte Leistung MW max]]</f>
        <v>0</v>
      </c>
      <c r="EI65" s="91">
        <f>Tabelle58971121[[#This Row],[Maximalauslastung durch]]*Tabelle58971121[[#This Row],[installierte Leistung MW min]]</f>
        <v>1273.22</v>
      </c>
      <c r="EJ65" s="49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816</v>
      </c>
      <c r="GW65" s="13" t="s">
        <v>816</v>
      </c>
      <c r="GX65" s="13" t="s">
        <v>816</v>
      </c>
      <c r="GY65" s="13"/>
      <c r="GZ65" s="13" t="s">
        <v>816</v>
      </c>
      <c r="HA65" s="13" t="s">
        <v>816</v>
      </c>
      <c r="HB65" s="13" t="s">
        <v>816</v>
      </c>
      <c r="HC65" s="13" t="s">
        <v>816</v>
      </c>
      <c r="HD65" s="13" t="s">
        <v>816</v>
      </c>
      <c r="HE65" s="13" t="s">
        <v>816</v>
      </c>
      <c r="HF65" s="13" t="s">
        <v>816</v>
      </c>
      <c r="HI65" s="13" t="s">
        <v>816</v>
      </c>
      <c r="HJ65" s="13" t="s">
        <v>816</v>
      </c>
      <c r="HL65" s="13" t="s">
        <v>816</v>
      </c>
    </row>
    <row r="66" spans="1:220" ht="12.75" customHeight="1" x14ac:dyDescent="0.2">
      <c r="A66" s="1" t="s">
        <v>288</v>
      </c>
      <c r="B66" s="1" t="s">
        <v>288</v>
      </c>
      <c r="E66" s="1" t="s">
        <v>142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9">
        <f>Tabelle58971121[[#This Row],[Durchschnittsauslastung min]]*Tabelle58971121[[#This Row],[installierte Leistung MW min]]</f>
        <v>0</v>
      </c>
      <c r="EG66" s="49">
        <f>Tabelle58971121[[#This Row],[Durchschnittsauslastung durch]]*Tabelle58971121[[#This Row],[installierte Leistung MW durch]]</f>
        <v>0</v>
      </c>
      <c r="EH66" s="49">
        <f>Tabelle58971121[[#This Row],[Durchschnittsauslastung max]]*Tabelle58971121[[#This Row],[installierte Leistung MW max]]</f>
        <v>0</v>
      </c>
      <c r="EI66" s="91">
        <f>Tabelle58971121[[#This Row],[Maximalauslastung durch]]*Tabelle58971121[[#This Row],[installierte Leistung MW min]]</f>
        <v>1145.54</v>
      </c>
      <c r="EJ66" s="49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1119</v>
      </c>
      <c r="FQ66" s="1" t="s">
        <v>1119</v>
      </c>
      <c r="FR66" s="1" t="s">
        <v>1119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816</v>
      </c>
      <c r="GW66" s="13" t="s">
        <v>816</v>
      </c>
      <c r="GX66" s="13" t="s">
        <v>816</v>
      </c>
      <c r="GY66" s="13"/>
      <c r="GZ66" s="13" t="s">
        <v>816</v>
      </c>
      <c r="HA66" s="13" t="s">
        <v>816</v>
      </c>
      <c r="HB66" s="13" t="s">
        <v>816</v>
      </c>
      <c r="HC66" s="13" t="s">
        <v>816</v>
      </c>
      <c r="HD66" s="13" t="s">
        <v>816</v>
      </c>
      <c r="HE66" s="13" t="s">
        <v>816</v>
      </c>
      <c r="HF66" s="13" t="s">
        <v>816</v>
      </c>
      <c r="HI66" s="13" t="s">
        <v>816</v>
      </c>
      <c r="HJ66" s="13" t="s">
        <v>816</v>
      </c>
      <c r="HL66" s="13" t="s">
        <v>816</v>
      </c>
    </row>
    <row r="67" spans="1:220" ht="12.75" customHeight="1" x14ac:dyDescent="0.2">
      <c r="A67" s="1" t="s">
        <v>288</v>
      </c>
      <c r="B67" s="1" t="s">
        <v>288</v>
      </c>
      <c r="E67" s="1" t="s">
        <v>142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9">
        <f>Tabelle58971121[[#This Row],[Durchschnittsauslastung min]]*Tabelle58971121[[#This Row],[installierte Leistung MW min]]</f>
        <v>0</v>
      </c>
      <c r="EG67" s="49">
        <f>Tabelle58971121[[#This Row],[Durchschnittsauslastung durch]]*Tabelle58971121[[#This Row],[installierte Leistung MW durch]]</f>
        <v>0</v>
      </c>
      <c r="EH67" s="49">
        <f>Tabelle58971121[[#This Row],[Durchschnittsauslastung max]]*Tabelle58971121[[#This Row],[installierte Leistung MW max]]</f>
        <v>0</v>
      </c>
      <c r="EI67" s="91">
        <f>Tabelle58971121[[#This Row],[Maximalauslastung durch]]*Tabelle58971121[[#This Row],[installierte Leistung MW min]]</f>
        <v>1019.5306</v>
      </c>
      <c r="EJ67" s="49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1119</v>
      </c>
      <c r="FQ67" s="1" t="s">
        <v>1119</v>
      </c>
      <c r="FR67" s="1" t="s">
        <v>1119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816</v>
      </c>
      <c r="GW67" s="13" t="s">
        <v>816</v>
      </c>
      <c r="GX67" s="13" t="s">
        <v>816</v>
      </c>
      <c r="GY67" s="13"/>
      <c r="GZ67" s="13" t="s">
        <v>816</v>
      </c>
      <c r="HA67" s="13" t="s">
        <v>816</v>
      </c>
      <c r="HB67" s="13" t="s">
        <v>816</v>
      </c>
      <c r="HC67" s="13" t="s">
        <v>816</v>
      </c>
      <c r="HD67" s="13" t="s">
        <v>816</v>
      </c>
      <c r="HE67" s="13" t="s">
        <v>816</v>
      </c>
      <c r="HF67" s="13" t="s">
        <v>816</v>
      </c>
      <c r="HI67" s="13" t="s">
        <v>816</v>
      </c>
      <c r="HJ67" s="13" t="s">
        <v>816</v>
      </c>
      <c r="HL67" s="13" t="s">
        <v>816</v>
      </c>
    </row>
    <row r="68" spans="1:220" ht="12.75" customHeight="1" x14ac:dyDescent="0.2">
      <c r="A68" s="1" t="s">
        <v>288</v>
      </c>
      <c r="B68" s="1" t="s">
        <v>288</v>
      </c>
      <c r="E68" s="1" t="s">
        <v>142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9">
        <f>Tabelle58971121[[#This Row],[Durchschnittsauslastung min]]*Tabelle58971121[[#This Row],[installierte Leistung MW min]]</f>
        <v>0</v>
      </c>
      <c r="EG68" s="49">
        <f>Tabelle58971121[[#This Row],[Durchschnittsauslastung durch]]*Tabelle58971121[[#This Row],[installierte Leistung MW durch]]</f>
        <v>0</v>
      </c>
      <c r="EH68" s="49">
        <f>Tabelle58971121[[#This Row],[Durchschnittsauslastung max]]*Tabelle58971121[[#This Row],[installierte Leistung MW max]]</f>
        <v>0</v>
      </c>
      <c r="EI68" s="91">
        <f>Tabelle58971121[[#This Row],[Maximalauslastung durch]]*Tabelle58971121[[#This Row],[installierte Leistung MW min]]</f>
        <v>939.34280000000001</v>
      </c>
      <c r="EJ68" s="49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1119</v>
      </c>
      <c r="FQ68" s="1" t="s">
        <v>1119</v>
      </c>
      <c r="FR68" s="1" t="s">
        <v>1119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816</v>
      </c>
      <c r="GW68" s="13" t="s">
        <v>816</v>
      </c>
      <c r="GX68" s="13" t="s">
        <v>816</v>
      </c>
      <c r="GY68" s="13"/>
      <c r="GZ68" s="13" t="s">
        <v>816</v>
      </c>
      <c r="HA68" s="13" t="s">
        <v>816</v>
      </c>
      <c r="HB68" s="13" t="s">
        <v>816</v>
      </c>
      <c r="HC68" s="13" t="s">
        <v>816</v>
      </c>
      <c r="HD68" s="13" t="s">
        <v>816</v>
      </c>
      <c r="HE68" s="13" t="s">
        <v>816</v>
      </c>
      <c r="HF68" s="13" t="s">
        <v>816</v>
      </c>
      <c r="HI68" s="13" t="s">
        <v>816</v>
      </c>
      <c r="HJ68" s="13" t="s">
        <v>816</v>
      </c>
      <c r="HL68" s="13" t="s">
        <v>816</v>
      </c>
    </row>
    <row r="69" spans="1:220" ht="12.75" customHeight="1" x14ac:dyDescent="0.2">
      <c r="A69" s="1" t="s">
        <v>288</v>
      </c>
      <c r="B69" s="1" t="s">
        <v>288</v>
      </c>
      <c r="E69" s="1" t="s">
        <v>142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9">
        <f>Tabelle58971121[[#This Row],[Durchschnittsauslastung min]]*Tabelle58971121[[#This Row],[installierte Leistung MW min]]</f>
        <v>0</v>
      </c>
      <c r="EG69" s="49">
        <f>Tabelle58971121[[#This Row],[Durchschnittsauslastung durch]]*Tabelle58971121[[#This Row],[installierte Leistung MW durch]]</f>
        <v>0</v>
      </c>
      <c r="EH69" s="49">
        <f>Tabelle58971121[[#This Row],[Durchschnittsauslastung max]]*Tabelle58971121[[#This Row],[installierte Leistung MW max]]</f>
        <v>0</v>
      </c>
      <c r="EI69" s="91">
        <f>Tabelle58971121[[#This Row],[Maximalauslastung durch]]*Tabelle58971121[[#This Row],[installierte Leistung MW min]]</f>
        <v>847.69960000000003</v>
      </c>
      <c r="EJ69" s="49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1119</v>
      </c>
      <c r="FQ69" s="1" t="s">
        <v>1119</v>
      </c>
      <c r="FR69" s="1" t="s">
        <v>1119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816</v>
      </c>
      <c r="GW69" s="13" t="s">
        <v>816</v>
      </c>
      <c r="GX69" s="13" t="s">
        <v>816</v>
      </c>
      <c r="GY69" s="13"/>
      <c r="GZ69" s="13" t="s">
        <v>816</v>
      </c>
      <c r="HA69" s="13" t="s">
        <v>816</v>
      </c>
      <c r="HB69" s="13" t="s">
        <v>816</v>
      </c>
      <c r="HC69" s="13" t="s">
        <v>816</v>
      </c>
      <c r="HD69" s="13" t="s">
        <v>816</v>
      </c>
      <c r="HE69" s="13" t="s">
        <v>816</v>
      </c>
      <c r="HF69" s="13" t="s">
        <v>816</v>
      </c>
      <c r="HI69" s="13" t="s">
        <v>816</v>
      </c>
      <c r="HJ69" s="13" t="s">
        <v>816</v>
      </c>
      <c r="HL69" s="13" t="s">
        <v>816</v>
      </c>
    </row>
    <row r="70" spans="1:220" ht="12.75" customHeight="1" x14ac:dyDescent="0.2">
      <c r="A70" s="1" t="s">
        <v>288</v>
      </c>
      <c r="B70" s="1" t="s">
        <v>288</v>
      </c>
      <c r="E70" s="1" t="s">
        <v>142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9">
        <f>Tabelle58971121[[#This Row],[Durchschnittsauslastung min]]*Tabelle58971121[[#This Row],[installierte Leistung MW min]]</f>
        <v>0</v>
      </c>
      <c r="EG70" s="49">
        <f>Tabelle58971121[[#This Row],[Durchschnittsauslastung durch]]*Tabelle58971121[[#This Row],[installierte Leistung MW durch]]</f>
        <v>0</v>
      </c>
      <c r="EH70" s="49">
        <f>Tabelle58971121[[#This Row],[Durchschnittsauslastung max]]*Tabelle58971121[[#This Row],[installierte Leistung MW max]]</f>
        <v>0</v>
      </c>
      <c r="EI70" s="91">
        <f>Tabelle58971121[[#This Row],[Maximalauslastung durch]]*Tabelle58971121[[#This Row],[installierte Leistung MW min]]</f>
        <v>813.33339999999987</v>
      </c>
      <c r="EJ70" s="49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1119</v>
      </c>
      <c r="FQ70" s="1" t="s">
        <v>1119</v>
      </c>
      <c r="FR70" s="1" t="s">
        <v>1119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816</v>
      </c>
      <c r="GW70" s="13" t="s">
        <v>816</v>
      </c>
      <c r="GX70" s="13" t="s">
        <v>816</v>
      </c>
      <c r="GY70" s="13"/>
      <c r="GZ70" s="13" t="s">
        <v>816</v>
      </c>
      <c r="HA70" s="13" t="s">
        <v>816</v>
      </c>
      <c r="HB70" s="13" t="s">
        <v>816</v>
      </c>
      <c r="HC70" s="13" t="s">
        <v>816</v>
      </c>
      <c r="HD70" s="13" t="s">
        <v>816</v>
      </c>
      <c r="HE70" s="13" t="s">
        <v>816</v>
      </c>
      <c r="HF70" s="13" t="s">
        <v>816</v>
      </c>
      <c r="HI70" s="13" t="s">
        <v>816</v>
      </c>
      <c r="HJ70" s="13" t="s">
        <v>816</v>
      </c>
      <c r="HL70" s="13" t="s">
        <v>816</v>
      </c>
    </row>
    <row r="71" spans="1:220" ht="12.75" customHeight="1" x14ac:dyDescent="0.2">
      <c r="A71" s="1" t="s">
        <v>288</v>
      </c>
      <c r="B71" s="1" t="s">
        <v>288</v>
      </c>
      <c r="E71" s="1" t="s">
        <v>142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9">
        <f>Tabelle58971121[[#This Row],[Durchschnittsauslastung min]]*Tabelle58971121[[#This Row],[installierte Leistung MW min]]</f>
        <v>0</v>
      </c>
      <c r="EG71" s="49">
        <f>Tabelle58971121[[#This Row],[Durchschnittsauslastung durch]]*Tabelle58971121[[#This Row],[installierte Leistung MW durch]]</f>
        <v>0</v>
      </c>
      <c r="EH71" s="49">
        <f>Tabelle58971121[[#This Row],[Durchschnittsauslastung max]]*Tabelle58971121[[#This Row],[installierte Leistung MW max]]</f>
        <v>0</v>
      </c>
      <c r="EI71" s="91">
        <f>Tabelle58971121[[#This Row],[Maximalauslastung durch]]*Tabelle58971121[[#This Row],[installierte Leistung MW min]]</f>
        <v>767.51179999999999</v>
      </c>
      <c r="EJ71" s="49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1119</v>
      </c>
      <c r="FQ71" s="1" t="s">
        <v>1119</v>
      </c>
      <c r="FR71" s="1" t="s">
        <v>1119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816</v>
      </c>
      <c r="GW71" s="13" t="s">
        <v>816</v>
      </c>
      <c r="GX71" s="13" t="s">
        <v>816</v>
      </c>
      <c r="GY71" s="13"/>
      <c r="GZ71" s="13" t="s">
        <v>816</v>
      </c>
      <c r="HA71" s="13" t="s">
        <v>816</v>
      </c>
      <c r="HB71" s="13" t="s">
        <v>816</v>
      </c>
      <c r="HC71" s="13" t="s">
        <v>816</v>
      </c>
      <c r="HD71" s="13" t="s">
        <v>816</v>
      </c>
      <c r="HE71" s="13" t="s">
        <v>816</v>
      </c>
      <c r="HF71" s="13" t="s">
        <v>816</v>
      </c>
      <c r="HI71" s="13" t="s">
        <v>816</v>
      </c>
      <c r="HJ71" s="13" t="s">
        <v>816</v>
      </c>
      <c r="HL71" s="13" t="s">
        <v>816</v>
      </c>
    </row>
    <row r="72" spans="1:220" ht="12.75" customHeight="1" x14ac:dyDescent="0.2">
      <c r="A72" s="1" t="s">
        <v>288</v>
      </c>
      <c r="B72" s="1" t="s">
        <v>288</v>
      </c>
      <c r="E72" s="1" t="s">
        <v>142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9">
        <f>Tabelle58971121[[#This Row],[Durchschnittsauslastung min]]*Tabelle58971121[[#This Row],[installierte Leistung MW min]]</f>
        <v>0</v>
      </c>
      <c r="EG72" s="49">
        <f>Tabelle58971121[[#This Row],[Durchschnittsauslastung durch]]*Tabelle58971121[[#This Row],[installierte Leistung MW durch]]</f>
        <v>0</v>
      </c>
      <c r="EH72" s="49">
        <f>Tabelle58971121[[#This Row],[Durchschnittsauslastung max]]*Tabelle58971121[[#This Row],[installierte Leistung MW max]]</f>
        <v>0</v>
      </c>
      <c r="EI72" s="91">
        <f>Tabelle58971121[[#This Row],[Maximalauslastung durch]]*Tabelle58971121[[#This Row],[installierte Leistung MW min]]</f>
        <v>733.14560000000006</v>
      </c>
      <c r="EJ72" s="49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1119</v>
      </c>
      <c r="FQ72" s="1" t="s">
        <v>1119</v>
      </c>
      <c r="FR72" s="1" t="s">
        <v>1119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816</v>
      </c>
      <c r="GW72" s="13" t="s">
        <v>816</v>
      </c>
      <c r="GX72" s="13" t="s">
        <v>816</v>
      </c>
      <c r="GY72" s="13"/>
      <c r="GZ72" s="13" t="s">
        <v>816</v>
      </c>
      <c r="HA72" s="13" t="s">
        <v>816</v>
      </c>
      <c r="HB72" s="13" t="s">
        <v>816</v>
      </c>
      <c r="HC72" s="13" t="s">
        <v>816</v>
      </c>
      <c r="HD72" s="13" t="s">
        <v>816</v>
      </c>
      <c r="HE72" s="13" t="s">
        <v>816</v>
      </c>
      <c r="HF72" s="13" t="s">
        <v>816</v>
      </c>
      <c r="HI72" s="13" t="s">
        <v>816</v>
      </c>
      <c r="HJ72" s="13" t="s">
        <v>816</v>
      </c>
      <c r="HL72" s="13" t="s">
        <v>816</v>
      </c>
    </row>
    <row r="73" spans="1:220" ht="12.75" customHeight="1" x14ac:dyDescent="0.2">
      <c r="A73" s="1" t="s">
        <v>288</v>
      </c>
      <c r="B73" s="1" t="s">
        <v>288</v>
      </c>
      <c r="E73" s="1" t="s">
        <v>142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9">
        <f>Tabelle58971121[[#This Row],[Durchschnittsauslastung min]]*Tabelle58971121[[#This Row],[installierte Leistung MW min]]</f>
        <v>0</v>
      </c>
      <c r="EG73" s="49">
        <f>Tabelle58971121[[#This Row],[Durchschnittsauslastung durch]]*Tabelle58971121[[#This Row],[installierte Leistung MW durch]]</f>
        <v>0</v>
      </c>
      <c r="EH73" s="49">
        <f>Tabelle58971121[[#This Row],[Durchschnittsauslastung max]]*Tabelle58971121[[#This Row],[installierte Leistung MW max]]</f>
        <v>0</v>
      </c>
      <c r="EI73" s="91">
        <f>Tabelle58971121[[#This Row],[Maximalauslastung durch]]*Tabelle58971121[[#This Row],[installierte Leistung MW min]]</f>
        <v>675.8685999999999</v>
      </c>
      <c r="EJ73" s="49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1119</v>
      </c>
      <c r="FQ73" s="1" t="s">
        <v>1119</v>
      </c>
      <c r="FR73" s="1" t="s">
        <v>1119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816</v>
      </c>
      <c r="GW73" s="13" t="s">
        <v>816</v>
      </c>
      <c r="GX73" s="13" t="s">
        <v>816</v>
      </c>
      <c r="GY73" s="13"/>
      <c r="GZ73" s="13" t="s">
        <v>816</v>
      </c>
      <c r="HA73" s="13" t="s">
        <v>816</v>
      </c>
      <c r="HB73" s="13" t="s">
        <v>816</v>
      </c>
      <c r="HC73" s="13" t="s">
        <v>816</v>
      </c>
      <c r="HD73" s="13" t="s">
        <v>816</v>
      </c>
      <c r="HE73" s="13" t="s">
        <v>816</v>
      </c>
      <c r="HF73" s="13" t="s">
        <v>816</v>
      </c>
      <c r="HI73" s="13" t="s">
        <v>816</v>
      </c>
      <c r="HJ73" s="13" t="s">
        <v>816</v>
      </c>
      <c r="HL73" s="13" t="s">
        <v>816</v>
      </c>
    </row>
    <row r="74" spans="1:220" ht="12.75" customHeight="1" x14ac:dyDescent="0.2">
      <c r="A74" s="1" t="s">
        <v>367</v>
      </c>
      <c r="B74" s="1" t="s">
        <v>660</v>
      </c>
      <c r="E74" s="1" t="s">
        <v>142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9">
        <f>Tabelle58971121[[#This Row],[Durchschnittsauslastung min]]*Tabelle58971121[[#This Row],[installierte Leistung MW min]]</f>
        <v>0</v>
      </c>
      <c r="EG74" s="49">
        <f>Tabelle58971121[[#This Row],[Durchschnittsauslastung durch]]*Tabelle58971121[[#This Row],[installierte Leistung MW durch]]</f>
        <v>0</v>
      </c>
      <c r="EH74" s="49">
        <f>Tabelle58971121[[#This Row],[Durchschnittsauslastung max]]*Tabelle58971121[[#This Row],[installierte Leistung MW max]]</f>
        <v>0</v>
      </c>
      <c r="EI74" s="91">
        <f>Tabelle58971121[[#This Row],[Maximalauslastung durch]]*Tabelle58971121[[#This Row],[installierte Leistung MW min]]</f>
        <v>2181.3000000000002</v>
      </c>
      <c r="EJ74" s="49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816</v>
      </c>
      <c r="GW74" s="13" t="s">
        <v>816</v>
      </c>
      <c r="GX74" s="13" t="s">
        <v>816</v>
      </c>
      <c r="GY74" s="13"/>
      <c r="GZ74" s="13" t="s">
        <v>816</v>
      </c>
      <c r="HA74" s="13" t="s">
        <v>816</v>
      </c>
      <c r="HB74" s="13" t="s">
        <v>816</v>
      </c>
      <c r="HC74" s="13" t="s">
        <v>816</v>
      </c>
      <c r="HD74" s="13" t="s">
        <v>816</v>
      </c>
      <c r="HE74" s="13" t="s">
        <v>816</v>
      </c>
      <c r="HF74" s="13" t="s">
        <v>816</v>
      </c>
      <c r="HI74" s="13" t="s">
        <v>816</v>
      </c>
      <c r="HJ74" s="13" t="s">
        <v>816</v>
      </c>
      <c r="HL74" s="13" t="s">
        <v>816</v>
      </c>
    </row>
    <row r="75" spans="1:220" ht="12.75" customHeight="1" x14ac:dyDescent="0.2">
      <c r="A75" s="1" t="s">
        <v>367</v>
      </c>
      <c r="B75" s="1" t="s">
        <v>660</v>
      </c>
      <c r="E75" s="1" t="s">
        <v>142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9">
        <f>Tabelle58971121[[#This Row],[Durchschnittsauslastung min]]*Tabelle58971121[[#This Row],[installierte Leistung MW min]]</f>
        <v>0</v>
      </c>
      <c r="EG75" s="49">
        <f>Tabelle58971121[[#This Row],[Durchschnittsauslastung durch]]*Tabelle58971121[[#This Row],[installierte Leistung MW durch]]</f>
        <v>0</v>
      </c>
      <c r="EH75" s="49">
        <f>Tabelle58971121[[#This Row],[Durchschnittsauslastung max]]*Tabelle58971121[[#This Row],[installierte Leistung MW max]]</f>
        <v>0</v>
      </c>
      <c r="EI75" s="91">
        <f>Tabelle58971121[[#This Row],[Maximalauslastung durch]]*Tabelle58971121[[#This Row],[installierte Leistung MW min]]</f>
        <v>3141.0720000000001</v>
      </c>
      <c r="EJ75" s="49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816</v>
      </c>
      <c r="GW75" s="13" t="s">
        <v>816</v>
      </c>
      <c r="GX75" s="13" t="s">
        <v>816</v>
      </c>
      <c r="GY75" s="13"/>
      <c r="GZ75" s="13" t="s">
        <v>816</v>
      </c>
      <c r="HA75" s="13" t="s">
        <v>816</v>
      </c>
      <c r="HB75" s="13" t="s">
        <v>816</v>
      </c>
      <c r="HC75" s="13" t="s">
        <v>816</v>
      </c>
      <c r="HD75" s="13" t="s">
        <v>816</v>
      </c>
      <c r="HE75" s="13" t="s">
        <v>816</v>
      </c>
      <c r="HF75" s="13" t="s">
        <v>816</v>
      </c>
      <c r="HI75" s="13" t="s">
        <v>816</v>
      </c>
      <c r="HJ75" s="13" t="s">
        <v>816</v>
      </c>
      <c r="HL75" s="13" t="s">
        <v>816</v>
      </c>
    </row>
    <row r="76" spans="1:220" ht="12.75" customHeight="1" x14ac:dyDescent="0.2">
      <c r="A76" s="1" t="s">
        <v>367</v>
      </c>
      <c r="B76" s="1" t="s">
        <v>660</v>
      </c>
      <c r="E76" s="1" t="s">
        <v>142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9">
        <f>Tabelle58971121[[#This Row],[Durchschnittsauslastung min]]*Tabelle58971121[[#This Row],[installierte Leistung MW min]]</f>
        <v>0</v>
      </c>
      <c r="EG76" s="49">
        <f>Tabelle58971121[[#This Row],[Durchschnittsauslastung durch]]*Tabelle58971121[[#This Row],[installierte Leistung MW durch]]</f>
        <v>0</v>
      </c>
      <c r="EH76" s="49">
        <f>Tabelle58971121[[#This Row],[Durchschnittsauslastung max]]*Tabelle58971121[[#This Row],[installierte Leistung MW max]]</f>
        <v>0</v>
      </c>
      <c r="EI76" s="91">
        <f>Tabelle58971121[[#This Row],[Maximalauslastung durch]]*Tabelle58971121[[#This Row],[installierte Leistung MW min]]</f>
        <v>4667.982</v>
      </c>
      <c r="EJ76" s="49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816</v>
      </c>
      <c r="GW76" s="13" t="s">
        <v>816</v>
      </c>
      <c r="GX76" s="13" t="s">
        <v>816</v>
      </c>
      <c r="GY76" s="13"/>
      <c r="GZ76" s="13" t="s">
        <v>816</v>
      </c>
      <c r="HA76" s="13" t="s">
        <v>816</v>
      </c>
      <c r="HB76" s="13" t="s">
        <v>816</v>
      </c>
      <c r="HC76" s="13" t="s">
        <v>816</v>
      </c>
      <c r="HD76" s="13" t="s">
        <v>816</v>
      </c>
      <c r="HE76" s="13" t="s">
        <v>816</v>
      </c>
      <c r="HF76" s="13" t="s">
        <v>816</v>
      </c>
      <c r="HI76" s="13" t="s">
        <v>816</v>
      </c>
      <c r="HJ76" s="13" t="s">
        <v>816</v>
      </c>
      <c r="HL76" s="13" t="s">
        <v>816</v>
      </c>
    </row>
    <row r="77" spans="1:220" ht="12.75" customHeight="1" x14ac:dyDescent="0.2">
      <c r="A77" s="1" t="s">
        <v>367</v>
      </c>
      <c r="B77" s="1" t="s">
        <v>660</v>
      </c>
      <c r="E77" s="1" t="s">
        <v>142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9">
        <f>Tabelle58971121[[#This Row],[Durchschnittsauslastung min]]*Tabelle58971121[[#This Row],[installierte Leistung MW min]]</f>
        <v>0</v>
      </c>
      <c r="EG77" s="49">
        <f>Tabelle58971121[[#This Row],[Durchschnittsauslastung durch]]*Tabelle58971121[[#This Row],[installierte Leistung MW durch]]</f>
        <v>0</v>
      </c>
      <c r="EH77" s="49">
        <f>Tabelle58971121[[#This Row],[Durchschnittsauslastung max]]*Tabelle58971121[[#This Row],[installierte Leistung MW max]]</f>
        <v>0</v>
      </c>
      <c r="EI77" s="91">
        <f>Tabelle58971121[[#This Row],[Maximalauslastung durch]]*Tabelle58971121[[#This Row],[installierte Leistung MW min]]</f>
        <v>7154.6639999999998</v>
      </c>
      <c r="EJ77" s="49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816</v>
      </c>
      <c r="GW77" s="13" t="s">
        <v>816</v>
      </c>
      <c r="GX77" s="13" t="s">
        <v>816</v>
      </c>
      <c r="GY77" s="13"/>
      <c r="GZ77" s="13" t="s">
        <v>816</v>
      </c>
      <c r="HA77" s="13" t="s">
        <v>816</v>
      </c>
      <c r="HB77" s="13" t="s">
        <v>816</v>
      </c>
      <c r="HC77" s="13" t="s">
        <v>816</v>
      </c>
      <c r="HD77" s="13" t="s">
        <v>816</v>
      </c>
      <c r="HE77" s="13" t="s">
        <v>816</v>
      </c>
      <c r="HF77" s="13" t="s">
        <v>816</v>
      </c>
      <c r="HI77" s="13" t="s">
        <v>816</v>
      </c>
      <c r="HJ77" s="13" t="s">
        <v>816</v>
      </c>
      <c r="HL77" s="13" t="s">
        <v>816</v>
      </c>
    </row>
    <row r="78" spans="1:220" ht="12.75" customHeight="1" x14ac:dyDescent="0.2">
      <c r="A78" s="1" t="s">
        <v>367</v>
      </c>
      <c r="B78" s="1" t="s">
        <v>660</v>
      </c>
      <c r="E78" s="1" t="s">
        <v>142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9">
        <f>Tabelle58971121[[#This Row],[Durchschnittsauslastung min]]*Tabelle58971121[[#This Row],[installierte Leistung MW min]]</f>
        <v>0</v>
      </c>
      <c r="EG78" s="49">
        <f>Tabelle58971121[[#This Row],[Durchschnittsauslastung durch]]*Tabelle58971121[[#This Row],[installierte Leistung MW durch]]</f>
        <v>0</v>
      </c>
      <c r="EH78" s="49">
        <f>Tabelle58971121[[#This Row],[Durchschnittsauslastung max]]*Tabelle58971121[[#This Row],[installierte Leistung MW max]]</f>
        <v>0</v>
      </c>
      <c r="EI78" s="91">
        <f>Tabelle58971121[[#This Row],[Maximalauslastung durch]]*Tabelle58971121[[#This Row],[installierte Leistung MW min]]</f>
        <v>8441.6310000000012</v>
      </c>
      <c r="EJ78" s="49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816</v>
      </c>
      <c r="GW78" s="13" t="s">
        <v>816</v>
      </c>
      <c r="GX78" s="13" t="s">
        <v>816</v>
      </c>
      <c r="GY78" s="13"/>
      <c r="GZ78" s="13" t="s">
        <v>816</v>
      </c>
      <c r="HA78" s="13" t="s">
        <v>816</v>
      </c>
      <c r="HB78" s="13" t="s">
        <v>816</v>
      </c>
      <c r="HC78" s="13" t="s">
        <v>816</v>
      </c>
      <c r="HD78" s="13" t="s">
        <v>816</v>
      </c>
      <c r="HE78" s="13" t="s">
        <v>816</v>
      </c>
      <c r="HF78" s="13" t="s">
        <v>816</v>
      </c>
      <c r="HI78" s="13" t="s">
        <v>816</v>
      </c>
      <c r="HJ78" s="13" t="s">
        <v>816</v>
      </c>
      <c r="HL78" s="13" t="s">
        <v>816</v>
      </c>
    </row>
    <row r="79" spans="1:220" ht="12.75" customHeight="1" x14ac:dyDescent="0.2">
      <c r="A79" s="1" t="s">
        <v>367</v>
      </c>
      <c r="B79" s="1" t="s">
        <v>660</v>
      </c>
      <c r="E79" s="1" t="s">
        <v>142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9">
        <f>Tabelle58971121[[#This Row],[Durchschnittsauslastung min]]*Tabelle58971121[[#This Row],[installierte Leistung MW min]]</f>
        <v>0</v>
      </c>
      <c r="EG79" s="49">
        <f>Tabelle58971121[[#This Row],[Durchschnittsauslastung durch]]*Tabelle58971121[[#This Row],[installierte Leistung MW durch]]</f>
        <v>0</v>
      </c>
      <c r="EH79" s="49">
        <f>Tabelle58971121[[#This Row],[Durchschnittsauslastung max]]*Tabelle58971121[[#This Row],[installierte Leistung MW max]]</f>
        <v>0</v>
      </c>
      <c r="EI79" s="91">
        <f>Tabelle58971121[[#This Row],[Maximalauslastung durch]]*Tabelle58971121[[#This Row],[installierte Leistung MW min]]</f>
        <v>9946.7279999999992</v>
      </c>
      <c r="EJ79" s="49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816</v>
      </c>
      <c r="GW79" s="13" t="s">
        <v>816</v>
      </c>
      <c r="GX79" s="13" t="s">
        <v>816</v>
      </c>
      <c r="GY79" s="13"/>
      <c r="GZ79" s="13" t="s">
        <v>816</v>
      </c>
      <c r="HA79" s="13" t="s">
        <v>816</v>
      </c>
      <c r="HB79" s="13" t="s">
        <v>816</v>
      </c>
      <c r="HC79" s="13" t="s">
        <v>816</v>
      </c>
      <c r="HD79" s="13" t="s">
        <v>816</v>
      </c>
      <c r="HE79" s="13" t="s">
        <v>816</v>
      </c>
      <c r="HF79" s="13" t="s">
        <v>816</v>
      </c>
      <c r="HI79" s="13" t="s">
        <v>816</v>
      </c>
      <c r="HJ79" s="13" t="s">
        <v>816</v>
      </c>
      <c r="HL79" s="13" t="s">
        <v>816</v>
      </c>
    </row>
    <row r="80" spans="1:220" ht="12.75" customHeight="1" x14ac:dyDescent="0.2">
      <c r="A80" s="1" t="s">
        <v>367</v>
      </c>
      <c r="B80" s="1" t="s">
        <v>660</v>
      </c>
      <c r="E80" s="1" t="s">
        <v>142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9">
        <f>Tabelle58971121[[#This Row],[Durchschnittsauslastung min]]*Tabelle58971121[[#This Row],[installierte Leistung MW min]]</f>
        <v>0</v>
      </c>
      <c r="EG80" s="49">
        <f>Tabelle58971121[[#This Row],[Durchschnittsauslastung durch]]*Tabelle58971121[[#This Row],[installierte Leistung MW durch]]</f>
        <v>0</v>
      </c>
      <c r="EH80" s="49">
        <f>Tabelle58971121[[#This Row],[Durchschnittsauslastung max]]*Tabelle58971121[[#This Row],[installierte Leistung MW max]]</f>
        <v>0</v>
      </c>
      <c r="EI80" s="91">
        <f>Tabelle58971121[[#This Row],[Maximalauslastung durch]]*Tabelle58971121[[#This Row],[installierte Leistung MW min]]</f>
        <v>11757.207</v>
      </c>
      <c r="EJ80" s="49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816</v>
      </c>
      <c r="GW80" s="13" t="s">
        <v>816</v>
      </c>
      <c r="GX80" s="13" t="s">
        <v>816</v>
      </c>
      <c r="GY80" s="13"/>
      <c r="GZ80" s="13" t="s">
        <v>816</v>
      </c>
      <c r="HA80" s="13" t="s">
        <v>816</v>
      </c>
      <c r="HB80" s="13" t="s">
        <v>816</v>
      </c>
      <c r="HC80" s="13" t="s">
        <v>816</v>
      </c>
      <c r="HD80" s="13" t="s">
        <v>816</v>
      </c>
      <c r="HE80" s="13" t="s">
        <v>816</v>
      </c>
      <c r="HF80" s="13" t="s">
        <v>816</v>
      </c>
      <c r="HI80" s="13" t="s">
        <v>816</v>
      </c>
      <c r="HJ80" s="13" t="s">
        <v>816</v>
      </c>
      <c r="HL80" s="13" t="s">
        <v>816</v>
      </c>
    </row>
    <row r="81" spans="1:220" ht="12.75" customHeight="1" x14ac:dyDescent="0.2">
      <c r="A81" s="1" t="s">
        <v>367</v>
      </c>
      <c r="B81" s="1" t="s">
        <v>660</v>
      </c>
      <c r="E81" s="1" t="s">
        <v>142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9">
        <f>Tabelle58971121[[#This Row],[Durchschnittsauslastung min]]*Tabelle58971121[[#This Row],[installierte Leistung MW min]]</f>
        <v>0</v>
      </c>
      <c r="EG81" s="49">
        <f>Tabelle58971121[[#This Row],[Durchschnittsauslastung durch]]*Tabelle58971121[[#This Row],[installierte Leistung MW durch]]</f>
        <v>0</v>
      </c>
      <c r="EH81" s="49">
        <f>Tabelle58971121[[#This Row],[Durchschnittsauslastung max]]*Tabelle58971121[[#This Row],[installierte Leistung MW max]]</f>
        <v>0</v>
      </c>
      <c r="EI81" s="91">
        <f>Tabelle58971121[[#This Row],[Maximalauslastung durch]]*Tabelle58971121[[#This Row],[installierte Leistung MW min]]</f>
        <v>13284.117000000002</v>
      </c>
      <c r="EJ81" s="49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816</v>
      </c>
      <c r="GW81" s="13" t="s">
        <v>816</v>
      </c>
      <c r="GX81" s="13" t="s">
        <v>816</v>
      </c>
      <c r="GY81" s="13"/>
      <c r="GZ81" s="13" t="s">
        <v>816</v>
      </c>
      <c r="HA81" s="13" t="s">
        <v>816</v>
      </c>
      <c r="HB81" s="13" t="s">
        <v>816</v>
      </c>
      <c r="HC81" s="13" t="s">
        <v>816</v>
      </c>
      <c r="HD81" s="13" t="s">
        <v>816</v>
      </c>
      <c r="HE81" s="13" t="s">
        <v>816</v>
      </c>
      <c r="HF81" s="13" t="s">
        <v>816</v>
      </c>
      <c r="HI81" s="13" t="s">
        <v>816</v>
      </c>
      <c r="HJ81" s="13" t="s">
        <v>816</v>
      </c>
      <c r="HL81" s="13" t="s">
        <v>816</v>
      </c>
    </row>
    <row r="82" spans="1:220" ht="12.75" customHeight="1" x14ac:dyDescent="0.2">
      <c r="A82" s="1" t="s">
        <v>135</v>
      </c>
      <c r="B82" s="1" t="s">
        <v>663</v>
      </c>
      <c r="E82" s="1" t="s">
        <v>142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9">
        <f>Tabelle58971121[[#This Row],[Durchschnittsauslastung min]]*Tabelle58971121[[#This Row],[installierte Leistung MW min]]</f>
        <v>0</v>
      </c>
      <c r="EG82" s="49">
        <f>Tabelle58971121[[#This Row],[Durchschnittsauslastung durch]]*Tabelle58971121[[#This Row],[installierte Leistung MW durch]]</f>
        <v>0</v>
      </c>
      <c r="EH82" s="49">
        <f>Tabelle58971121[[#This Row],[Durchschnittsauslastung max]]*Tabelle58971121[[#This Row],[installierte Leistung MW max]]</f>
        <v>0</v>
      </c>
      <c r="EI82" s="91">
        <f>Tabelle58971121[[#This Row],[Maximalauslastung durch]]*Tabelle58971121[[#This Row],[installierte Leistung MW min]]</f>
        <v>3641</v>
      </c>
      <c r="EJ82" s="49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816</v>
      </c>
      <c r="GW82" s="13" t="s">
        <v>816</v>
      </c>
      <c r="GX82" s="13" t="s">
        <v>816</v>
      </c>
      <c r="GY82" s="13"/>
      <c r="GZ82" s="13" t="s">
        <v>816</v>
      </c>
      <c r="HA82" s="13" t="s">
        <v>816</v>
      </c>
      <c r="HB82" s="13" t="s">
        <v>816</v>
      </c>
      <c r="HC82" s="13" t="s">
        <v>816</v>
      </c>
      <c r="HD82" s="13" t="s">
        <v>816</v>
      </c>
      <c r="HE82" s="13" t="s">
        <v>816</v>
      </c>
      <c r="HF82" s="13" t="s">
        <v>816</v>
      </c>
      <c r="HI82" s="13" t="s">
        <v>816</v>
      </c>
      <c r="HJ82" s="13" t="s">
        <v>816</v>
      </c>
      <c r="HL82" s="13" t="s">
        <v>816</v>
      </c>
    </row>
    <row r="83" spans="1:220" ht="12.75" customHeight="1" x14ac:dyDescent="0.2">
      <c r="A83" s="1" t="s">
        <v>135</v>
      </c>
      <c r="B83" s="1" t="s">
        <v>663</v>
      </c>
      <c r="E83" s="1" t="s">
        <v>142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9">
        <f>Tabelle58971121[[#This Row],[Durchschnittsauslastung min]]*Tabelle58971121[[#This Row],[installierte Leistung MW min]]</f>
        <v>0</v>
      </c>
      <c r="EG83" s="49">
        <f>Tabelle58971121[[#This Row],[Durchschnittsauslastung durch]]*Tabelle58971121[[#This Row],[installierte Leistung MW durch]]</f>
        <v>0</v>
      </c>
      <c r="EH83" s="49">
        <f>Tabelle58971121[[#This Row],[Durchschnittsauslastung max]]*Tabelle58971121[[#This Row],[installierte Leistung MW max]]</f>
        <v>0</v>
      </c>
      <c r="EI83" s="91">
        <f>Tabelle58971121[[#This Row],[Maximalauslastung durch]]*Tabelle58971121[[#This Row],[installierte Leistung MW min]]</f>
        <v>2985.62</v>
      </c>
      <c r="EJ83" s="49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816</v>
      </c>
      <c r="GW83" s="13" t="s">
        <v>816</v>
      </c>
      <c r="GX83" s="13" t="s">
        <v>816</v>
      </c>
      <c r="GY83" s="13"/>
      <c r="GZ83" s="13" t="s">
        <v>816</v>
      </c>
      <c r="HA83" s="13" t="s">
        <v>816</v>
      </c>
      <c r="HB83" s="13" t="s">
        <v>816</v>
      </c>
      <c r="HC83" s="13" t="s">
        <v>816</v>
      </c>
      <c r="HD83" s="13" t="s">
        <v>816</v>
      </c>
      <c r="HE83" s="13" t="s">
        <v>816</v>
      </c>
      <c r="HF83" s="13" t="s">
        <v>816</v>
      </c>
      <c r="HI83" s="13" t="s">
        <v>816</v>
      </c>
      <c r="HJ83" s="13" t="s">
        <v>816</v>
      </c>
      <c r="HL83" s="13" t="s">
        <v>816</v>
      </c>
    </row>
    <row r="84" spans="1:220" ht="12.75" customHeight="1" x14ac:dyDescent="0.2">
      <c r="A84" s="1" t="s">
        <v>135</v>
      </c>
      <c r="B84" s="1" t="s">
        <v>663</v>
      </c>
      <c r="E84" s="1" t="s">
        <v>142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9">
        <f>Tabelle58971121[[#This Row],[Durchschnittsauslastung min]]*Tabelle58971121[[#This Row],[installierte Leistung MW min]]</f>
        <v>0</v>
      </c>
      <c r="EG84" s="49">
        <f>Tabelle58971121[[#This Row],[Durchschnittsauslastung durch]]*Tabelle58971121[[#This Row],[installierte Leistung MW durch]]</f>
        <v>0</v>
      </c>
      <c r="EH84" s="49">
        <f>Tabelle58971121[[#This Row],[Durchschnittsauslastung max]]*Tabelle58971121[[#This Row],[installierte Leistung MW max]]</f>
        <v>0</v>
      </c>
      <c r="EI84" s="91">
        <f>Tabelle58971121[[#This Row],[Maximalauslastung durch]]*Tabelle58971121[[#This Row],[installierte Leistung MW min]]</f>
        <v>2585.11</v>
      </c>
      <c r="EJ84" s="49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816</v>
      </c>
      <c r="GW84" s="13" t="s">
        <v>816</v>
      </c>
      <c r="GX84" s="13" t="s">
        <v>816</v>
      </c>
      <c r="GY84" s="13"/>
      <c r="GZ84" s="13" t="s">
        <v>816</v>
      </c>
      <c r="HA84" s="13" t="s">
        <v>816</v>
      </c>
      <c r="HB84" s="13" t="s">
        <v>816</v>
      </c>
      <c r="HC84" s="13" t="s">
        <v>816</v>
      </c>
      <c r="HD84" s="13" t="s">
        <v>816</v>
      </c>
      <c r="HE84" s="13" t="s">
        <v>816</v>
      </c>
      <c r="HF84" s="13" t="s">
        <v>816</v>
      </c>
      <c r="HI84" s="13" t="s">
        <v>816</v>
      </c>
      <c r="HJ84" s="13" t="s">
        <v>816</v>
      </c>
      <c r="HL84" s="13" t="s">
        <v>816</v>
      </c>
    </row>
    <row r="85" spans="1:220" ht="12.75" customHeight="1" x14ac:dyDescent="0.2">
      <c r="A85" s="1" t="s">
        <v>135</v>
      </c>
      <c r="B85" s="1" t="s">
        <v>663</v>
      </c>
      <c r="E85" s="1" t="s">
        <v>142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9">
        <f>Tabelle58971121[[#This Row],[Durchschnittsauslastung min]]*Tabelle58971121[[#This Row],[installierte Leistung MW min]]</f>
        <v>0</v>
      </c>
      <c r="EG85" s="49">
        <f>Tabelle58971121[[#This Row],[Durchschnittsauslastung durch]]*Tabelle58971121[[#This Row],[installierte Leistung MW durch]]</f>
        <v>0</v>
      </c>
      <c r="EH85" s="49">
        <f>Tabelle58971121[[#This Row],[Durchschnittsauslastung max]]*Tabelle58971121[[#This Row],[installierte Leistung MW max]]</f>
        <v>0</v>
      </c>
      <c r="EI85" s="91">
        <f>Tabelle58971121[[#This Row],[Maximalauslastung durch]]*Tabelle58971121[[#This Row],[installierte Leistung MW min]]</f>
        <v>2221.0100000000002</v>
      </c>
      <c r="EJ85" s="49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816</v>
      </c>
      <c r="GW85" s="13" t="s">
        <v>816</v>
      </c>
      <c r="GX85" s="13" t="s">
        <v>816</v>
      </c>
      <c r="GY85" s="13"/>
      <c r="GZ85" s="13" t="s">
        <v>816</v>
      </c>
      <c r="HA85" s="13" t="s">
        <v>816</v>
      </c>
      <c r="HB85" s="13" t="s">
        <v>816</v>
      </c>
      <c r="HC85" s="13" t="s">
        <v>816</v>
      </c>
      <c r="HD85" s="13" t="s">
        <v>816</v>
      </c>
      <c r="HE85" s="13" t="s">
        <v>816</v>
      </c>
      <c r="HF85" s="13" t="s">
        <v>816</v>
      </c>
      <c r="HI85" s="13" t="s">
        <v>816</v>
      </c>
      <c r="HJ85" s="13" t="s">
        <v>816</v>
      </c>
      <c r="HL85" s="13" t="s">
        <v>816</v>
      </c>
    </row>
    <row r="86" spans="1:220" ht="12.75" customHeight="1" x14ac:dyDescent="0.2">
      <c r="A86" s="1" t="s">
        <v>135</v>
      </c>
      <c r="B86" s="1" t="s">
        <v>663</v>
      </c>
      <c r="E86" s="1" t="s">
        <v>142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9">
        <f>Tabelle58971121[[#This Row],[Durchschnittsauslastung min]]*Tabelle58971121[[#This Row],[installierte Leistung MW min]]</f>
        <v>0</v>
      </c>
      <c r="EG86" s="49">
        <f>Tabelle58971121[[#This Row],[Durchschnittsauslastung durch]]*Tabelle58971121[[#This Row],[installierte Leistung MW durch]]</f>
        <v>0</v>
      </c>
      <c r="EH86" s="49">
        <f>Tabelle58971121[[#This Row],[Durchschnittsauslastung max]]*Tabelle58971121[[#This Row],[installierte Leistung MW max]]</f>
        <v>0</v>
      </c>
      <c r="EI86" s="91">
        <f>Tabelle58971121[[#This Row],[Maximalauslastung durch]]*Tabelle58971121[[#This Row],[installierte Leistung MW min]]</f>
        <v>2111.7800000000002</v>
      </c>
      <c r="EJ86" s="49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816</v>
      </c>
      <c r="GW86" s="13" t="s">
        <v>816</v>
      </c>
      <c r="GX86" s="13" t="s">
        <v>816</v>
      </c>
      <c r="GY86" s="13"/>
      <c r="GZ86" s="13" t="s">
        <v>816</v>
      </c>
      <c r="HA86" s="13" t="s">
        <v>816</v>
      </c>
      <c r="HB86" s="13" t="s">
        <v>816</v>
      </c>
      <c r="HC86" s="13" t="s">
        <v>816</v>
      </c>
      <c r="HD86" s="13" t="s">
        <v>816</v>
      </c>
      <c r="HE86" s="13" t="s">
        <v>816</v>
      </c>
      <c r="HF86" s="13" t="s">
        <v>816</v>
      </c>
      <c r="HI86" s="13" t="s">
        <v>816</v>
      </c>
      <c r="HJ86" s="13" t="s">
        <v>816</v>
      </c>
      <c r="HL86" s="13" t="s">
        <v>816</v>
      </c>
    </row>
    <row r="87" spans="1:220" ht="12.75" customHeight="1" x14ac:dyDescent="0.2">
      <c r="A87" s="1" t="s">
        <v>135</v>
      </c>
      <c r="B87" s="1" t="s">
        <v>663</v>
      </c>
      <c r="E87" s="1" t="s">
        <v>142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9">
        <f>Tabelle58971121[[#This Row],[Durchschnittsauslastung min]]*Tabelle58971121[[#This Row],[installierte Leistung MW min]]</f>
        <v>0</v>
      </c>
      <c r="EG87" s="49">
        <f>Tabelle58971121[[#This Row],[Durchschnittsauslastung durch]]*Tabelle58971121[[#This Row],[installierte Leistung MW durch]]</f>
        <v>0</v>
      </c>
      <c r="EH87" s="49">
        <f>Tabelle58971121[[#This Row],[Durchschnittsauslastung max]]*Tabelle58971121[[#This Row],[installierte Leistung MW max]]</f>
        <v>0</v>
      </c>
      <c r="EI87" s="91">
        <f>Tabelle58971121[[#This Row],[Maximalauslastung durch]]*Tabelle58971121[[#This Row],[installierte Leistung MW min]]</f>
        <v>2002.55</v>
      </c>
      <c r="EJ87" s="49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816</v>
      </c>
      <c r="GW87" s="13" t="s">
        <v>816</v>
      </c>
      <c r="GX87" s="13" t="s">
        <v>816</v>
      </c>
      <c r="GY87" s="13"/>
      <c r="GZ87" s="13" t="s">
        <v>816</v>
      </c>
      <c r="HA87" s="13" t="s">
        <v>816</v>
      </c>
      <c r="HB87" s="13" t="s">
        <v>816</v>
      </c>
      <c r="HC87" s="13" t="s">
        <v>816</v>
      </c>
      <c r="HD87" s="13" t="s">
        <v>816</v>
      </c>
      <c r="HE87" s="13" t="s">
        <v>816</v>
      </c>
      <c r="HF87" s="13" t="s">
        <v>816</v>
      </c>
      <c r="HI87" s="13" t="s">
        <v>816</v>
      </c>
      <c r="HJ87" s="13" t="s">
        <v>816</v>
      </c>
      <c r="HL87" s="13" t="s">
        <v>816</v>
      </c>
    </row>
    <row r="88" spans="1:220" ht="12.75" customHeight="1" x14ac:dyDescent="0.2">
      <c r="A88" s="1" t="s">
        <v>135</v>
      </c>
      <c r="B88" s="1" t="s">
        <v>663</v>
      </c>
      <c r="E88" s="1" t="s">
        <v>142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9">
        <f>Tabelle58971121[[#This Row],[Durchschnittsauslastung min]]*Tabelle58971121[[#This Row],[installierte Leistung MW min]]</f>
        <v>0</v>
      </c>
      <c r="EG88" s="49">
        <f>Tabelle58971121[[#This Row],[Durchschnittsauslastung durch]]*Tabelle58971121[[#This Row],[installierte Leistung MW durch]]</f>
        <v>0</v>
      </c>
      <c r="EH88" s="49">
        <f>Tabelle58971121[[#This Row],[Durchschnittsauslastung max]]*Tabelle58971121[[#This Row],[installierte Leistung MW max]]</f>
        <v>0</v>
      </c>
      <c r="EI88" s="91">
        <f>Tabelle58971121[[#This Row],[Maximalauslastung durch]]*Tabelle58971121[[#This Row],[installierte Leistung MW min]]</f>
        <v>1929.73</v>
      </c>
      <c r="EJ88" s="49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816</v>
      </c>
      <c r="GW88" s="13" t="s">
        <v>816</v>
      </c>
      <c r="GX88" s="13" t="s">
        <v>816</v>
      </c>
      <c r="GY88" s="13"/>
      <c r="GZ88" s="13" t="s">
        <v>816</v>
      </c>
      <c r="HA88" s="13" t="s">
        <v>816</v>
      </c>
      <c r="HB88" s="13" t="s">
        <v>816</v>
      </c>
      <c r="HC88" s="13" t="s">
        <v>816</v>
      </c>
      <c r="HD88" s="13" t="s">
        <v>816</v>
      </c>
      <c r="HE88" s="13" t="s">
        <v>816</v>
      </c>
      <c r="HF88" s="13" t="s">
        <v>816</v>
      </c>
      <c r="HI88" s="13" t="s">
        <v>816</v>
      </c>
      <c r="HJ88" s="13" t="s">
        <v>816</v>
      </c>
      <c r="HL88" s="13" t="s">
        <v>816</v>
      </c>
    </row>
    <row r="89" spans="1:220" ht="12.75" customHeight="1" x14ac:dyDescent="0.2">
      <c r="A89" s="1" t="s">
        <v>135</v>
      </c>
      <c r="B89" s="1" t="s">
        <v>663</v>
      </c>
      <c r="E89" s="1" t="s">
        <v>142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9">
        <f>Tabelle58971121[[#This Row],[Durchschnittsauslastung min]]*Tabelle58971121[[#This Row],[installierte Leistung MW min]]</f>
        <v>0</v>
      </c>
      <c r="EG89" s="49">
        <f>Tabelle58971121[[#This Row],[Durchschnittsauslastung durch]]*Tabelle58971121[[#This Row],[installierte Leistung MW durch]]</f>
        <v>0</v>
      </c>
      <c r="EH89" s="49">
        <f>Tabelle58971121[[#This Row],[Durchschnittsauslastung max]]*Tabelle58971121[[#This Row],[installierte Leistung MW max]]</f>
        <v>0</v>
      </c>
      <c r="EI89" s="91">
        <f>Tabelle58971121[[#This Row],[Maximalauslastung durch]]*Tabelle58971121[[#This Row],[installierte Leistung MW min]]</f>
        <v>1856.91</v>
      </c>
      <c r="EJ89" s="49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816</v>
      </c>
      <c r="GW89" s="13" t="s">
        <v>816</v>
      </c>
      <c r="GX89" s="13" t="s">
        <v>816</v>
      </c>
      <c r="GY89" s="13"/>
      <c r="GZ89" s="13" t="s">
        <v>816</v>
      </c>
      <c r="HA89" s="13" t="s">
        <v>816</v>
      </c>
      <c r="HB89" s="13" t="s">
        <v>816</v>
      </c>
      <c r="HC89" s="13" t="s">
        <v>816</v>
      </c>
      <c r="HD89" s="13" t="s">
        <v>816</v>
      </c>
      <c r="HE89" s="13" t="s">
        <v>816</v>
      </c>
      <c r="HF89" s="13" t="s">
        <v>816</v>
      </c>
      <c r="HI89" s="13" t="s">
        <v>816</v>
      </c>
      <c r="HJ89" s="13" t="s">
        <v>816</v>
      </c>
      <c r="HL89" s="13" t="s">
        <v>816</v>
      </c>
    </row>
    <row r="90" spans="1:220" ht="12.75" customHeight="1" x14ac:dyDescent="0.2">
      <c r="A90" s="1" t="s">
        <v>153</v>
      </c>
      <c r="B90" s="1" t="s">
        <v>754</v>
      </c>
      <c r="E90" s="1" t="s">
        <v>142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9">
        <f>Tabelle58971121[[#This Row],[Durchschnittsauslastung min]]*Tabelle58971121[[#This Row],[installierte Leistung MW min]]</f>
        <v>0</v>
      </c>
      <c r="EG90" s="49">
        <f>Tabelle58971121[[#This Row],[Durchschnittsauslastung durch]]*Tabelle58971121[[#This Row],[installierte Leistung MW durch]]</f>
        <v>0</v>
      </c>
      <c r="EH90" s="49">
        <f>Tabelle58971121[[#This Row],[Durchschnittsauslastung max]]*Tabelle58971121[[#This Row],[installierte Leistung MW max]]</f>
        <v>0</v>
      </c>
      <c r="EI90" s="91">
        <f>Tabelle58971121[[#This Row],[Maximalauslastung durch]]*Tabelle58971121[[#This Row],[installierte Leistung MW min]]</f>
        <v>951.75</v>
      </c>
      <c r="EJ90" s="49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8"/>
      <c r="EZ90" s="68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1119</v>
      </c>
      <c r="FW90" s="1" t="s">
        <v>1119</v>
      </c>
      <c r="FX90" s="1" t="s">
        <v>1119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816</v>
      </c>
      <c r="GW90" s="13" t="s">
        <v>816</v>
      </c>
      <c r="GX90" s="13" t="s">
        <v>816</v>
      </c>
      <c r="GY90" s="13"/>
      <c r="GZ90" s="13" t="s">
        <v>816</v>
      </c>
      <c r="HA90" s="13" t="s">
        <v>816</v>
      </c>
      <c r="HB90" s="13" t="s">
        <v>816</v>
      </c>
      <c r="HC90" s="13" t="s">
        <v>816</v>
      </c>
      <c r="HD90" s="13" t="s">
        <v>816</v>
      </c>
      <c r="HE90" s="13" t="s">
        <v>816</v>
      </c>
      <c r="HF90" s="13" t="s">
        <v>816</v>
      </c>
      <c r="HI90" s="13" t="s">
        <v>816</v>
      </c>
      <c r="HJ90" s="13" t="s">
        <v>816</v>
      </c>
      <c r="HL90" s="13" t="s">
        <v>816</v>
      </c>
    </row>
    <row r="91" spans="1:220" ht="12.75" customHeight="1" x14ac:dyDescent="0.2">
      <c r="A91" s="1" t="s">
        <v>153</v>
      </c>
      <c r="B91" s="1" t="s">
        <v>754</v>
      </c>
      <c r="E91" s="1" t="s">
        <v>142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9">
        <f>Tabelle58971121[[#This Row],[Durchschnittsauslastung min]]*Tabelle58971121[[#This Row],[installierte Leistung MW min]]</f>
        <v>0</v>
      </c>
      <c r="EG91" s="49">
        <f>Tabelle58971121[[#This Row],[Durchschnittsauslastung durch]]*Tabelle58971121[[#This Row],[installierte Leistung MW durch]]</f>
        <v>0</v>
      </c>
      <c r="EH91" s="49">
        <f>Tabelle58971121[[#This Row],[Durchschnittsauslastung max]]*Tabelle58971121[[#This Row],[installierte Leistung MW max]]</f>
        <v>0</v>
      </c>
      <c r="EI91" s="91">
        <f>Tabelle58971121[[#This Row],[Maximalauslastung durch]]*Tabelle58971121[[#This Row],[installierte Leistung MW min]]</f>
        <v>808.98749999999995</v>
      </c>
      <c r="EJ91" s="49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8"/>
      <c r="EZ91" s="68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1119</v>
      </c>
      <c r="FW91" s="1" t="s">
        <v>1119</v>
      </c>
      <c r="FX91" s="1" t="s">
        <v>1119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816</v>
      </c>
      <c r="GW91" s="13" t="s">
        <v>816</v>
      </c>
      <c r="GX91" s="13" t="s">
        <v>816</v>
      </c>
      <c r="GY91" s="13"/>
      <c r="GZ91" s="13" t="s">
        <v>816</v>
      </c>
      <c r="HA91" s="13" t="s">
        <v>816</v>
      </c>
      <c r="HB91" s="13" t="s">
        <v>816</v>
      </c>
      <c r="HC91" s="13" t="s">
        <v>816</v>
      </c>
      <c r="HD91" s="13" t="s">
        <v>816</v>
      </c>
      <c r="HE91" s="13" t="s">
        <v>816</v>
      </c>
      <c r="HF91" s="13" t="s">
        <v>816</v>
      </c>
      <c r="HI91" s="13" t="s">
        <v>816</v>
      </c>
      <c r="HJ91" s="13" t="s">
        <v>816</v>
      </c>
      <c r="HL91" s="13" t="s">
        <v>816</v>
      </c>
    </row>
    <row r="92" spans="1:220" ht="12.75" customHeight="1" x14ac:dyDescent="0.2">
      <c r="A92" s="1" t="s">
        <v>153</v>
      </c>
      <c r="B92" s="1" t="s">
        <v>754</v>
      </c>
      <c r="E92" s="1" t="s">
        <v>142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9">
        <f>Tabelle58971121[[#This Row],[Durchschnittsauslastung min]]*Tabelle58971121[[#This Row],[installierte Leistung MW min]]</f>
        <v>0</v>
      </c>
      <c r="EG92" s="49">
        <f>Tabelle58971121[[#This Row],[Durchschnittsauslastung durch]]*Tabelle58971121[[#This Row],[installierte Leistung MW durch]]</f>
        <v>0</v>
      </c>
      <c r="EH92" s="49">
        <f>Tabelle58971121[[#This Row],[Durchschnittsauslastung max]]*Tabelle58971121[[#This Row],[installierte Leistung MW max]]</f>
        <v>0</v>
      </c>
      <c r="EI92" s="91">
        <f>Tabelle58971121[[#This Row],[Maximalauslastung durch]]*Tabelle58971121[[#This Row],[installierte Leistung MW min]]</f>
        <v>694.77749999999992</v>
      </c>
      <c r="EJ92" s="49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8"/>
      <c r="EZ92" s="68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1119</v>
      </c>
      <c r="FW92" s="1" t="s">
        <v>1119</v>
      </c>
      <c r="FX92" s="1" t="s">
        <v>1119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816</v>
      </c>
      <c r="GW92" s="13" t="s">
        <v>816</v>
      </c>
      <c r="GX92" s="13" t="s">
        <v>816</v>
      </c>
      <c r="GY92" s="13"/>
      <c r="GZ92" s="13" t="s">
        <v>816</v>
      </c>
      <c r="HA92" s="13" t="s">
        <v>816</v>
      </c>
      <c r="HB92" s="13" t="s">
        <v>816</v>
      </c>
      <c r="HC92" s="13" t="s">
        <v>816</v>
      </c>
      <c r="HD92" s="13" t="s">
        <v>816</v>
      </c>
      <c r="HE92" s="13" t="s">
        <v>816</v>
      </c>
      <c r="HF92" s="13" t="s">
        <v>816</v>
      </c>
      <c r="HI92" s="13" t="s">
        <v>816</v>
      </c>
      <c r="HJ92" s="13" t="s">
        <v>816</v>
      </c>
      <c r="HL92" s="13" t="s">
        <v>816</v>
      </c>
    </row>
    <row r="93" spans="1:220" ht="12.75" customHeight="1" x14ac:dyDescent="0.2">
      <c r="A93" s="1" t="s">
        <v>153</v>
      </c>
      <c r="B93" s="1" t="s">
        <v>754</v>
      </c>
      <c r="E93" s="1" t="s">
        <v>142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9">
        <f>Tabelle58971121[[#This Row],[Durchschnittsauslastung min]]*Tabelle58971121[[#This Row],[installierte Leistung MW min]]</f>
        <v>0</v>
      </c>
      <c r="EG93" s="49">
        <f>Tabelle58971121[[#This Row],[Durchschnittsauslastung durch]]*Tabelle58971121[[#This Row],[installierte Leistung MW durch]]</f>
        <v>0</v>
      </c>
      <c r="EH93" s="49">
        <f>Tabelle58971121[[#This Row],[Durchschnittsauslastung max]]*Tabelle58971121[[#This Row],[installierte Leistung MW max]]</f>
        <v>0</v>
      </c>
      <c r="EI93" s="91">
        <f>Tabelle58971121[[#This Row],[Maximalauslastung durch]]*Tabelle58971121[[#This Row],[installierte Leistung MW min]]</f>
        <v>590.08499999999992</v>
      </c>
      <c r="EJ93" s="49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8"/>
      <c r="EZ93" s="68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1119</v>
      </c>
      <c r="FW93" s="1" t="s">
        <v>1119</v>
      </c>
      <c r="FX93" s="1" t="s">
        <v>1119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816</v>
      </c>
      <c r="GW93" s="13" t="s">
        <v>816</v>
      </c>
      <c r="GX93" s="13" t="s">
        <v>816</v>
      </c>
      <c r="GY93" s="13"/>
      <c r="GZ93" s="13" t="s">
        <v>816</v>
      </c>
      <c r="HA93" s="13" t="s">
        <v>816</v>
      </c>
      <c r="HB93" s="13" t="s">
        <v>816</v>
      </c>
      <c r="HC93" s="13" t="s">
        <v>816</v>
      </c>
      <c r="HD93" s="13" t="s">
        <v>816</v>
      </c>
      <c r="HE93" s="13" t="s">
        <v>816</v>
      </c>
      <c r="HF93" s="13" t="s">
        <v>816</v>
      </c>
      <c r="HI93" s="13" t="s">
        <v>816</v>
      </c>
      <c r="HJ93" s="13" t="s">
        <v>816</v>
      </c>
      <c r="HL93" s="13" t="s">
        <v>816</v>
      </c>
    </row>
    <row r="94" spans="1:220" ht="12.75" customHeight="1" x14ac:dyDescent="0.2">
      <c r="A94" s="1" t="s">
        <v>153</v>
      </c>
      <c r="B94" s="1" t="s">
        <v>754</v>
      </c>
      <c r="E94" s="1" t="s">
        <v>142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9">
        <f>Tabelle58971121[[#This Row],[Durchschnittsauslastung min]]*Tabelle58971121[[#This Row],[installierte Leistung MW min]]</f>
        <v>0</v>
      </c>
      <c r="EG94" s="49">
        <f>Tabelle58971121[[#This Row],[Durchschnittsauslastung durch]]*Tabelle58971121[[#This Row],[installierte Leistung MW durch]]</f>
        <v>0</v>
      </c>
      <c r="EH94" s="49">
        <f>Tabelle58971121[[#This Row],[Durchschnittsauslastung max]]*Tabelle58971121[[#This Row],[installierte Leistung MW max]]</f>
        <v>0</v>
      </c>
      <c r="EI94" s="91">
        <f>Tabelle58971121[[#This Row],[Maximalauslastung durch]]*Tabelle58971121[[#This Row],[installierte Leistung MW min]]</f>
        <v>590.08499999999992</v>
      </c>
      <c r="EJ94" s="49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8"/>
      <c r="EZ94" s="68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1119</v>
      </c>
      <c r="FW94" s="1" t="s">
        <v>1119</v>
      </c>
      <c r="FX94" s="1" t="s">
        <v>1119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816</v>
      </c>
      <c r="GW94" s="13" t="s">
        <v>816</v>
      </c>
      <c r="GX94" s="13" t="s">
        <v>816</v>
      </c>
      <c r="GY94" s="13"/>
      <c r="GZ94" s="13" t="s">
        <v>816</v>
      </c>
      <c r="HA94" s="13" t="s">
        <v>816</v>
      </c>
      <c r="HB94" s="13" t="s">
        <v>816</v>
      </c>
      <c r="HC94" s="13" t="s">
        <v>816</v>
      </c>
      <c r="HD94" s="13" t="s">
        <v>816</v>
      </c>
      <c r="HE94" s="13" t="s">
        <v>816</v>
      </c>
      <c r="HF94" s="13" t="s">
        <v>816</v>
      </c>
      <c r="HI94" s="13" t="s">
        <v>816</v>
      </c>
      <c r="HJ94" s="13" t="s">
        <v>816</v>
      </c>
      <c r="HL94" s="13" t="s">
        <v>816</v>
      </c>
    </row>
    <row r="95" spans="1:220" ht="12.75" customHeight="1" x14ac:dyDescent="0.2">
      <c r="A95" s="1" t="s">
        <v>153</v>
      </c>
      <c r="B95" s="1" t="s">
        <v>754</v>
      </c>
      <c r="E95" s="1" t="s">
        <v>142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9">
        <f>Tabelle58971121[[#This Row],[Durchschnittsauslastung min]]*Tabelle58971121[[#This Row],[installierte Leistung MW min]]</f>
        <v>0</v>
      </c>
      <c r="EG95" s="49">
        <f>Tabelle58971121[[#This Row],[Durchschnittsauslastung durch]]*Tabelle58971121[[#This Row],[installierte Leistung MW durch]]</f>
        <v>0</v>
      </c>
      <c r="EH95" s="49">
        <f>Tabelle58971121[[#This Row],[Durchschnittsauslastung max]]*Tabelle58971121[[#This Row],[installierte Leistung MW max]]</f>
        <v>0</v>
      </c>
      <c r="EI95" s="91">
        <f>Tabelle58971121[[#This Row],[Maximalauslastung durch]]*Tabelle58971121[[#This Row],[installierte Leistung MW min]]</f>
        <v>590.08499999999992</v>
      </c>
      <c r="EJ95" s="49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8"/>
      <c r="EZ95" s="68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1119</v>
      </c>
      <c r="FW95" s="1" t="s">
        <v>1119</v>
      </c>
      <c r="FX95" s="1" t="s">
        <v>1119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816</v>
      </c>
      <c r="GW95" s="13" t="s">
        <v>816</v>
      </c>
      <c r="GX95" s="13" t="s">
        <v>816</v>
      </c>
      <c r="GY95" s="13"/>
      <c r="GZ95" s="13" t="s">
        <v>816</v>
      </c>
      <c r="HA95" s="13" t="s">
        <v>816</v>
      </c>
      <c r="HB95" s="13" t="s">
        <v>816</v>
      </c>
      <c r="HC95" s="13" t="s">
        <v>816</v>
      </c>
      <c r="HD95" s="13" t="s">
        <v>816</v>
      </c>
      <c r="HE95" s="13" t="s">
        <v>816</v>
      </c>
      <c r="HF95" s="13" t="s">
        <v>816</v>
      </c>
      <c r="HI95" s="13" t="s">
        <v>816</v>
      </c>
      <c r="HJ95" s="13" t="s">
        <v>816</v>
      </c>
      <c r="HL95" s="13" t="s">
        <v>816</v>
      </c>
    </row>
    <row r="96" spans="1:220" ht="12.75" customHeight="1" x14ac:dyDescent="0.2">
      <c r="A96" s="1" t="s">
        <v>153</v>
      </c>
      <c r="B96" s="1" t="s">
        <v>754</v>
      </c>
      <c r="E96" s="1" t="s">
        <v>142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9">
        <f>Tabelle58971121[[#This Row],[Durchschnittsauslastung min]]*Tabelle58971121[[#This Row],[installierte Leistung MW min]]</f>
        <v>0</v>
      </c>
      <c r="EG96" s="49">
        <f>Tabelle58971121[[#This Row],[Durchschnittsauslastung durch]]*Tabelle58971121[[#This Row],[installierte Leistung MW durch]]</f>
        <v>0</v>
      </c>
      <c r="EH96" s="49">
        <f>Tabelle58971121[[#This Row],[Durchschnittsauslastung max]]*Tabelle58971121[[#This Row],[installierte Leistung MW max]]</f>
        <v>0</v>
      </c>
      <c r="EI96" s="91">
        <f>Tabelle58971121[[#This Row],[Maximalauslastung durch]]*Tabelle58971121[[#This Row],[installierte Leistung MW min]]</f>
        <v>599.60249999999996</v>
      </c>
      <c r="EJ96" s="49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8"/>
      <c r="EZ96" s="68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1119</v>
      </c>
      <c r="FW96" s="1" t="s">
        <v>1119</v>
      </c>
      <c r="FX96" s="1" t="s">
        <v>1119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816</v>
      </c>
      <c r="GW96" s="13" t="s">
        <v>816</v>
      </c>
      <c r="GX96" s="13" t="s">
        <v>816</v>
      </c>
      <c r="GY96" s="13"/>
      <c r="GZ96" s="13" t="s">
        <v>816</v>
      </c>
      <c r="HA96" s="13" t="s">
        <v>816</v>
      </c>
      <c r="HB96" s="13" t="s">
        <v>816</v>
      </c>
      <c r="HC96" s="13" t="s">
        <v>816</v>
      </c>
      <c r="HD96" s="13" t="s">
        <v>816</v>
      </c>
      <c r="HE96" s="13" t="s">
        <v>816</v>
      </c>
      <c r="HF96" s="13" t="s">
        <v>816</v>
      </c>
      <c r="HI96" s="13" t="s">
        <v>816</v>
      </c>
      <c r="HJ96" s="13" t="s">
        <v>816</v>
      </c>
      <c r="HL96" s="13" t="s">
        <v>816</v>
      </c>
    </row>
    <row r="97" spans="1:223" ht="12.75" customHeight="1" x14ac:dyDescent="0.2">
      <c r="A97" s="1" t="s">
        <v>153</v>
      </c>
      <c r="B97" s="1" t="s">
        <v>754</v>
      </c>
      <c r="E97" s="1" t="s">
        <v>142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9">
        <f>Tabelle58971121[[#This Row],[Durchschnittsauslastung min]]*Tabelle58971121[[#This Row],[installierte Leistung MW min]]</f>
        <v>0</v>
      </c>
      <c r="EG97" s="49">
        <f>Tabelle58971121[[#This Row],[Durchschnittsauslastung durch]]*Tabelle58971121[[#This Row],[installierte Leistung MW durch]]</f>
        <v>0</v>
      </c>
      <c r="EH97" s="49">
        <f>Tabelle58971121[[#This Row],[Durchschnittsauslastung max]]*Tabelle58971121[[#This Row],[installierte Leistung MW max]]</f>
        <v>0</v>
      </c>
      <c r="EI97" s="91">
        <f>Tabelle58971121[[#This Row],[Maximalauslastung durch]]*Tabelle58971121[[#This Row],[installierte Leistung MW min]]</f>
        <v>599.60249999999996</v>
      </c>
      <c r="EJ97" s="49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8"/>
      <c r="EZ97" s="68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1119</v>
      </c>
      <c r="FW97" s="1" t="s">
        <v>1119</v>
      </c>
      <c r="FX97" s="1" t="s">
        <v>1119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816</v>
      </c>
      <c r="GW97" s="13" t="s">
        <v>816</v>
      </c>
      <c r="GX97" s="13" t="s">
        <v>816</v>
      </c>
      <c r="GY97" s="13"/>
      <c r="GZ97" s="13" t="s">
        <v>816</v>
      </c>
      <c r="HA97" s="13" t="s">
        <v>816</v>
      </c>
      <c r="HB97" s="13" t="s">
        <v>816</v>
      </c>
      <c r="HC97" s="13" t="s">
        <v>816</v>
      </c>
      <c r="HD97" s="13" t="s">
        <v>816</v>
      </c>
      <c r="HE97" s="13" t="s">
        <v>816</v>
      </c>
      <c r="HF97" s="13" t="s">
        <v>816</v>
      </c>
      <c r="HI97" s="13" t="s">
        <v>816</v>
      </c>
      <c r="HJ97" s="13" t="s">
        <v>816</v>
      </c>
      <c r="HL97" s="13" t="s">
        <v>816</v>
      </c>
    </row>
    <row r="98" spans="1:223" s="55" customFormat="1" ht="12.75" customHeight="1" x14ac:dyDescent="0.2">
      <c r="A98" s="1" t="s">
        <v>138</v>
      </c>
      <c r="B98" s="1" t="s">
        <v>755</v>
      </c>
      <c r="C98" s="1"/>
      <c r="D98" s="1"/>
      <c r="E98" s="1" t="s">
        <v>142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9">
        <f>Tabelle58971121[[#This Row],[Durchschnittsauslastung min]]*Tabelle58971121[[#This Row],[installierte Leistung MW min]]</f>
        <v>0</v>
      </c>
      <c r="EG98" s="49">
        <f>Tabelle58971121[[#This Row],[Durchschnittsauslastung durch]]*Tabelle58971121[[#This Row],[installierte Leistung MW durch]]</f>
        <v>0</v>
      </c>
      <c r="EH98" s="49">
        <f>Tabelle58971121[[#This Row],[Durchschnittsauslastung max]]*Tabelle58971121[[#This Row],[installierte Leistung MW max]]</f>
        <v>0</v>
      </c>
      <c r="EI98" s="91">
        <f>Tabelle58971121[[#This Row],[Maximalauslastung durch]]*Tabelle58971121[[#This Row],[installierte Leistung MW min]]</f>
        <v>3593.9700000000003</v>
      </c>
      <c r="EJ98" s="49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816</v>
      </c>
      <c r="GW98" s="13" t="s">
        <v>816</v>
      </c>
      <c r="GX98" s="13" t="s">
        <v>816</v>
      </c>
      <c r="GY98" s="13"/>
      <c r="GZ98" s="13" t="s">
        <v>816</v>
      </c>
      <c r="HA98" s="13" t="s">
        <v>816</v>
      </c>
      <c r="HB98" s="13" t="s">
        <v>816</v>
      </c>
      <c r="HC98" s="13" t="s">
        <v>816</v>
      </c>
      <c r="HD98" s="13" t="s">
        <v>816</v>
      </c>
      <c r="HE98" s="13" t="s">
        <v>816</v>
      </c>
      <c r="HF98" s="13" t="s">
        <v>816</v>
      </c>
      <c r="HG98" s="1"/>
      <c r="HH98" s="1"/>
      <c r="HI98" s="13" t="s">
        <v>816</v>
      </c>
      <c r="HJ98" s="13" t="s">
        <v>816</v>
      </c>
      <c r="HK98" s="1"/>
      <c r="HL98" s="13" t="s">
        <v>816</v>
      </c>
      <c r="HM98" s="1"/>
      <c r="HN98" s="1"/>
      <c r="HO98" s="1"/>
    </row>
    <row r="99" spans="1:223" ht="12.75" customHeight="1" x14ac:dyDescent="0.2">
      <c r="A99" s="1" t="s">
        <v>138</v>
      </c>
      <c r="B99" s="1" t="s">
        <v>755</v>
      </c>
      <c r="E99" s="1" t="s">
        <v>142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9">
        <f>Tabelle58971121[[#This Row],[Durchschnittsauslastung min]]*Tabelle58971121[[#This Row],[installierte Leistung MW min]]</f>
        <v>0</v>
      </c>
      <c r="EG99" s="49">
        <f>Tabelle58971121[[#This Row],[Durchschnittsauslastung durch]]*Tabelle58971121[[#This Row],[installierte Leistung MW durch]]</f>
        <v>0</v>
      </c>
      <c r="EH99" s="49">
        <f>Tabelle58971121[[#This Row],[Durchschnittsauslastung max]]*Tabelle58971121[[#This Row],[installierte Leistung MW max]]</f>
        <v>0</v>
      </c>
      <c r="EI99" s="91">
        <f>Tabelle58971121[[#This Row],[Maximalauslastung durch]]*Tabelle58971121[[#This Row],[installierte Leistung MW min]]</f>
        <v>3629.9097000000002</v>
      </c>
      <c r="EJ99" s="49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816</v>
      </c>
      <c r="GW99" s="13" t="s">
        <v>816</v>
      </c>
      <c r="GX99" s="13" t="s">
        <v>816</v>
      </c>
      <c r="GY99" s="13"/>
      <c r="GZ99" s="13" t="s">
        <v>816</v>
      </c>
      <c r="HA99" s="13" t="s">
        <v>816</v>
      </c>
      <c r="HB99" s="13" t="s">
        <v>816</v>
      </c>
      <c r="HC99" s="13" t="s">
        <v>816</v>
      </c>
      <c r="HD99" s="13" t="s">
        <v>816</v>
      </c>
      <c r="HE99" s="13" t="s">
        <v>816</v>
      </c>
      <c r="HF99" s="13" t="s">
        <v>816</v>
      </c>
      <c r="HI99" s="13" t="s">
        <v>816</v>
      </c>
      <c r="HJ99" s="13" t="s">
        <v>816</v>
      </c>
      <c r="HL99" s="13" t="s">
        <v>816</v>
      </c>
    </row>
    <row r="100" spans="1:223" ht="12.75" customHeight="1" x14ac:dyDescent="0.2">
      <c r="A100" s="1" t="s">
        <v>138</v>
      </c>
      <c r="B100" s="1" t="s">
        <v>755</v>
      </c>
      <c r="E100" s="1" t="s">
        <v>142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9">
        <f>Tabelle58971121[[#This Row],[Durchschnittsauslastung min]]*Tabelle58971121[[#This Row],[installierte Leistung MW min]]</f>
        <v>0</v>
      </c>
      <c r="EG100" s="49">
        <f>Tabelle58971121[[#This Row],[Durchschnittsauslastung durch]]*Tabelle58971121[[#This Row],[installierte Leistung MW durch]]</f>
        <v>0</v>
      </c>
      <c r="EH100" s="49">
        <f>Tabelle58971121[[#This Row],[Durchschnittsauslastung max]]*Tabelle58971121[[#This Row],[installierte Leistung MW max]]</f>
        <v>0</v>
      </c>
      <c r="EI100" s="91">
        <f>Tabelle58971121[[#This Row],[Maximalauslastung durch]]*Tabelle58971121[[#This Row],[installierte Leistung MW min]]</f>
        <v>3701.7891000000004</v>
      </c>
      <c r="EJ100" s="49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816</v>
      </c>
      <c r="GW100" s="13" t="s">
        <v>816</v>
      </c>
      <c r="GX100" s="13" t="s">
        <v>816</v>
      </c>
      <c r="GY100" s="13"/>
      <c r="GZ100" s="13" t="s">
        <v>816</v>
      </c>
      <c r="HA100" s="13" t="s">
        <v>816</v>
      </c>
      <c r="HB100" s="13" t="s">
        <v>816</v>
      </c>
      <c r="HC100" s="13" t="s">
        <v>816</v>
      </c>
      <c r="HD100" s="13" t="s">
        <v>816</v>
      </c>
      <c r="HE100" s="13" t="s">
        <v>816</v>
      </c>
      <c r="HF100" s="13" t="s">
        <v>816</v>
      </c>
      <c r="HI100" s="13" t="s">
        <v>816</v>
      </c>
      <c r="HJ100" s="13" t="s">
        <v>816</v>
      </c>
      <c r="HL100" s="13" t="s">
        <v>816</v>
      </c>
    </row>
    <row r="101" spans="1:223" ht="12.75" customHeight="1" x14ac:dyDescent="0.2">
      <c r="A101" s="1" t="s">
        <v>138</v>
      </c>
      <c r="B101" s="1" t="s">
        <v>755</v>
      </c>
      <c r="E101" s="1" t="s">
        <v>142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9">
        <f>Tabelle58971121[[#This Row],[Durchschnittsauslastung min]]*Tabelle58971121[[#This Row],[installierte Leistung MW min]]</f>
        <v>0</v>
      </c>
      <c r="EG101" s="49">
        <f>Tabelle58971121[[#This Row],[Durchschnittsauslastung durch]]*Tabelle58971121[[#This Row],[installierte Leistung MW durch]]</f>
        <v>0</v>
      </c>
      <c r="EH101" s="49">
        <f>Tabelle58971121[[#This Row],[Durchschnittsauslastung max]]*Tabelle58971121[[#This Row],[installierte Leistung MW max]]</f>
        <v>0</v>
      </c>
      <c r="EI101" s="91">
        <f>Tabelle58971121[[#This Row],[Maximalauslastung durch]]*Tabelle58971121[[#This Row],[installierte Leistung MW min]]</f>
        <v>3737.7288000000003</v>
      </c>
      <c r="EJ101" s="49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816</v>
      </c>
      <c r="GW101" s="13" t="s">
        <v>816</v>
      </c>
      <c r="GX101" s="13" t="s">
        <v>816</v>
      </c>
      <c r="GY101" s="13"/>
      <c r="GZ101" s="13" t="s">
        <v>816</v>
      </c>
      <c r="HA101" s="13" t="s">
        <v>816</v>
      </c>
      <c r="HB101" s="13" t="s">
        <v>816</v>
      </c>
      <c r="HC101" s="13" t="s">
        <v>816</v>
      </c>
      <c r="HD101" s="13" t="s">
        <v>816</v>
      </c>
      <c r="HE101" s="13" t="s">
        <v>816</v>
      </c>
      <c r="HF101" s="13" t="s">
        <v>816</v>
      </c>
      <c r="HI101" s="13" t="s">
        <v>816</v>
      </c>
      <c r="HJ101" s="13" t="s">
        <v>816</v>
      </c>
      <c r="HL101" s="13" t="s">
        <v>816</v>
      </c>
    </row>
    <row r="102" spans="1:223" ht="12.75" customHeight="1" x14ac:dyDescent="0.2">
      <c r="A102" s="1" t="s">
        <v>138</v>
      </c>
      <c r="B102" s="1" t="s">
        <v>755</v>
      </c>
      <c r="E102" s="1" t="s">
        <v>142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9">
        <f>Tabelle58971121[[#This Row],[Durchschnittsauslastung min]]*Tabelle58971121[[#This Row],[installierte Leistung MW min]]</f>
        <v>0</v>
      </c>
      <c r="EG102" s="49">
        <f>Tabelle58971121[[#This Row],[Durchschnittsauslastung durch]]*Tabelle58971121[[#This Row],[installierte Leistung MW durch]]</f>
        <v>0</v>
      </c>
      <c r="EH102" s="49">
        <f>Tabelle58971121[[#This Row],[Durchschnittsauslastung max]]*Tabelle58971121[[#This Row],[installierte Leistung MW max]]</f>
        <v>0</v>
      </c>
      <c r="EI102" s="91">
        <f>Tabelle58971121[[#This Row],[Maximalauslastung durch]]*Tabelle58971121[[#This Row],[installierte Leistung MW min]]</f>
        <v>3234.5730000000003</v>
      </c>
      <c r="EJ102" s="49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816</v>
      </c>
      <c r="GW102" s="13" t="s">
        <v>816</v>
      </c>
      <c r="GX102" s="13" t="s">
        <v>816</v>
      </c>
      <c r="GY102" s="13"/>
      <c r="GZ102" s="13" t="s">
        <v>816</v>
      </c>
      <c r="HA102" s="13" t="s">
        <v>816</v>
      </c>
      <c r="HB102" s="13" t="s">
        <v>816</v>
      </c>
      <c r="HC102" s="13" t="s">
        <v>816</v>
      </c>
      <c r="HD102" s="13" t="s">
        <v>816</v>
      </c>
      <c r="HE102" s="13" t="s">
        <v>816</v>
      </c>
      <c r="HF102" s="13" t="s">
        <v>816</v>
      </c>
      <c r="HI102" s="13" t="s">
        <v>816</v>
      </c>
      <c r="HJ102" s="13" t="s">
        <v>816</v>
      </c>
      <c r="HL102" s="13" t="s">
        <v>816</v>
      </c>
    </row>
    <row r="103" spans="1:223" x14ac:dyDescent="0.2">
      <c r="A103" s="1" t="s">
        <v>138</v>
      </c>
      <c r="B103" s="1" t="s">
        <v>755</v>
      </c>
      <c r="E103" s="1" t="s">
        <v>142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9">
        <f>Tabelle58971121[[#This Row],[Durchschnittsauslastung min]]*Tabelle58971121[[#This Row],[installierte Leistung MW min]]</f>
        <v>0</v>
      </c>
      <c r="EG103" s="49">
        <f>Tabelle58971121[[#This Row],[Durchschnittsauslastung durch]]*Tabelle58971121[[#This Row],[installierte Leistung MW durch]]</f>
        <v>0</v>
      </c>
      <c r="EH103" s="49">
        <f>Tabelle58971121[[#This Row],[Durchschnittsauslastung max]]*Tabelle58971121[[#This Row],[installierte Leistung MW max]]</f>
        <v>0</v>
      </c>
      <c r="EI103" s="91">
        <f>Tabelle58971121[[#This Row],[Maximalauslastung durch]]*Tabelle58971121[[#This Row],[installierte Leistung MW min]]</f>
        <v>2767.3569000000002</v>
      </c>
      <c r="EJ103" s="49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816</v>
      </c>
      <c r="GW103" s="13" t="s">
        <v>816</v>
      </c>
      <c r="GX103" s="13" t="s">
        <v>816</v>
      </c>
      <c r="GY103" s="13"/>
      <c r="GZ103" s="13" t="s">
        <v>816</v>
      </c>
      <c r="HA103" s="13" t="s">
        <v>816</v>
      </c>
      <c r="HB103" s="13" t="s">
        <v>816</v>
      </c>
      <c r="HC103" s="13" t="s">
        <v>816</v>
      </c>
      <c r="HD103" s="13" t="s">
        <v>816</v>
      </c>
      <c r="HE103" s="13" t="s">
        <v>816</v>
      </c>
      <c r="HF103" s="13" t="s">
        <v>816</v>
      </c>
      <c r="HI103" s="13" t="s">
        <v>816</v>
      </c>
      <c r="HJ103" s="13" t="s">
        <v>816</v>
      </c>
      <c r="HL103" s="13" t="s">
        <v>816</v>
      </c>
    </row>
    <row r="104" spans="1:223" ht="12.75" customHeight="1" x14ac:dyDescent="0.2">
      <c r="A104" s="1" t="s">
        <v>138</v>
      </c>
      <c r="B104" s="1" t="s">
        <v>755</v>
      </c>
      <c r="E104" s="1" t="s">
        <v>142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9">
        <f>Tabelle58971121[[#This Row],[Durchschnittsauslastung min]]*Tabelle58971121[[#This Row],[installierte Leistung MW min]]</f>
        <v>0</v>
      </c>
      <c r="EG104" s="49">
        <f>Tabelle58971121[[#This Row],[Durchschnittsauslastung durch]]*Tabelle58971121[[#This Row],[installierte Leistung MW durch]]</f>
        <v>0</v>
      </c>
      <c r="EH104" s="49">
        <f>Tabelle58971121[[#This Row],[Durchschnittsauslastung max]]*Tabelle58971121[[#This Row],[installierte Leistung MW max]]</f>
        <v>0</v>
      </c>
      <c r="EI104" s="91">
        <f>Tabelle58971121[[#This Row],[Maximalauslastung durch]]*Tabelle58971121[[#This Row],[installierte Leistung MW min]]</f>
        <v>2407.9599000000003</v>
      </c>
      <c r="EJ104" s="49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816</v>
      </c>
      <c r="GW104" s="13" t="s">
        <v>816</v>
      </c>
      <c r="GX104" s="13" t="s">
        <v>816</v>
      </c>
      <c r="GY104" s="13"/>
      <c r="GZ104" s="13" t="s">
        <v>816</v>
      </c>
      <c r="HA104" s="13" t="s">
        <v>816</v>
      </c>
      <c r="HB104" s="13" t="s">
        <v>816</v>
      </c>
      <c r="HC104" s="13" t="s">
        <v>816</v>
      </c>
      <c r="HD104" s="13" t="s">
        <v>816</v>
      </c>
      <c r="HE104" s="13" t="s">
        <v>816</v>
      </c>
      <c r="HF104" s="13" t="s">
        <v>816</v>
      </c>
      <c r="HI104" s="13" t="s">
        <v>816</v>
      </c>
      <c r="HJ104" s="13" t="s">
        <v>816</v>
      </c>
      <c r="HL104" s="13" t="s">
        <v>816</v>
      </c>
    </row>
    <row r="105" spans="1:223" ht="12.75" customHeight="1" x14ac:dyDescent="0.2">
      <c r="A105" s="1" t="s">
        <v>138</v>
      </c>
      <c r="B105" s="1" t="s">
        <v>755</v>
      </c>
      <c r="E105" s="1" t="s">
        <v>142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9">
        <f>Tabelle58971121[[#This Row],[Durchschnittsauslastung min]]*Tabelle58971121[[#This Row],[installierte Leistung MW min]]</f>
        <v>0</v>
      </c>
      <c r="EG105" s="49">
        <f>Tabelle58971121[[#This Row],[Durchschnittsauslastung durch]]*Tabelle58971121[[#This Row],[installierte Leistung MW durch]]</f>
        <v>0</v>
      </c>
      <c r="EH105" s="49">
        <f>Tabelle58971121[[#This Row],[Durchschnittsauslastung max]]*Tabelle58971121[[#This Row],[installierte Leistung MW max]]</f>
        <v>0</v>
      </c>
      <c r="EI105" s="91">
        <f>Tabelle58971121[[#This Row],[Maximalauslastung durch]]*Tabelle58971121[[#This Row],[installierte Leistung MW min]]</f>
        <v>2084.5026000000003</v>
      </c>
      <c r="EJ105" s="49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816</v>
      </c>
      <c r="GW105" s="13" t="s">
        <v>816</v>
      </c>
      <c r="GX105" s="13" t="s">
        <v>816</v>
      </c>
      <c r="GY105" s="13"/>
      <c r="GZ105" s="13" t="s">
        <v>816</v>
      </c>
      <c r="HA105" s="13" t="s">
        <v>816</v>
      </c>
      <c r="HB105" s="13" t="s">
        <v>816</v>
      </c>
      <c r="HC105" s="13" t="s">
        <v>816</v>
      </c>
      <c r="HD105" s="13" t="s">
        <v>816</v>
      </c>
      <c r="HE105" s="13" t="s">
        <v>816</v>
      </c>
      <c r="HF105" s="13" t="s">
        <v>816</v>
      </c>
      <c r="HI105" s="13" t="s">
        <v>816</v>
      </c>
      <c r="HJ105" s="13" t="s">
        <v>816</v>
      </c>
      <c r="HL105" s="13" t="s">
        <v>816</v>
      </c>
    </row>
    <row r="106" spans="1:223" ht="12.75" customHeight="1" x14ac:dyDescent="0.2">
      <c r="A106" s="1" t="s">
        <v>132</v>
      </c>
      <c r="B106" s="1" t="s">
        <v>756</v>
      </c>
      <c r="E106" s="1" t="s">
        <v>142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9">
        <f>Tabelle58971121[[#This Row],[Durchschnittsauslastung min]]*Tabelle58971121[[#This Row],[installierte Leistung MW min]]</f>
        <v>0</v>
      </c>
      <c r="EG106" s="49">
        <f>Tabelle58971121[[#This Row],[Durchschnittsauslastung durch]]*Tabelle58971121[[#This Row],[installierte Leistung MW durch]]</f>
        <v>0</v>
      </c>
      <c r="EH106" s="49">
        <f>Tabelle58971121[[#This Row],[Durchschnittsauslastung max]]*Tabelle58971121[[#This Row],[installierte Leistung MW max]]</f>
        <v>0</v>
      </c>
      <c r="EI106" s="91">
        <f>Tabelle58971121[[#This Row],[Maximalauslastung durch]]*Tabelle58971121[[#This Row],[installierte Leistung MW min]]</f>
        <v>924.16800000000001</v>
      </c>
      <c r="EJ106" s="49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1119</v>
      </c>
      <c r="FQ106" s="1" t="s">
        <v>1119</v>
      </c>
      <c r="FR106" s="1" t="s">
        <v>1119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816</v>
      </c>
      <c r="GW106" s="13" t="s">
        <v>816</v>
      </c>
      <c r="GX106" s="13" t="s">
        <v>816</v>
      </c>
      <c r="GY106" s="13"/>
      <c r="GZ106" s="13" t="s">
        <v>816</v>
      </c>
      <c r="HA106" s="13" t="s">
        <v>816</v>
      </c>
      <c r="HB106" s="13" t="s">
        <v>816</v>
      </c>
      <c r="HC106" s="13" t="s">
        <v>816</v>
      </c>
      <c r="HD106" s="13" t="s">
        <v>816</v>
      </c>
      <c r="HE106" s="13" t="s">
        <v>816</v>
      </c>
      <c r="HF106" s="13" t="s">
        <v>816</v>
      </c>
      <c r="HI106" s="13" t="s">
        <v>816</v>
      </c>
      <c r="HJ106" s="13" t="s">
        <v>816</v>
      </c>
      <c r="HL106" s="13" t="s">
        <v>816</v>
      </c>
    </row>
    <row r="107" spans="1:223" ht="12.75" customHeight="1" x14ac:dyDescent="0.2">
      <c r="A107" s="1" t="s">
        <v>132</v>
      </c>
      <c r="B107" s="1" t="s">
        <v>756</v>
      </c>
      <c r="E107" s="1" t="s">
        <v>142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9">
        <f>Tabelle58971121[[#This Row],[Durchschnittsauslastung min]]*Tabelle58971121[[#This Row],[installierte Leistung MW min]]</f>
        <v>0</v>
      </c>
      <c r="EG107" s="49">
        <f>Tabelle58971121[[#This Row],[Durchschnittsauslastung durch]]*Tabelle58971121[[#This Row],[installierte Leistung MW durch]]</f>
        <v>0</v>
      </c>
      <c r="EH107" s="49">
        <f>Tabelle58971121[[#This Row],[Durchschnittsauslastung max]]*Tabelle58971121[[#This Row],[installierte Leistung MW max]]</f>
        <v>0</v>
      </c>
      <c r="EI107" s="91">
        <f>Tabelle58971121[[#This Row],[Maximalauslastung durch]]*Tabelle58971121[[#This Row],[installierte Leistung MW min]]</f>
        <v>804.02616</v>
      </c>
      <c r="EJ107" s="49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1119</v>
      </c>
      <c r="FQ107" s="1" t="s">
        <v>1119</v>
      </c>
      <c r="FR107" s="1" t="s">
        <v>1119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816</v>
      </c>
      <c r="GW107" s="13" t="s">
        <v>816</v>
      </c>
      <c r="GX107" s="13" t="s">
        <v>816</v>
      </c>
      <c r="GY107" s="13"/>
      <c r="GZ107" s="13" t="s">
        <v>816</v>
      </c>
      <c r="HA107" s="13" t="s">
        <v>816</v>
      </c>
      <c r="HB107" s="13" t="s">
        <v>816</v>
      </c>
      <c r="HC107" s="13" t="s">
        <v>816</v>
      </c>
      <c r="HD107" s="13" t="s">
        <v>816</v>
      </c>
      <c r="HE107" s="13" t="s">
        <v>816</v>
      </c>
      <c r="HF107" s="13" t="s">
        <v>816</v>
      </c>
      <c r="HI107" s="13" t="s">
        <v>816</v>
      </c>
      <c r="HJ107" s="13" t="s">
        <v>816</v>
      </c>
      <c r="HL107" s="13" t="s">
        <v>816</v>
      </c>
    </row>
    <row r="108" spans="1:223" ht="12.75" customHeight="1" x14ac:dyDescent="0.2">
      <c r="A108" s="1" t="s">
        <v>132</v>
      </c>
      <c r="B108" s="1" t="s">
        <v>756</v>
      </c>
      <c r="E108" s="1" t="s">
        <v>142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9">
        <f>Tabelle58971121[[#This Row],[Durchschnittsauslastung min]]*Tabelle58971121[[#This Row],[installierte Leistung MW min]]</f>
        <v>0</v>
      </c>
      <c r="EG108" s="49">
        <f>Tabelle58971121[[#This Row],[Durchschnittsauslastung durch]]*Tabelle58971121[[#This Row],[installierte Leistung MW durch]]</f>
        <v>0</v>
      </c>
      <c r="EH108" s="49">
        <f>Tabelle58971121[[#This Row],[Durchschnittsauslastung max]]*Tabelle58971121[[#This Row],[installierte Leistung MW max]]</f>
        <v>0</v>
      </c>
      <c r="EI108" s="91">
        <f>Tabelle58971121[[#This Row],[Maximalauslastung durch]]*Tabelle58971121[[#This Row],[installierte Leistung MW min]]</f>
        <v>693.12599999999998</v>
      </c>
      <c r="EJ108" s="49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1119</v>
      </c>
      <c r="FQ108" s="1" t="s">
        <v>1119</v>
      </c>
      <c r="FR108" s="1" t="s">
        <v>1119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816</v>
      </c>
      <c r="GW108" s="13" t="s">
        <v>816</v>
      </c>
      <c r="GX108" s="13" t="s">
        <v>816</v>
      </c>
      <c r="GY108" s="13"/>
      <c r="GZ108" s="13" t="s">
        <v>816</v>
      </c>
      <c r="HA108" s="13" t="s">
        <v>816</v>
      </c>
      <c r="HB108" s="13" t="s">
        <v>816</v>
      </c>
      <c r="HC108" s="13" t="s">
        <v>816</v>
      </c>
      <c r="HD108" s="13" t="s">
        <v>816</v>
      </c>
      <c r="HE108" s="13" t="s">
        <v>816</v>
      </c>
      <c r="HF108" s="13" t="s">
        <v>816</v>
      </c>
      <c r="HI108" s="13" t="s">
        <v>816</v>
      </c>
      <c r="HJ108" s="13" t="s">
        <v>816</v>
      </c>
      <c r="HL108" s="13" t="s">
        <v>816</v>
      </c>
    </row>
    <row r="109" spans="1:223" ht="12.75" customHeight="1" x14ac:dyDescent="0.2">
      <c r="A109" s="1" t="s">
        <v>132</v>
      </c>
      <c r="B109" s="1" t="s">
        <v>756</v>
      </c>
      <c r="E109" s="1" t="s">
        <v>142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9">
        <f>Tabelle58971121[[#This Row],[Durchschnittsauslastung min]]*Tabelle58971121[[#This Row],[installierte Leistung MW min]]</f>
        <v>0</v>
      </c>
      <c r="EG109" s="49">
        <f>Tabelle58971121[[#This Row],[Durchschnittsauslastung durch]]*Tabelle58971121[[#This Row],[installierte Leistung MW durch]]</f>
        <v>0</v>
      </c>
      <c r="EH109" s="49">
        <f>Tabelle58971121[[#This Row],[Durchschnittsauslastung max]]*Tabelle58971121[[#This Row],[installierte Leistung MW max]]</f>
        <v>0</v>
      </c>
      <c r="EI109" s="91">
        <f>Tabelle58971121[[#This Row],[Maximalauslastung durch]]*Tabelle58971121[[#This Row],[installierte Leistung MW min]]</f>
        <v>600.70920000000001</v>
      </c>
      <c r="EJ109" s="49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1119</v>
      </c>
      <c r="FQ109" s="1" t="s">
        <v>1119</v>
      </c>
      <c r="FR109" s="1" t="s">
        <v>1119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816</v>
      </c>
      <c r="GW109" s="13" t="s">
        <v>816</v>
      </c>
      <c r="GX109" s="13" t="s">
        <v>816</v>
      </c>
      <c r="GY109" s="13"/>
      <c r="GZ109" s="13" t="s">
        <v>816</v>
      </c>
      <c r="HA109" s="13" t="s">
        <v>816</v>
      </c>
      <c r="HB109" s="13" t="s">
        <v>816</v>
      </c>
      <c r="HC109" s="13" t="s">
        <v>816</v>
      </c>
      <c r="HD109" s="13" t="s">
        <v>816</v>
      </c>
      <c r="HE109" s="13" t="s">
        <v>816</v>
      </c>
      <c r="HF109" s="13" t="s">
        <v>816</v>
      </c>
      <c r="HI109" s="13" t="s">
        <v>816</v>
      </c>
      <c r="HJ109" s="13" t="s">
        <v>816</v>
      </c>
      <c r="HL109" s="13" t="s">
        <v>816</v>
      </c>
    </row>
    <row r="110" spans="1:223" ht="12.75" customHeight="1" x14ac:dyDescent="0.2">
      <c r="A110" s="1" t="s">
        <v>132</v>
      </c>
      <c r="B110" s="1" t="s">
        <v>756</v>
      </c>
      <c r="E110" s="1" t="s">
        <v>142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9">
        <f>Tabelle58971121[[#This Row],[Durchschnittsauslastung min]]*Tabelle58971121[[#This Row],[installierte Leistung MW min]]</f>
        <v>0</v>
      </c>
      <c r="EG110" s="49">
        <f>Tabelle58971121[[#This Row],[Durchschnittsauslastung durch]]*Tabelle58971121[[#This Row],[installierte Leistung MW durch]]</f>
        <v>0</v>
      </c>
      <c r="EH110" s="49">
        <f>Tabelle58971121[[#This Row],[Durchschnittsauslastung max]]*Tabelle58971121[[#This Row],[installierte Leistung MW max]]</f>
        <v>0</v>
      </c>
      <c r="EI110" s="91">
        <f>Tabelle58971121[[#This Row],[Maximalauslastung durch]]*Tabelle58971121[[#This Row],[installierte Leistung MW min]]</f>
        <v>572.98416000000009</v>
      </c>
      <c r="EJ110" s="49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1119</v>
      </c>
      <c r="FQ110" s="1" t="s">
        <v>1119</v>
      </c>
      <c r="FR110" s="1" t="s">
        <v>1119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816</v>
      </c>
      <c r="GW110" s="13" t="s">
        <v>816</v>
      </c>
      <c r="GX110" s="13" t="s">
        <v>816</v>
      </c>
      <c r="GY110" s="13"/>
      <c r="GZ110" s="13" t="s">
        <v>816</v>
      </c>
      <c r="HA110" s="13" t="s">
        <v>816</v>
      </c>
      <c r="HB110" s="13" t="s">
        <v>816</v>
      </c>
      <c r="HC110" s="13" t="s">
        <v>816</v>
      </c>
      <c r="HD110" s="13" t="s">
        <v>816</v>
      </c>
      <c r="HE110" s="13" t="s">
        <v>816</v>
      </c>
      <c r="HF110" s="13" t="s">
        <v>816</v>
      </c>
      <c r="HI110" s="13" t="s">
        <v>816</v>
      </c>
      <c r="HJ110" s="13" t="s">
        <v>816</v>
      </c>
      <c r="HL110" s="13" t="s">
        <v>816</v>
      </c>
    </row>
    <row r="111" spans="1:223" ht="12.75" customHeight="1" x14ac:dyDescent="0.2">
      <c r="A111" s="1" t="s">
        <v>132</v>
      </c>
      <c r="B111" s="1" t="s">
        <v>756</v>
      </c>
      <c r="E111" s="1" t="s">
        <v>142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9">
        <f>Tabelle58971121[[#This Row],[Durchschnittsauslastung min]]*Tabelle58971121[[#This Row],[installierte Leistung MW min]]</f>
        <v>0</v>
      </c>
      <c r="EG111" s="49">
        <f>Tabelle58971121[[#This Row],[Durchschnittsauslastung durch]]*Tabelle58971121[[#This Row],[installierte Leistung MW durch]]</f>
        <v>0</v>
      </c>
      <c r="EH111" s="49">
        <f>Tabelle58971121[[#This Row],[Durchschnittsauslastung max]]*Tabelle58971121[[#This Row],[installierte Leistung MW max]]</f>
        <v>0</v>
      </c>
      <c r="EI111" s="91">
        <f>Tabelle58971121[[#This Row],[Maximalauslastung durch]]*Tabelle58971121[[#This Row],[installierte Leistung MW min]]</f>
        <v>536.01743999999997</v>
      </c>
      <c r="EJ111" s="49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1119</v>
      </c>
      <c r="FQ111" s="1" t="s">
        <v>1119</v>
      </c>
      <c r="FR111" s="1" t="s">
        <v>1119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816</v>
      </c>
      <c r="GW111" s="13" t="s">
        <v>816</v>
      </c>
      <c r="GX111" s="13" t="s">
        <v>816</v>
      </c>
      <c r="GY111" s="13"/>
      <c r="GZ111" s="13" t="s">
        <v>816</v>
      </c>
      <c r="HA111" s="13" t="s">
        <v>816</v>
      </c>
      <c r="HB111" s="13" t="s">
        <v>816</v>
      </c>
      <c r="HC111" s="13" t="s">
        <v>816</v>
      </c>
      <c r="HD111" s="13" t="s">
        <v>816</v>
      </c>
      <c r="HE111" s="13" t="s">
        <v>816</v>
      </c>
      <c r="HF111" s="13" t="s">
        <v>816</v>
      </c>
      <c r="HI111" s="13" t="s">
        <v>816</v>
      </c>
      <c r="HJ111" s="13" t="s">
        <v>816</v>
      </c>
      <c r="HL111" s="13" t="s">
        <v>816</v>
      </c>
    </row>
    <row r="112" spans="1:223" ht="12.75" customHeight="1" x14ac:dyDescent="0.2">
      <c r="A112" s="1" t="s">
        <v>132</v>
      </c>
      <c r="B112" s="1" t="s">
        <v>756</v>
      </c>
      <c r="E112" s="1" t="s">
        <v>142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9">
        <f>Tabelle58971121[[#This Row],[Durchschnittsauslastung min]]*Tabelle58971121[[#This Row],[installierte Leistung MW min]]</f>
        <v>0</v>
      </c>
      <c r="EG112" s="49">
        <f>Tabelle58971121[[#This Row],[Durchschnittsauslastung durch]]*Tabelle58971121[[#This Row],[installierte Leistung MW durch]]</f>
        <v>0</v>
      </c>
      <c r="EH112" s="49">
        <f>Tabelle58971121[[#This Row],[Durchschnittsauslastung max]]*Tabelle58971121[[#This Row],[installierte Leistung MW max]]</f>
        <v>0</v>
      </c>
      <c r="EI112" s="91">
        <f>Tabelle58971121[[#This Row],[Maximalauslastung durch]]*Tabelle58971121[[#This Row],[installierte Leistung MW min]]</f>
        <v>508.29239999999999</v>
      </c>
      <c r="EJ112" s="49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1119</v>
      </c>
      <c r="FQ112" s="1" t="s">
        <v>1119</v>
      </c>
      <c r="FR112" s="1" t="s">
        <v>1119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816</v>
      </c>
      <c r="GW112" s="13" t="s">
        <v>816</v>
      </c>
      <c r="GX112" s="13" t="s">
        <v>816</v>
      </c>
      <c r="GY112" s="13"/>
      <c r="GZ112" s="13" t="s">
        <v>816</v>
      </c>
      <c r="HA112" s="13" t="s">
        <v>816</v>
      </c>
      <c r="HB112" s="13" t="s">
        <v>816</v>
      </c>
      <c r="HC112" s="13" t="s">
        <v>816</v>
      </c>
      <c r="HD112" s="13" t="s">
        <v>816</v>
      </c>
      <c r="HE112" s="13" t="s">
        <v>816</v>
      </c>
      <c r="HF112" s="13" t="s">
        <v>816</v>
      </c>
      <c r="HI112" s="13" t="s">
        <v>816</v>
      </c>
      <c r="HJ112" s="13" t="s">
        <v>816</v>
      </c>
      <c r="HL112" s="13" t="s">
        <v>816</v>
      </c>
    </row>
    <row r="113" spans="1:220" ht="12.75" customHeight="1" x14ac:dyDescent="0.2">
      <c r="A113" s="1" t="s">
        <v>132</v>
      </c>
      <c r="B113" s="1" t="s">
        <v>756</v>
      </c>
      <c r="E113" s="1" t="s">
        <v>142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9">
        <f>Tabelle58971121[[#This Row],[Durchschnittsauslastung min]]*Tabelle58971121[[#This Row],[installierte Leistung MW min]]</f>
        <v>0</v>
      </c>
      <c r="EG113" s="49">
        <f>Tabelle58971121[[#This Row],[Durchschnittsauslastung durch]]*Tabelle58971121[[#This Row],[installierte Leistung MW durch]]</f>
        <v>0</v>
      </c>
      <c r="EH113" s="49">
        <f>Tabelle58971121[[#This Row],[Durchschnittsauslastung max]]*Tabelle58971121[[#This Row],[installierte Leistung MW max]]</f>
        <v>0</v>
      </c>
      <c r="EI113" s="91">
        <f>Tabelle58971121[[#This Row],[Maximalauslastung durch]]*Tabelle58971121[[#This Row],[installierte Leistung MW min]]</f>
        <v>471.32568000000003</v>
      </c>
      <c r="EJ113" s="49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1119</v>
      </c>
      <c r="FQ113" s="1" t="s">
        <v>1119</v>
      </c>
      <c r="FR113" s="1" t="s">
        <v>1119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816</v>
      </c>
      <c r="GW113" s="13" t="s">
        <v>816</v>
      </c>
      <c r="GX113" s="13" t="s">
        <v>816</v>
      </c>
      <c r="GY113" s="13"/>
      <c r="GZ113" s="13" t="s">
        <v>816</v>
      </c>
      <c r="HA113" s="13" t="s">
        <v>816</v>
      </c>
      <c r="HB113" s="13" t="s">
        <v>816</v>
      </c>
      <c r="HC113" s="13" t="s">
        <v>816</v>
      </c>
      <c r="HD113" s="13" t="s">
        <v>816</v>
      </c>
      <c r="HE113" s="13" t="s">
        <v>816</v>
      </c>
      <c r="HF113" s="13" t="s">
        <v>816</v>
      </c>
      <c r="HI113" s="13" t="s">
        <v>816</v>
      </c>
      <c r="HJ113" s="13" t="s">
        <v>816</v>
      </c>
      <c r="HL113" s="13" t="s">
        <v>816</v>
      </c>
    </row>
    <row r="114" spans="1:220" ht="12.75" customHeight="1" x14ac:dyDescent="0.2">
      <c r="A114" s="1" t="s">
        <v>137</v>
      </c>
      <c r="B114" s="1" t="s">
        <v>758</v>
      </c>
      <c r="E114" s="1" t="s">
        <v>142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9">
        <f>Tabelle58971121[[#This Row],[Durchschnittsauslastung min]]*Tabelle58971121[[#This Row],[installierte Leistung MW min]]</f>
        <v>0</v>
      </c>
      <c r="EG114" s="49">
        <f>Tabelle58971121[[#This Row],[Durchschnittsauslastung durch]]*Tabelle58971121[[#This Row],[installierte Leistung MW durch]]</f>
        <v>0</v>
      </c>
      <c r="EH114" s="49">
        <f>Tabelle58971121[[#This Row],[Durchschnittsauslastung max]]*Tabelle58971121[[#This Row],[installierte Leistung MW max]]</f>
        <v>0</v>
      </c>
      <c r="EI114" s="91">
        <f>Tabelle58971121[[#This Row],[Maximalauslastung durch]]*Tabelle58971121[[#This Row],[installierte Leistung MW min]]</f>
        <v>1140.75</v>
      </c>
      <c r="EJ114" s="49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816</v>
      </c>
      <c r="GW114" s="13" t="s">
        <v>816</v>
      </c>
      <c r="GX114" s="13" t="s">
        <v>816</v>
      </c>
      <c r="GY114" s="13"/>
      <c r="GZ114" s="13" t="s">
        <v>816</v>
      </c>
      <c r="HA114" s="13" t="s">
        <v>816</v>
      </c>
      <c r="HB114" s="13" t="s">
        <v>816</v>
      </c>
      <c r="HC114" s="13" t="s">
        <v>816</v>
      </c>
      <c r="HD114" s="13" t="s">
        <v>816</v>
      </c>
      <c r="HE114" s="13" t="s">
        <v>816</v>
      </c>
      <c r="HF114" s="13" t="s">
        <v>816</v>
      </c>
      <c r="HI114" s="13" t="s">
        <v>816</v>
      </c>
      <c r="HJ114" s="13" t="s">
        <v>816</v>
      </c>
      <c r="HL114" s="13" t="s">
        <v>816</v>
      </c>
    </row>
    <row r="115" spans="1:220" ht="12.75" customHeight="1" x14ac:dyDescent="0.2">
      <c r="A115" s="1" t="s">
        <v>137</v>
      </c>
      <c r="B115" s="1" t="s">
        <v>758</v>
      </c>
      <c r="E115" s="1" t="s">
        <v>142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9">
        <f>Tabelle58971121[[#This Row],[Durchschnittsauslastung min]]*Tabelle58971121[[#This Row],[installierte Leistung MW min]]</f>
        <v>0</v>
      </c>
      <c r="EG115" s="49">
        <f>Tabelle58971121[[#This Row],[Durchschnittsauslastung durch]]*Tabelle58971121[[#This Row],[installierte Leistung MW durch]]</f>
        <v>0</v>
      </c>
      <c r="EH115" s="49">
        <f>Tabelle58971121[[#This Row],[Durchschnittsauslastung max]]*Tabelle58971121[[#This Row],[installierte Leistung MW max]]</f>
        <v>0</v>
      </c>
      <c r="EI115" s="91">
        <f>Tabelle58971121[[#This Row],[Maximalauslastung durch]]*Tabelle58971121[[#This Row],[installierte Leistung MW min]]</f>
        <v>1631.2725</v>
      </c>
      <c r="EJ115" s="49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816</v>
      </c>
      <c r="GW115" s="13" t="s">
        <v>816</v>
      </c>
      <c r="GX115" s="13" t="s">
        <v>816</v>
      </c>
      <c r="GY115" s="13"/>
      <c r="GZ115" s="13" t="s">
        <v>816</v>
      </c>
      <c r="HA115" s="13" t="s">
        <v>816</v>
      </c>
      <c r="HB115" s="13" t="s">
        <v>816</v>
      </c>
      <c r="HC115" s="13" t="s">
        <v>816</v>
      </c>
      <c r="HD115" s="13" t="s">
        <v>816</v>
      </c>
      <c r="HE115" s="13" t="s">
        <v>816</v>
      </c>
      <c r="HF115" s="13" t="s">
        <v>816</v>
      </c>
      <c r="HI115" s="13" t="s">
        <v>816</v>
      </c>
      <c r="HJ115" s="13" t="s">
        <v>816</v>
      </c>
      <c r="HL115" s="13" t="s">
        <v>816</v>
      </c>
    </row>
    <row r="116" spans="1:220" x14ac:dyDescent="0.2">
      <c r="A116" s="1" t="s">
        <v>137</v>
      </c>
      <c r="B116" s="1" t="s">
        <v>758</v>
      </c>
      <c r="E116" s="1" t="s">
        <v>142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9">
        <f>Tabelle58971121[[#This Row],[Durchschnittsauslastung min]]*Tabelle58971121[[#This Row],[installierte Leistung MW min]]</f>
        <v>0</v>
      </c>
      <c r="EG116" s="49">
        <f>Tabelle58971121[[#This Row],[Durchschnittsauslastung durch]]*Tabelle58971121[[#This Row],[installierte Leistung MW durch]]</f>
        <v>0</v>
      </c>
      <c r="EH116" s="49">
        <f>Tabelle58971121[[#This Row],[Durchschnittsauslastung max]]*Tabelle58971121[[#This Row],[installierte Leistung MW max]]</f>
        <v>0</v>
      </c>
      <c r="EI116" s="91">
        <f>Tabelle58971121[[#This Row],[Maximalauslastung durch]]*Tabelle58971121[[#This Row],[installierte Leistung MW min]]</f>
        <v>1722.5325</v>
      </c>
      <c r="EJ116" s="49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816</v>
      </c>
      <c r="GW116" s="13" t="s">
        <v>816</v>
      </c>
      <c r="GX116" s="13" t="s">
        <v>816</v>
      </c>
      <c r="GY116" s="13"/>
      <c r="GZ116" s="13" t="s">
        <v>816</v>
      </c>
      <c r="HA116" s="13" t="s">
        <v>816</v>
      </c>
      <c r="HB116" s="13" t="s">
        <v>816</v>
      </c>
      <c r="HC116" s="13" t="s">
        <v>816</v>
      </c>
      <c r="HD116" s="13" t="s">
        <v>816</v>
      </c>
      <c r="HE116" s="13" t="s">
        <v>816</v>
      </c>
      <c r="HF116" s="13" t="s">
        <v>816</v>
      </c>
      <c r="HI116" s="13" t="s">
        <v>816</v>
      </c>
      <c r="HJ116" s="13" t="s">
        <v>816</v>
      </c>
      <c r="HL116" s="13" t="s">
        <v>816</v>
      </c>
    </row>
    <row r="117" spans="1:220" x14ac:dyDescent="0.2">
      <c r="A117" s="1" t="s">
        <v>137</v>
      </c>
      <c r="B117" s="1" t="s">
        <v>758</v>
      </c>
      <c r="E117" s="1" t="s">
        <v>142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9">
        <f>Tabelle58971121[[#This Row],[Durchschnittsauslastung min]]*Tabelle58971121[[#This Row],[installierte Leistung MW min]]</f>
        <v>0</v>
      </c>
      <c r="EG117" s="49">
        <f>Tabelle58971121[[#This Row],[Durchschnittsauslastung durch]]*Tabelle58971121[[#This Row],[installierte Leistung MW durch]]</f>
        <v>0</v>
      </c>
      <c r="EH117" s="49">
        <f>Tabelle58971121[[#This Row],[Durchschnittsauslastung max]]*Tabelle58971121[[#This Row],[installierte Leistung MW max]]</f>
        <v>0</v>
      </c>
      <c r="EI117" s="91">
        <f>Tabelle58971121[[#This Row],[Maximalauslastung durch]]*Tabelle58971121[[#This Row],[installierte Leistung MW min]]</f>
        <v>1836.6075000000001</v>
      </c>
      <c r="EJ117" s="49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816</v>
      </c>
      <c r="GW117" s="13" t="s">
        <v>816</v>
      </c>
      <c r="GX117" s="13" t="s">
        <v>816</v>
      </c>
      <c r="GY117" s="13"/>
      <c r="GZ117" s="13" t="s">
        <v>816</v>
      </c>
      <c r="HA117" s="13" t="s">
        <v>816</v>
      </c>
      <c r="HB117" s="13" t="s">
        <v>816</v>
      </c>
      <c r="HC117" s="13" t="s">
        <v>816</v>
      </c>
      <c r="HD117" s="13" t="s">
        <v>816</v>
      </c>
      <c r="HE117" s="13" t="s">
        <v>816</v>
      </c>
      <c r="HF117" s="13" t="s">
        <v>816</v>
      </c>
      <c r="HI117" s="13" t="s">
        <v>816</v>
      </c>
      <c r="HJ117" s="13" t="s">
        <v>816</v>
      </c>
      <c r="HL117" s="13" t="s">
        <v>816</v>
      </c>
    </row>
    <row r="118" spans="1:220" x14ac:dyDescent="0.2">
      <c r="A118" s="1" t="s">
        <v>137</v>
      </c>
      <c r="B118" s="1" t="s">
        <v>758</v>
      </c>
      <c r="E118" s="1" t="s">
        <v>142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9">
        <f>Tabelle58971121[[#This Row],[Durchschnittsauslastung min]]*Tabelle58971121[[#This Row],[installierte Leistung MW min]]</f>
        <v>0</v>
      </c>
      <c r="EG118" s="49">
        <f>Tabelle58971121[[#This Row],[Durchschnittsauslastung durch]]*Tabelle58971121[[#This Row],[installierte Leistung MW durch]]</f>
        <v>0</v>
      </c>
      <c r="EH118" s="49">
        <f>Tabelle58971121[[#This Row],[Durchschnittsauslastung max]]*Tabelle58971121[[#This Row],[installierte Leistung MW max]]</f>
        <v>0</v>
      </c>
      <c r="EI118" s="91">
        <f>Tabelle58971121[[#This Row],[Maximalauslastung durch]]*Tabelle58971121[[#This Row],[installierte Leistung MW min]]</f>
        <v>1962.09</v>
      </c>
      <c r="EJ118" s="49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816</v>
      </c>
      <c r="GW118" s="13" t="s">
        <v>816</v>
      </c>
      <c r="GX118" s="13" t="s">
        <v>816</v>
      </c>
      <c r="GY118" s="13"/>
      <c r="GZ118" s="13" t="s">
        <v>816</v>
      </c>
      <c r="HA118" s="13" t="s">
        <v>816</v>
      </c>
      <c r="HB118" s="13" t="s">
        <v>816</v>
      </c>
      <c r="HC118" s="13" t="s">
        <v>816</v>
      </c>
      <c r="HD118" s="13" t="s">
        <v>816</v>
      </c>
      <c r="HE118" s="13" t="s">
        <v>816</v>
      </c>
      <c r="HF118" s="13" t="s">
        <v>816</v>
      </c>
      <c r="HI118" s="13" t="s">
        <v>816</v>
      </c>
      <c r="HJ118" s="13" t="s">
        <v>816</v>
      </c>
      <c r="HL118" s="13" t="s">
        <v>816</v>
      </c>
    </row>
    <row r="119" spans="1:220" ht="12.75" customHeight="1" x14ac:dyDescent="0.2">
      <c r="A119" s="1" t="s">
        <v>137</v>
      </c>
      <c r="B119" s="1" t="s">
        <v>758</v>
      </c>
      <c r="E119" s="1" t="s">
        <v>142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9">
        <f>Tabelle58971121[[#This Row],[Durchschnittsauslastung min]]*Tabelle58971121[[#This Row],[installierte Leistung MW min]]</f>
        <v>0</v>
      </c>
      <c r="EG119" s="49">
        <f>Tabelle58971121[[#This Row],[Durchschnittsauslastung durch]]*Tabelle58971121[[#This Row],[installierte Leistung MW durch]]</f>
        <v>0</v>
      </c>
      <c r="EH119" s="49">
        <f>Tabelle58971121[[#This Row],[Durchschnittsauslastung max]]*Tabelle58971121[[#This Row],[installierte Leistung MW max]]</f>
        <v>0</v>
      </c>
      <c r="EI119" s="91">
        <f>Tabelle58971121[[#This Row],[Maximalauslastung durch]]*Tabelle58971121[[#This Row],[installierte Leistung MW min]]</f>
        <v>2133.2024999999999</v>
      </c>
      <c r="EJ119" s="49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816</v>
      </c>
      <c r="GW119" s="13" t="s">
        <v>816</v>
      </c>
      <c r="GX119" s="13" t="s">
        <v>816</v>
      </c>
      <c r="GY119" s="13"/>
      <c r="GZ119" s="13" t="s">
        <v>816</v>
      </c>
      <c r="HA119" s="13" t="s">
        <v>816</v>
      </c>
      <c r="HB119" s="13" t="s">
        <v>816</v>
      </c>
      <c r="HC119" s="13" t="s">
        <v>816</v>
      </c>
      <c r="HD119" s="13" t="s">
        <v>816</v>
      </c>
      <c r="HE119" s="13" t="s">
        <v>816</v>
      </c>
      <c r="HF119" s="13" t="s">
        <v>816</v>
      </c>
      <c r="HI119" s="13" t="s">
        <v>816</v>
      </c>
      <c r="HJ119" s="13" t="s">
        <v>816</v>
      </c>
      <c r="HL119" s="13" t="s">
        <v>816</v>
      </c>
    </row>
    <row r="120" spans="1:220" ht="12.75" customHeight="1" x14ac:dyDescent="0.2">
      <c r="A120" s="1" t="s">
        <v>137</v>
      </c>
      <c r="B120" s="1" t="s">
        <v>758</v>
      </c>
      <c r="E120" s="1" t="s">
        <v>142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9">
        <f>Tabelle58971121[[#This Row],[Durchschnittsauslastung min]]*Tabelle58971121[[#This Row],[installierte Leistung MW min]]</f>
        <v>0</v>
      </c>
      <c r="EG120" s="49">
        <f>Tabelle58971121[[#This Row],[Durchschnittsauslastung durch]]*Tabelle58971121[[#This Row],[installierte Leistung MW durch]]</f>
        <v>0</v>
      </c>
      <c r="EH120" s="49">
        <f>Tabelle58971121[[#This Row],[Durchschnittsauslastung max]]*Tabelle58971121[[#This Row],[installierte Leistung MW max]]</f>
        <v>0</v>
      </c>
      <c r="EI120" s="91">
        <f>Tabelle58971121[[#This Row],[Maximalauslastung durch]]*Tabelle58971121[[#This Row],[installierte Leistung MW min]]</f>
        <v>2361.3525</v>
      </c>
      <c r="EJ120" s="49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816</v>
      </c>
      <c r="GW120" s="13" t="s">
        <v>816</v>
      </c>
      <c r="GX120" s="13" t="s">
        <v>816</v>
      </c>
      <c r="GY120" s="13"/>
      <c r="GZ120" s="13" t="s">
        <v>816</v>
      </c>
      <c r="HA120" s="13" t="s">
        <v>816</v>
      </c>
      <c r="HB120" s="13" t="s">
        <v>816</v>
      </c>
      <c r="HC120" s="13" t="s">
        <v>816</v>
      </c>
      <c r="HD120" s="13" t="s">
        <v>816</v>
      </c>
      <c r="HE120" s="13" t="s">
        <v>816</v>
      </c>
      <c r="HF120" s="13" t="s">
        <v>816</v>
      </c>
      <c r="HI120" s="13" t="s">
        <v>816</v>
      </c>
      <c r="HJ120" s="13" t="s">
        <v>816</v>
      </c>
      <c r="HL120" s="13" t="s">
        <v>816</v>
      </c>
    </row>
    <row r="121" spans="1:220" ht="12.75" customHeight="1" x14ac:dyDescent="0.2">
      <c r="A121" s="1" t="s">
        <v>137</v>
      </c>
      <c r="B121" s="1" t="s">
        <v>758</v>
      </c>
      <c r="E121" s="1" t="s">
        <v>142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9">
        <f>Tabelle58971121[[#This Row],[Durchschnittsauslastung min]]*Tabelle58971121[[#This Row],[installierte Leistung MW min]]</f>
        <v>0</v>
      </c>
      <c r="EG121" s="49">
        <f>Tabelle58971121[[#This Row],[Durchschnittsauslastung durch]]*Tabelle58971121[[#This Row],[installierte Leistung MW durch]]</f>
        <v>0</v>
      </c>
      <c r="EH121" s="49">
        <f>Tabelle58971121[[#This Row],[Durchschnittsauslastung max]]*Tabelle58971121[[#This Row],[installierte Leistung MW max]]</f>
        <v>0</v>
      </c>
      <c r="EI121" s="91">
        <f>Tabelle58971121[[#This Row],[Maximalauslastung durch]]*Tabelle58971121[[#This Row],[installierte Leistung MW min]]</f>
        <v>2646.54</v>
      </c>
      <c r="EJ121" s="49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816</v>
      </c>
      <c r="GW121" s="13" t="s">
        <v>816</v>
      </c>
      <c r="GX121" s="13" t="s">
        <v>816</v>
      </c>
      <c r="GY121" s="13"/>
      <c r="GZ121" s="13" t="s">
        <v>816</v>
      </c>
      <c r="HA121" s="13" t="s">
        <v>816</v>
      </c>
      <c r="HB121" s="13" t="s">
        <v>816</v>
      </c>
      <c r="HC121" s="13" t="s">
        <v>816</v>
      </c>
      <c r="HD121" s="13" t="s">
        <v>816</v>
      </c>
      <c r="HE121" s="13" t="s">
        <v>816</v>
      </c>
      <c r="HF121" s="13" t="s">
        <v>816</v>
      </c>
      <c r="HI121" s="13" t="s">
        <v>816</v>
      </c>
      <c r="HJ121" s="13" t="s">
        <v>816</v>
      </c>
      <c r="HL121" s="13" t="s">
        <v>816</v>
      </c>
    </row>
    <row r="122" spans="1:220" ht="12.75" customHeight="1" x14ac:dyDescent="0.2">
      <c r="A122" s="1" t="s">
        <v>133</v>
      </c>
      <c r="B122" s="1" t="s">
        <v>759</v>
      </c>
      <c r="E122" s="1" t="s">
        <v>142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9">
        <f>Tabelle58971121[[#This Row],[Durchschnittsauslastung min]]*Tabelle58971121[[#This Row],[installierte Leistung MW min]]</f>
        <v>0</v>
      </c>
      <c r="EG122" s="49">
        <f>Tabelle58971121[[#This Row],[Durchschnittsauslastung durch]]*Tabelle58971121[[#This Row],[installierte Leistung MW durch]]</f>
        <v>0</v>
      </c>
      <c r="EH122" s="49">
        <f>Tabelle58971121[[#This Row],[Durchschnittsauslastung max]]*Tabelle58971121[[#This Row],[installierte Leistung MW max]]</f>
        <v>0</v>
      </c>
      <c r="EI122" s="91">
        <f>Tabelle58971121[[#This Row],[Maximalauslastung durch]]*Tabelle58971121[[#This Row],[installierte Leistung MW min]]</f>
        <v>806.44899999999996</v>
      </c>
      <c r="EJ122" s="49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1119</v>
      </c>
      <c r="FQ122" s="1" t="s">
        <v>1119</v>
      </c>
      <c r="FR122" s="1" t="s">
        <v>1119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816</v>
      </c>
      <c r="GW122" s="13" t="s">
        <v>816</v>
      </c>
      <c r="GX122" s="13" t="s">
        <v>816</v>
      </c>
      <c r="GY122" s="13"/>
      <c r="GZ122" s="13" t="s">
        <v>816</v>
      </c>
      <c r="HA122" s="13" t="s">
        <v>816</v>
      </c>
      <c r="HB122" s="13" t="s">
        <v>816</v>
      </c>
      <c r="HC122" s="13" t="s">
        <v>816</v>
      </c>
      <c r="HD122" s="13" t="s">
        <v>816</v>
      </c>
      <c r="HE122" s="13" t="s">
        <v>816</v>
      </c>
      <c r="HF122" s="13" t="s">
        <v>816</v>
      </c>
      <c r="HI122" s="13" t="s">
        <v>816</v>
      </c>
      <c r="HJ122" s="13" t="s">
        <v>816</v>
      </c>
      <c r="HL122" s="13" t="s">
        <v>816</v>
      </c>
    </row>
    <row r="123" spans="1:220" ht="12.75" customHeight="1" x14ac:dyDescent="0.2">
      <c r="A123" s="1" t="s">
        <v>133</v>
      </c>
      <c r="B123" s="1" t="s">
        <v>759</v>
      </c>
      <c r="E123" s="1" t="s">
        <v>142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9">
        <f>Tabelle58971121[[#This Row],[Durchschnittsauslastung min]]*Tabelle58971121[[#This Row],[installierte Leistung MW min]]</f>
        <v>0</v>
      </c>
      <c r="EG123" s="49">
        <f>Tabelle58971121[[#This Row],[Durchschnittsauslastung durch]]*Tabelle58971121[[#This Row],[installierte Leistung MW durch]]</f>
        <v>0</v>
      </c>
      <c r="EH123" s="49">
        <f>Tabelle58971121[[#This Row],[Durchschnittsauslastung max]]*Tabelle58971121[[#This Row],[installierte Leistung MW max]]</f>
        <v>0</v>
      </c>
      <c r="EI123" s="91">
        <f>Tabelle58971121[[#This Row],[Maximalauslastung durch]]*Tabelle58971121[[#This Row],[installierte Leistung MW min]]</f>
        <v>701.61063000000001</v>
      </c>
      <c r="EJ123" s="49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1119</v>
      </c>
      <c r="FQ123" s="1" t="s">
        <v>1119</v>
      </c>
      <c r="FR123" s="1" t="s">
        <v>1119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816</v>
      </c>
      <c r="GW123" s="13" t="s">
        <v>816</v>
      </c>
      <c r="GX123" s="13" t="s">
        <v>816</v>
      </c>
      <c r="GY123" s="13"/>
      <c r="GZ123" s="13" t="s">
        <v>816</v>
      </c>
      <c r="HA123" s="13" t="s">
        <v>816</v>
      </c>
      <c r="HB123" s="13" t="s">
        <v>816</v>
      </c>
      <c r="HC123" s="13" t="s">
        <v>816</v>
      </c>
      <c r="HD123" s="13" t="s">
        <v>816</v>
      </c>
      <c r="HE123" s="13" t="s">
        <v>816</v>
      </c>
      <c r="HF123" s="13" t="s">
        <v>816</v>
      </c>
      <c r="HI123" s="13" t="s">
        <v>816</v>
      </c>
      <c r="HJ123" s="13" t="s">
        <v>816</v>
      </c>
      <c r="HL123" s="13" t="s">
        <v>816</v>
      </c>
    </row>
    <row r="124" spans="1:220" ht="12.75" customHeight="1" x14ac:dyDescent="0.2">
      <c r="A124" s="1" t="s">
        <v>133</v>
      </c>
      <c r="B124" s="1" t="s">
        <v>759</v>
      </c>
      <c r="E124" s="1" t="s">
        <v>142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9">
        <f>Tabelle58971121[[#This Row],[Durchschnittsauslastung min]]*Tabelle58971121[[#This Row],[installierte Leistung MW min]]</f>
        <v>0</v>
      </c>
      <c r="EG124" s="49">
        <f>Tabelle58971121[[#This Row],[Durchschnittsauslastung durch]]*Tabelle58971121[[#This Row],[installierte Leistung MW durch]]</f>
        <v>0</v>
      </c>
      <c r="EH124" s="49">
        <f>Tabelle58971121[[#This Row],[Durchschnittsauslastung max]]*Tabelle58971121[[#This Row],[installierte Leistung MW max]]</f>
        <v>0</v>
      </c>
      <c r="EI124" s="91">
        <f>Tabelle58971121[[#This Row],[Maximalauslastung durch]]*Tabelle58971121[[#This Row],[installierte Leistung MW min]]</f>
        <v>612.90124000000003</v>
      </c>
      <c r="EJ124" s="49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1119</v>
      </c>
      <c r="FQ124" s="1" t="s">
        <v>1119</v>
      </c>
      <c r="FR124" s="1" t="s">
        <v>1119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816</v>
      </c>
      <c r="GW124" s="13" t="s">
        <v>816</v>
      </c>
      <c r="GX124" s="13" t="s">
        <v>816</v>
      </c>
      <c r="GY124" s="13"/>
      <c r="GZ124" s="13" t="s">
        <v>816</v>
      </c>
      <c r="HA124" s="13" t="s">
        <v>816</v>
      </c>
      <c r="HB124" s="13" t="s">
        <v>816</v>
      </c>
      <c r="HC124" s="13" t="s">
        <v>816</v>
      </c>
      <c r="HD124" s="13" t="s">
        <v>816</v>
      </c>
      <c r="HE124" s="13" t="s">
        <v>816</v>
      </c>
      <c r="HF124" s="13" t="s">
        <v>816</v>
      </c>
      <c r="HI124" s="13" t="s">
        <v>816</v>
      </c>
      <c r="HJ124" s="13" t="s">
        <v>816</v>
      </c>
      <c r="HL124" s="13" t="s">
        <v>816</v>
      </c>
    </row>
    <row r="125" spans="1:220" ht="12.75" customHeight="1" x14ac:dyDescent="0.2">
      <c r="A125" s="1" t="s">
        <v>133</v>
      </c>
      <c r="B125" s="1" t="s">
        <v>759</v>
      </c>
      <c r="E125" s="1" t="s">
        <v>142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9">
        <f>Tabelle58971121[[#This Row],[Durchschnittsauslastung min]]*Tabelle58971121[[#This Row],[installierte Leistung MW min]]</f>
        <v>0</v>
      </c>
      <c r="EG125" s="49">
        <f>Tabelle58971121[[#This Row],[Durchschnittsauslastung durch]]*Tabelle58971121[[#This Row],[installierte Leistung MW durch]]</f>
        <v>0</v>
      </c>
      <c r="EH125" s="49">
        <f>Tabelle58971121[[#This Row],[Durchschnittsauslastung max]]*Tabelle58971121[[#This Row],[installierte Leistung MW max]]</f>
        <v>0</v>
      </c>
      <c r="EI125" s="91">
        <f>Tabelle58971121[[#This Row],[Maximalauslastung durch]]*Tabelle58971121[[#This Row],[installierte Leistung MW min]]</f>
        <v>540.32083</v>
      </c>
      <c r="EJ125" s="49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1119</v>
      </c>
      <c r="FQ125" s="1" t="s">
        <v>1119</v>
      </c>
      <c r="FR125" s="1" t="s">
        <v>1119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816</v>
      </c>
      <c r="GW125" s="13" t="s">
        <v>816</v>
      </c>
      <c r="GX125" s="13" t="s">
        <v>816</v>
      </c>
      <c r="GY125" s="13"/>
      <c r="GZ125" s="13" t="s">
        <v>816</v>
      </c>
      <c r="HA125" s="13" t="s">
        <v>816</v>
      </c>
      <c r="HB125" s="13" t="s">
        <v>816</v>
      </c>
      <c r="HC125" s="13" t="s">
        <v>816</v>
      </c>
      <c r="HD125" s="13" t="s">
        <v>816</v>
      </c>
      <c r="HE125" s="13" t="s">
        <v>816</v>
      </c>
      <c r="HF125" s="13" t="s">
        <v>816</v>
      </c>
      <c r="HI125" s="13" t="s">
        <v>816</v>
      </c>
      <c r="HJ125" s="13" t="s">
        <v>816</v>
      </c>
      <c r="HL125" s="13" t="s">
        <v>816</v>
      </c>
    </row>
    <row r="126" spans="1:220" ht="12.75" customHeight="1" x14ac:dyDescent="0.2">
      <c r="A126" s="1" t="s">
        <v>133</v>
      </c>
      <c r="B126" s="1" t="s">
        <v>759</v>
      </c>
      <c r="E126" s="1" t="s">
        <v>142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9">
        <f>Tabelle58971121[[#This Row],[Durchschnittsauslastung min]]*Tabelle58971121[[#This Row],[installierte Leistung MW min]]</f>
        <v>0</v>
      </c>
      <c r="EG126" s="49">
        <f>Tabelle58971121[[#This Row],[Durchschnittsauslastung durch]]*Tabelle58971121[[#This Row],[installierte Leistung MW durch]]</f>
        <v>0</v>
      </c>
      <c r="EH126" s="49">
        <f>Tabelle58971121[[#This Row],[Durchschnittsauslastung max]]*Tabelle58971121[[#This Row],[installierte Leistung MW max]]</f>
        <v>0</v>
      </c>
      <c r="EI126" s="91">
        <f>Tabelle58971121[[#This Row],[Maximalauslastung durch]]*Tabelle58971121[[#This Row],[installierte Leistung MW min]]</f>
        <v>499.99838</v>
      </c>
      <c r="EJ126" s="49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1119</v>
      </c>
      <c r="FQ126" s="1" t="s">
        <v>1119</v>
      </c>
      <c r="FR126" s="1" t="s">
        <v>1119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816</v>
      </c>
      <c r="GW126" s="13" t="s">
        <v>816</v>
      </c>
      <c r="GX126" s="13" t="s">
        <v>816</v>
      </c>
      <c r="GY126" s="13"/>
      <c r="GZ126" s="13" t="s">
        <v>816</v>
      </c>
      <c r="HA126" s="13" t="s">
        <v>816</v>
      </c>
      <c r="HB126" s="13" t="s">
        <v>816</v>
      </c>
      <c r="HC126" s="13" t="s">
        <v>816</v>
      </c>
      <c r="HD126" s="13" t="s">
        <v>816</v>
      </c>
      <c r="HE126" s="13" t="s">
        <v>816</v>
      </c>
      <c r="HF126" s="13" t="s">
        <v>816</v>
      </c>
      <c r="HI126" s="13" t="s">
        <v>816</v>
      </c>
      <c r="HJ126" s="13" t="s">
        <v>816</v>
      </c>
      <c r="HL126" s="13" t="s">
        <v>816</v>
      </c>
    </row>
    <row r="127" spans="1:220" ht="12.75" customHeight="1" x14ac:dyDescent="0.2">
      <c r="A127" s="1" t="s">
        <v>133</v>
      </c>
      <c r="B127" s="1" t="s">
        <v>759</v>
      </c>
      <c r="E127" s="1" t="s">
        <v>142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9">
        <f>Tabelle58971121[[#This Row],[Durchschnittsauslastung min]]*Tabelle58971121[[#This Row],[installierte Leistung MW min]]</f>
        <v>0</v>
      </c>
      <c r="EG127" s="49">
        <f>Tabelle58971121[[#This Row],[Durchschnittsauslastung durch]]*Tabelle58971121[[#This Row],[installierte Leistung MW durch]]</f>
        <v>0</v>
      </c>
      <c r="EH127" s="49">
        <f>Tabelle58971121[[#This Row],[Durchschnittsauslastung max]]*Tabelle58971121[[#This Row],[installierte Leistung MW max]]</f>
        <v>0</v>
      </c>
      <c r="EI127" s="91">
        <f>Tabelle58971121[[#This Row],[Maximalauslastung durch]]*Tabelle58971121[[#This Row],[installierte Leistung MW min]]</f>
        <v>467.74042000000003</v>
      </c>
      <c r="EJ127" s="49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1119</v>
      </c>
      <c r="FQ127" s="1" t="s">
        <v>1119</v>
      </c>
      <c r="FR127" s="1" t="s">
        <v>1119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816</v>
      </c>
      <c r="GW127" s="13" t="s">
        <v>816</v>
      </c>
      <c r="GX127" s="13" t="s">
        <v>816</v>
      </c>
      <c r="GY127" s="13"/>
      <c r="GZ127" s="13" t="s">
        <v>816</v>
      </c>
      <c r="HA127" s="13" t="s">
        <v>816</v>
      </c>
      <c r="HB127" s="13" t="s">
        <v>816</v>
      </c>
      <c r="HC127" s="13" t="s">
        <v>816</v>
      </c>
      <c r="HD127" s="13" t="s">
        <v>816</v>
      </c>
      <c r="HE127" s="13" t="s">
        <v>816</v>
      </c>
      <c r="HF127" s="13" t="s">
        <v>816</v>
      </c>
      <c r="HI127" s="13" t="s">
        <v>816</v>
      </c>
      <c r="HJ127" s="13" t="s">
        <v>816</v>
      </c>
      <c r="HL127" s="13" t="s">
        <v>816</v>
      </c>
    </row>
    <row r="128" spans="1:220" ht="12.75" customHeight="1" x14ac:dyDescent="0.2">
      <c r="A128" s="1" t="s">
        <v>133</v>
      </c>
      <c r="B128" s="1" t="s">
        <v>759</v>
      </c>
      <c r="E128" s="1" t="s">
        <v>142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9">
        <f>Tabelle58971121[[#This Row],[Durchschnittsauslastung min]]*Tabelle58971121[[#This Row],[installierte Leistung MW min]]</f>
        <v>0</v>
      </c>
      <c r="EG128" s="49">
        <f>Tabelle58971121[[#This Row],[Durchschnittsauslastung durch]]*Tabelle58971121[[#This Row],[installierte Leistung MW durch]]</f>
        <v>0</v>
      </c>
      <c r="EH128" s="49">
        <f>Tabelle58971121[[#This Row],[Durchschnittsauslastung max]]*Tabelle58971121[[#This Row],[installierte Leistung MW max]]</f>
        <v>0</v>
      </c>
      <c r="EI128" s="91">
        <f>Tabelle58971121[[#This Row],[Maximalauslastung durch]]*Tabelle58971121[[#This Row],[installierte Leistung MW min]]</f>
        <v>435.48246</v>
      </c>
      <c r="EJ128" s="49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1119</v>
      </c>
      <c r="FQ128" s="1" t="s">
        <v>1119</v>
      </c>
      <c r="FR128" s="1" t="s">
        <v>1119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816</v>
      </c>
      <c r="GW128" s="13" t="s">
        <v>816</v>
      </c>
      <c r="GX128" s="13" t="s">
        <v>816</v>
      </c>
      <c r="GY128" s="13"/>
      <c r="GZ128" s="13" t="s">
        <v>816</v>
      </c>
      <c r="HA128" s="13" t="s">
        <v>816</v>
      </c>
      <c r="HB128" s="13" t="s">
        <v>816</v>
      </c>
      <c r="HC128" s="13" t="s">
        <v>816</v>
      </c>
      <c r="HD128" s="13" t="s">
        <v>816</v>
      </c>
      <c r="HE128" s="13" t="s">
        <v>816</v>
      </c>
      <c r="HF128" s="13" t="s">
        <v>816</v>
      </c>
      <c r="HI128" s="13" t="s">
        <v>816</v>
      </c>
      <c r="HJ128" s="13" t="s">
        <v>816</v>
      </c>
      <c r="HL128" s="13" t="s">
        <v>816</v>
      </c>
    </row>
    <row r="129" spans="1:220" ht="12.75" customHeight="1" x14ac:dyDescent="0.2">
      <c r="A129" s="1" t="s">
        <v>133</v>
      </c>
      <c r="B129" s="1" t="s">
        <v>759</v>
      </c>
      <c r="E129" s="1" t="s">
        <v>142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9">
        <f>Tabelle58971121[[#This Row],[Durchschnittsauslastung min]]*Tabelle58971121[[#This Row],[installierte Leistung MW min]]</f>
        <v>0</v>
      </c>
      <c r="EG129" s="49">
        <f>Tabelle58971121[[#This Row],[Durchschnittsauslastung durch]]*Tabelle58971121[[#This Row],[installierte Leistung MW durch]]</f>
        <v>0</v>
      </c>
      <c r="EH129" s="49">
        <f>Tabelle58971121[[#This Row],[Durchschnittsauslastung max]]*Tabelle58971121[[#This Row],[installierte Leistung MW max]]</f>
        <v>0</v>
      </c>
      <c r="EI129" s="91">
        <f>Tabelle58971121[[#This Row],[Maximalauslastung durch]]*Tabelle58971121[[#This Row],[installierte Leistung MW min]]</f>
        <v>395.16000999999994</v>
      </c>
      <c r="EJ129" s="49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1119</v>
      </c>
      <c r="FQ129" s="1" t="s">
        <v>1119</v>
      </c>
      <c r="FR129" s="1" t="s">
        <v>1119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816</v>
      </c>
      <c r="GW129" s="13" t="s">
        <v>816</v>
      </c>
      <c r="GX129" s="13" t="s">
        <v>816</v>
      </c>
      <c r="GY129" s="13"/>
      <c r="GZ129" s="13" t="s">
        <v>816</v>
      </c>
      <c r="HA129" s="13" t="s">
        <v>816</v>
      </c>
      <c r="HB129" s="13" t="s">
        <v>816</v>
      </c>
      <c r="HC129" s="13" t="s">
        <v>816</v>
      </c>
      <c r="HD129" s="13" t="s">
        <v>816</v>
      </c>
      <c r="HE129" s="13" t="s">
        <v>816</v>
      </c>
      <c r="HF129" s="13" t="s">
        <v>816</v>
      </c>
      <c r="HI129" s="13" t="s">
        <v>816</v>
      </c>
      <c r="HJ129" s="13" t="s">
        <v>816</v>
      </c>
      <c r="HL129" s="13" t="s">
        <v>816</v>
      </c>
    </row>
    <row r="130" spans="1:220" ht="12.75" customHeight="1" x14ac:dyDescent="0.2">
      <c r="A130" s="1" t="s">
        <v>367</v>
      </c>
      <c r="B130" s="1" t="s">
        <v>660</v>
      </c>
      <c r="E130" s="1" t="s">
        <v>129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9">
        <f>Tabelle58971121[[#This Row],[Durchschnittsauslastung min]]*Tabelle58971121[[#This Row],[installierte Leistung MW min]]</f>
        <v>0</v>
      </c>
      <c r="EG130" s="49">
        <f>Tabelle58971121[[#This Row],[Durchschnittsauslastung durch]]*Tabelle58971121[[#This Row],[installierte Leistung MW durch]]</f>
        <v>0</v>
      </c>
      <c r="EH130" s="49">
        <f>Tabelle58971121[[#This Row],[Durchschnittsauslastung max]]*Tabelle58971121[[#This Row],[installierte Leistung MW max]]</f>
        <v>0</v>
      </c>
      <c r="EI130" s="91">
        <f>Tabelle58971121[[#This Row],[Maximalauslastung durch]]*Tabelle58971121[[#This Row],[installierte Leistung MW min]]</f>
        <v>182.88</v>
      </c>
      <c r="EJ130" s="49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816</v>
      </c>
      <c r="GW130" s="13" t="s">
        <v>816</v>
      </c>
      <c r="GX130" s="13" t="s">
        <v>816</v>
      </c>
      <c r="GY130" s="13"/>
      <c r="GZ130" s="13" t="s">
        <v>816</v>
      </c>
      <c r="HA130" s="13" t="s">
        <v>816</v>
      </c>
      <c r="HB130" s="13" t="s">
        <v>816</v>
      </c>
      <c r="HC130" s="13" t="s">
        <v>816</v>
      </c>
      <c r="HD130" s="13" t="s">
        <v>816</v>
      </c>
      <c r="HE130" s="13" t="s">
        <v>816</v>
      </c>
      <c r="HF130" s="13" t="s">
        <v>816</v>
      </c>
      <c r="HI130" s="13" t="s">
        <v>816</v>
      </c>
      <c r="HJ130" s="13" t="s">
        <v>816</v>
      </c>
      <c r="HL130" s="13" t="s">
        <v>816</v>
      </c>
    </row>
    <row r="131" spans="1:220" ht="12.75" customHeight="1" x14ac:dyDescent="0.2">
      <c r="A131" s="1" t="s">
        <v>367</v>
      </c>
      <c r="B131" s="1" t="s">
        <v>660</v>
      </c>
      <c r="E131" s="1" t="s">
        <v>129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9">
        <f>Tabelle58971121[[#This Row],[Durchschnittsauslastung min]]*Tabelle58971121[[#This Row],[installierte Leistung MW min]]</f>
        <v>0</v>
      </c>
      <c r="EG131" s="49">
        <f>Tabelle58971121[[#This Row],[Durchschnittsauslastung durch]]*Tabelle58971121[[#This Row],[installierte Leistung MW durch]]</f>
        <v>0</v>
      </c>
      <c r="EH131" s="49">
        <f>Tabelle58971121[[#This Row],[Durchschnittsauslastung max]]*Tabelle58971121[[#This Row],[installierte Leistung MW max]]</f>
        <v>0</v>
      </c>
      <c r="EI131" s="91">
        <f>Tabelle58971121[[#This Row],[Maximalauslastung durch]]*Tabelle58971121[[#This Row],[installierte Leistung MW min]]</f>
        <v>188.00880000000001</v>
      </c>
      <c r="EJ131" s="49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816</v>
      </c>
      <c r="GW131" s="13" t="s">
        <v>816</v>
      </c>
      <c r="GX131" s="13" t="s">
        <v>816</v>
      </c>
      <c r="GY131" s="13"/>
      <c r="GZ131" s="13" t="s">
        <v>816</v>
      </c>
      <c r="HA131" s="13" t="s">
        <v>816</v>
      </c>
      <c r="HB131" s="13" t="s">
        <v>816</v>
      </c>
      <c r="HC131" s="13" t="s">
        <v>816</v>
      </c>
      <c r="HD131" s="13" t="s">
        <v>816</v>
      </c>
      <c r="HE131" s="13" t="s">
        <v>816</v>
      </c>
      <c r="HF131" s="13" t="s">
        <v>816</v>
      </c>
      <c r="HI131" s="13" t="s">
        <v>816</v>
      </c>
      <c r="HJ131" s="13" t="s">
        <v>816</v>
      </c>
      <c r="HL131" s="13" t="s">
        <v>816</v>
      </c>
    </row>
    <row r="132" spans="1:220" ht="12.75" customHeight="1" x14ac:dyDescent="0.2">
      <c r="A132" s="1" t="s">
        <v>367</v>
      </c>
      <c r="B132" s="1" t="s">
        <v>660</v>
      </c>
      <c r="E132" s="1" t="s">
        <v>129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9">
        <f>Tabelle58971121[[#This Row],[Durchschnittsauslastung min]]*Tabelle58971121[[#This Row],[installierte Leistung MW min]]</f>
        <v>0</v>
      </c>
      <c r="EG132" s="49">
        <f>Tabelle58971121[[#This Row],[Durchschnittsauslastung durch]]*Tabelle58971121[[#This Row],[installierte Leistung MW durch]]</f>
        <v>0</v>
      </c>
      <c r="EH132" s="49">
        <f>Tabelle58971121[[#This Row],[Durchschnittsauslastung max]]*Tabelle58971121[[#This Row],[installierte Leistung MW max]]</f>
        <v>0</v>
      </c>
      <c r="EI132" s="91">
        <f>Tabelle58971121[[#This Row],[Maximalauslastung durch]]*Tabelle58971121[[#This Row],[installierte Leistung MW min]]</f>
        <v>192.4776</v>
      </c>
      <c r="EJ132" s="49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816</v>
      </c>
      <c r="GW132" s="13" t="s">
        <v>816</v>
      </c>
      <c r="GX132" s="13" t="s">
        <v>816</v>
      </c>
      <c r="GY132" s="13"/>
      <c r="GZ132" s="13" t="s">
        <v>816</v>
      </c>
      <c r="HA132" s="13" t="s">
        <v>816</v>
      </c>
      <c r="HB132" s="13" t="s">
        <v>816</v>
      </c>
      <c r="HC132" s="13" t="s">
        <v>816</v>
      </c>
      <c r="HD132" s="13" t="s">
        <v>816</v>
      </c>
      <c r="HE132" s="13" t="s">
        <v>816</v>
      </c>
      <c r="HF132" s="13" t="s">
        <v>816</v>
      </c>
      <c r="HI132" s="13" t="s">
        <v>816</v>
      </c>
      <c r="HJ132" s="13" t="s">
        <v>816</v>
      </c>
      <c r="HL132" s="13" t="s">
        <v>816</v>
      </c>
    </row>
    <row r="133" spans="1:220" ht="12.75" customHeight="1" x14ac:dyDescent="0.2">
      <c r="A133" s="1" t="s">
        <v>367</v>
      </c>
      <c r="B133" s="1" t="s">
        <v>660</v>
      </c>
      <c r="E133" s="1" t="s">
        <v>129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9">
        <f>Tabelle58971121[[#This Row],[Durchschnittsauslastung min]]*Tabelle58971121[[#This Row],[installierte Leistung MW min]]</f>
        <v>0</v>
      </c>
      <c r="EG133" s="49">
        <f>Tabelle58971121[[#This Row],[Durchschnittsauslastung durch]]*Tabelle58971121[[#This Row],[installierte Leistung MW durch]]</f>
        <v>0</v>
      </c>
      <c r="EH133" s="49">
        <f>Tabelle58971121[[#This Row],[Durchschnittsauslastung max]]*Tabelle58971121[[#This Row],[installierte Leistung MW max]]</f>
        <v>0</v>
      </c>
      <c r="EI133" s="91">
        <f>Tabelle58971121[[#This Row],[Maximalauslastung durch]]*Tabelle58971121[[#This Row],[installierte Leistung MW min]]</f>
        <v>198.42479999999998</v>
      </c>
      <c r="EJ133" s="49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816</v>
      </c>
      <c r="GW133" s="13" t="s">
        <v>816</v>
      </c>
      <c r="GX133" s="13" t="s">
        <v>816</v>
      </c>
      <c r="GY133" s="13"/>
      <c r="GZ133" s="13" t="s">
        <v>816</v>
      </c>
      <c r="HA133" s="13" t="s">
        <v>816</v>
      </c>
      <c r="HB133" s="13" t="s">
        <v>816</v>
      </c>
      <c r="HC133" s="13" t="s">
        <v>816</v>
      </c>
      <c r="HD133" s="13" t="s">
        <v>816</v>
      </c>
      <c r="HE133" s="13" t="s">
        <v>816</v>
      </c>
      <c r="HF133" s="13" t="s">
        <v>816</v>
      </c>
      <c r="HI133" s="13" t="s">
        <v>816</v>
      </c>
      <c r="HJ133" s="13" t="s">
        <v>816</v>
      </c>
      <c r="HL133" s="13" t="s">
        <v>816</v>
      </c>
    </row>
    <row r="134" spans="1:220" ht="12.75" customHeight="1" x14ac:dyDescent="0.2">
      <c r="A134" s="1" t="s">
        <v>367</v>
      </c>
      <c r="B134" s="1" t="s">
        <v>660</v>
      </c>
      <c r="E134" s="1" t="s">
        <v>129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9">
        <f>Tabelle58971121[[#This Row],[Durchschnittsauslastung min]]*Tabelle58971121[[#This Row],[installierte Leistung MW min]]</f>
        <v>0</v>
      </c>
      <c r="EG134" s="49">
        <f>Tabelle58971121[[#This Row],[Durchschnittsauslastung durch]]*Tabelle58971121[[#This Row],[installierte Leistung MW durch]]</f>
        <v>0</v>
      </c>
      <c r="EH134" s="49">
        <f>Tabelle58971121[[#This Row],[Durchschnittsauslastung max]]*Tabelle58971121[[#This Row],[installierte Leistung MW max]]</f>
        <v>0</v>
      </c>
      <c r="EI134" s="91">
        <f>Tabelle58971121[[#This Row],[Maximalauslastung durch]]*Tabelle58971121[[#This Row],[installierte Leistung MW min]]</f>
        <v>204.2664</v>
      </c>
      <c r="EJ134" s="49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816</v>
      </c>
      <c r="GW134" s="13" t="s">
        <v>816</v>
      </c>
      <c r="GX134" s="13" t="s">
        <v>816</v>
      </c>
      <c r="GY134" s="13"/>
      <c r="GZ134" s="13" t="s">
        <v>816</v>
      </c>
      <c r="HA134" s="13" t="s">
        <v>816</v>
      </c>
      <c r="HB134" s="13" t="s">
        <v>816</v>
      </c>
      <c r="HC134" s="13" t="s">
        <v>816</v>
      </c>
      <c r="HD134" s="13" t="s">
        <v>816</v>
      </c>
      <c r="HE134" s="13" t="s">
        <v>816</v>
      </c>
      <c r="HF134" s="13" t="s">
        <v>816</v>
      </c>
      <c r="HI134" s="13" t="s">
        <v>816</v>
      </c>
      <c r="HJ134" s="13" t="s">
        <v>816</v>
      </c>
      <c r="HL134" s="13" t="s">
        <v>816</v>
      </c>
    </row>
    <row r="135" spans="1:220" ht="12.75" customHeight="1" x14ac:dyDescent="0.2">
      <c r="A135" s="1" t="s">
        <v>367</v>
      </c>
      <c r="B135" s="1" t="s">
        <v>660</v>
      </c>
      <c r="E135" s="1" t="s">
        <v>129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9">
        <f>Tabelle58971121[[#This Row],[Durchschnittsauslastung min]]*Tabelle58971121[[#This Row],[installierte Leistung MW min]]</f>
        <v>0</v>
      </c>
      <c r="EG135" s="49">
        <f>Tabelle58971121[[#This Row],[Durchschnittsauslastung durch]]*Tabelle58971121[[#This Row],[installierte Leistung MW durch]]</f>
        <v>0</v>
      </c>
      <c r="EH135" s="49">
        <f>Tabelle58971121[[#This Row],[Durchschnittsauslastung max]]*Tabelle58971121[[#This Row],[installierte Leistung MW max]]</f>
        <v>0</v>
      </c>
      <c r="EI135" s="91">
        <f>Tabelle58971121[[#This Row],[Maximalauslastung durch]]*Tabelle58971121[[#This Row],[installierte Leistung MW min]]</f>
        <v>210.21359999999999</v>
      </c>
      <c r="EJ135" s="49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816</v>
      </c>
      <c r="GW135" s="13" t="s">
        <v>816</v>
      </c>
      <c r="GX135" s="13" t="s">
        <v>816</v>
      </c>
      <c r="GY135" s="13"/>
      <c r="GZ135" s="13" t="s">
        <v>816</v>
      </c>
      <c r="HA135" s="13" t="s">
        <v>816</v>
      </c>
      <c r="HB135" s="13" t="s">
        <v>816</v>
      </c>
      <c r="HC135" s="13" t="s">
        <v>816</v>
      </c>
      <c r="HD135" s="13" t="s">
        <v>816</v>
      </c>
      <c r="HE135" s="13" t="s">
        <v>816</v>
      </c>
      <c r="HF135" s="13" t="s">
        <v>816</v>
      </c>
      <c r="HI135" s="13" t="s">
        <v>816</v>
      </c>
      <c r="HJ135" s="13" t="s">
        <v>816</v>
      </c>
      <c r="HL135" s="13" t="s">
        <v>816</v>
      </c>
    </row>
    <row r="136" spans="1:220" ht="12.75" customHeight="1" x14ac:dyDescent="0.2">
      <c r="A136" s="1" t="s">
        <v>367</v>
      </c>
      <c r="B136" s="1" t="s">
        <v>660</v>
      </c>
      <c r="E136" s="1" t="s">
        <v>129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9">
        <f>Tabelle58971121[[#This Row],[Durchschnittsauslastung min]]*Tabelle58971121[[#This Row],[installierte Leistung MW min]]</f>
        <v>0</v>
      </c>
      <c r="EG136" s="49">
        <f>Tabelle58971121[[#This Row],[Durchschnittsauslastung durch]]*Tabelle58971121[[#This Row],[installierte Leistung MW durch]]</f>
        <v>0</v>
      </c>
      <c r="EH136" s="49">
        <f>Tabelle58971121[[#This Row],[Durchschnittsauslastung max]]*Tabelle58971121[[#This Row],[installierte Leistung MW max]]</f>
        <v>0</v>
      </c>
      <c r="EI136" s="91">
        <f>Tabelle58971121[[#This Row],[Maximalauslastung durch]]*Tabelle58971121[[#This Row],[installierte Leistung MW min]]</f>
        <v>217.39679999999998</v>
      </c>
      <c r="EJ136" s="49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816</v>
      </c>
      <c r="GW136" s="13" t="s">
        <v>816</v>
      </c>
      <c r="GX136" s="13" t="s">
        <v>816</v>
      </c>
      <c r="GY136" s="13"/>
      <c r="GZ136" s="13" t="s">
        <v>816</v>
      </c>
      <c r="HA136" s="13" t="s">
        <v>816</v>
      </c>
      <c r="HB136" s="13" t="s">
        <v>816</v>
      </c>
      <c r="HC136" s="13" t="s">
        <v>816</v>
      </c>
      <c r="HD136" s="13" t="s">
        <v>816</v>
      </c>
      <c r="HE136" s="13" t="s">
        <v>816</v>
      </c>
      <c r="HF136" s="13" t="s">
        <v>816</v>
      </c>
      <c r="HI136" s="13" t="s">
        <v>816</v>
      </c>
      <c r="HJ136" s="13" t="s">
        <v>816</v>
      </c>
      <c r="HL136" s="13" t="s">
        <v>816</v>
      </c>
    </row>
    <row r="137" spans="1:220" ht="12.75" customHeight="1" x14ac:dyDescent="0.2">
      <c r="A137" s="1" t="s">
        <v>367</v>
      </c>
      <c r="B137" s="1" t="s">
        <v>660</v>
      </c>
      <c r="E137" s="1" t="s">
        <v>129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9">
        <f>Tabelle58971121[[#This Row],[Durchschnittsauslastung min]]*Tabelle58971121[[#This Row],[installierte Leistung MW min]]</f>
        <v>0</v>
      </c>
      <c r="EG137" s="49">
        <f>Tabelle58971121[[#This Row],[Durchschnittsauslastung durch]]*Tabelle58971121[[#This Row],[installierte Leistung MW durch]]</f>
        <v>0</v>
      </c>
      <c r="EH137" s="49">
        <f>Tabelle58971121[[#This Row],[Durchschnittsauslastung max]]*Tabelle58971121[[#This Row],[installierte Leistung MW max]]</f>
        <v>0</v>
      </c>
      <c r="EI137" s="91">
        <f>Tabelle58971121[[#This Row],[Maximalauslastung durch]]*Tabelle58971121[[#This Row],[installierte Leistung MW min]]</f>
        <v>224.28</v>
      </c>
      <c r="EJ137" s="49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816</v>
      </c>
      <c r="GW137" s="13" t="s">
        <v>816</v>
      </c>
      <c r="GX137" s="13" t="s">
        <v>816</v>
      </c>
      <c r="GY137" s="13"/>
      <c r="GZ137" s="13" t="s">
        <v>816</v>
      </c>
      <c r="HA137" s="13" t="s">
        <v>816</v>
      </c>
      <c r="HB137" s="13" t="s">
        <v>816</v>
      </c>
      <c r="HC137" s="13" t="s">
        <v>816</v>
      </c>
      <c r="HD137" s="13" t="s">
        <v>816</v>
      </c>
      <c r="HE137" s="13" t="s">
        <v>816</v>
      </c>
      <c r="HF137" s="13" t="s">
        <v>816</v>
      </c>
      <c r="HI137" s="13" t="s">
        <v>816</v>
      </c>
      <c r="HJ137" s="13" t="s">
        <v>816</v>
      </c>
      <c r="HL137" s="13" t="s">
        <v>816</v>
      </c>
    </row>
    <row r="138" spans="1:220" ht="12.75" customHeight="1" x14ac:dyDescent="0.2">
      <c r="A138" s="1" t="s">
        <v>211</v>
      </c>
      <c r="B138" s="1" t="s">
        <v>757</v>
      </c>
      <c r="E138" s="1" t="s">
        <v>129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9">
        <f>Tabelle58971121[[#This Row],[Durchschnittsauslastung min]]*Tabelle58971121[[#This Row],[installierte Leistung MW min]]</f>
        <v>0</v>
      </c>
      <c r="EG138" s="49">
        <f>Tabelle58971121[[#This Row],[Durchschnittsauslastung durch]]*Tabelle58971121[[#This Row],[installierte Leistung MW durch]]</f>
        <v>0</v>
      </c>
      <c r="EH138" s="49">
        <f>Tabelle58971121[[#This Row],[Durchschnittsauslastung max]]*Tabelle58971121[[#This Row],[installierte Leistung MW max]]</f>
        <v>0</v>
      </c>
      <c r="EI138" s="91">
        <f>Tabelle58971121[[#This Row],[Maximalauslastung durch]]*Tabelle58971121[[#This Row],[installierte Leistung MW min]]</f>
        <v>460</v>
      </c>
      <c r="EJ138" s="49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816</v>
      </c>
      <c r="GW138" s="13" t="s">
        <v>816</v>
      </c>
      <c r="GX138" s="13" t="s">
        <v>816</v>
      </c>
      <c r="GY138" s="13"/>
      <c r="GZ138" s="13" t="s">
        <v>816</v>
      </c>
      <c r="HA138" s="13" t="s">
        <v>816</v>
      </c>
      <c r="HB138" s="13" t="s">
        <v>816</v>
      </c>
      <c r="HC138" s="13" t="s">
        <v>816</v>
      </c>
      <c r="HD138" s="13" t="s">
        <v>816</v>
      </c>
      <c r="HE138" s="13" t="s">
        <v>816</v>
      </c>
      <c r="HF138" s="13" t="s">
        <v>816</v>
      </c>
      <c r="HI138" s="13" t="s">
        <v>816</v>
      </c>
      <c r="HJ138" s="13" t="s">
        <v>816</v>
      </c>
      <c r="HL138" s="13" t="s">
        <v>816</v>
      </c>
    </row>
    <row r="139" spans="1:220" ht="12.75" customHeight="1" x14ac:dyDescent="0.2">
      <c r="A139" s="1" t="s">
        <v>211</v>
      </c>
      <c r="B139" s="1" t="s">
        <v>757</v>
      </c>
      <c r="E139" s="1" t="s">
        <v>129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9">
        <f>Tabelle58971121[[#This Row],[Durchschnittsauslastung min]]*Tabelle58971121[[#This Row],[installierte Leistung MW min]]</f>
        <v>0</v>
      </c>
      <c r="EG139" s="49">
        <f>Tabelle58971121[[#This Row],[Durchschnittsauslastung durch]]*Tabelle58971121[[#This Row],[installierte Leistung MW durch]]</f>
        <v>0</v>
      </c>
      <c r="EH139" s="49">
        <f>Tabelle58971121[[#This Row],[Durchschnittsauslastung max]]*Tabelle58971121[[#This Row],[installierte Leistung MW max]]</f>
        <v>0</v>
      </c>
      <c r="EI139" s="91">
        <f>Tabelle58971121[[#This Row],[Maximalauslastung durch]]*Tabelle58971121[[#This Row],[installierte Leistung MW min]]</f>
        <v>455.4</v>
      </c>
      <c r="EJ139" s="49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816</v>
      </c>
      <c r="GW139" s="13" t="s">
        <v>816</v>
      </c>
      <c r="GX139" s="13" t="s">
        <v>816</v>
      </c>
      <c r="GY139" s="13"/>
      <c r="GZ139" s="13" t="s">
        <v>816</v>
      </c>
      <c r="HA139" s="13" t="s">
        <v>816</v>
      </c>
      <c r="HB139" s="13" t="s">
        <v>816</v>
      </c>
      <c r="HC139" s="13" t="s">
        <v>816</v>
      </c>
      <c r="HD139" s="13" t="s">
        <v>816</v>
      </c>
      <c r="HE139" s="13" t="s">
        <v>816</v>
      </c>
      <c r="HF139" s="13" t="s">
        <v>816</v>
      </c>
      <c r="HI139" s="13" t="s">
        <v>816</v>
      </c>
      <c r="HJ139" s="13" t="s">
        <v>816</v>
      </c>
      <c r="HL139" s="13" t="s">
        <v>816</v>
      </c>
    </row>
    <row r="140" spans="1:220" ht="12.75" customHeight="1" x14ac:dyDescent="0.2">
      <c r="A140" s="1" t="s">
        <v>211</v>
      </c>
      <c r="B140" s="1" t="s">
        <v>757</v>
      </c>
      <c r="E140" s="1" t="s">
        <v>129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9">
        <f>Tabelle58971121[[#This Row],[Durchschnittsauslastung min]]*Tabelle58971121[[#This Row],[installierte Leistung MW min]]</f>
        <v>0</v>
      </c>
      <c r="EG140" s="49">
        <f>Tabelle58971121[[#This Row],[Durchschnittsauslastung durch]]*Tabelle58971121[[#This Row],[installierte Leistung MW durch]]</f>
        <v>0</v>
      </c>
      <c r="EH140" s="49">
        <f>Tabelle58971121[[#This Row],[Durchschnittsauslastung max]]*Tabelle58971121[[#This Row],[installierte Leistung MW max]]</f>
        <v>0</v>
      </c>
      <c r="EI140" s="91">
        <f>Tabelle58971121[[#This Row],[Maximalauslastung durch]]*Tabelle58971121[[#This Row],[installierte Leistung MW min]]</f>
        <v>450.8</v>
      </c>
      <c r="EJ140" s="49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816</v>
      </c>
      <c r="GW140" s="13" t="s">
        <v>816</v>
      </c>
      <c r="GX140" s="13" t="s">
        <v>816</v>
      </c>
      <c r="GY140" s="13"/>
      <c r="GZ140" s="13" t="s">
        <v>816</v>
      </c>
      <c r="HA140" s="13" t="s">
        <v>816</v>
      </c>
      <c r="HB140" s="13" t="s">
        <v>816</v>
      </c>
      <c r="HC140" s="13" t="s">
        <v>816</v>
      </c>
      <c r="HD140" s="13" t="s">
        <v>816</v>
      </c>
      <c r="HE140" s="13" t="s">
        <v>816</v>
      </c>
      <c r="HF140" s="13" t="s">
        <v>816</v>
      </c>
      <c r="HI140" s="13" t="s">
        <v>816</v>
      </c>
      <c r="HJ140" s="13" t="s">
        <v>816</v>
      </c>
      <c r="HL140" s="13" t="s">
        <v>816</v>
      </c>
    </row>
    <row r="141" spans="1:220" ht="12.75" customHeight="1" x14ac:dyDescent="0.2">
      <c r="A141" s="1" t="s">
        <v>211</v>
      </c>
      <c r="B141" s="1" t="s">
        <v>757</v>
      </c>
      <c r="E141" s="1" t="s">
        <v>129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9">
        <f>Tabelle58971121[[#This Row],[Durchschnittsauslastung min]]*Tabelle58971121[[#This Row],[installierte Leistung MW min]]</f>
        <v>0</v>
      </c>
      <c r="EG141" s="49">
        <f>Tabelle58971121[[#This Row],[Durchschnittsauslastung durch]]*Tabelle58971121[[#This Row],[installierte Leistung MW durch]]</f>
        <v>0</v>
      </c>
      <c r="EH141" s="49">
        <f>Tabelle58971121[[#This Row],[Durchschnittsauslastung max]]*Tabelle58971121[[#This Row],[installierte Leistung MW max]]</f>
        <v>0</v>
      </c>
      <c r="EI141" s="91">
        <f>Tabelle58971121[[#This Row],[Maximalauslastung durch]]*Tabelle58971121[[#This Row],[installierte Leistung MW min]]</f>
        <v>446.2</v>
      </c>
      <c r="EJ141" s="49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816</v>
      </c>
      <c r="GW141" s="13" t="s">
        <v>816</v>
      </c>
      <c r="GX141" s="13" t="s">
        <v>816</v>
      </c>
      <c r="GY141" s="13"/>
      <c r="GZ141" s="13" t="s">
        <v>816</v>
      </c>
      <c r="HA141" s="13" t="s">
        <v>816</v>
      </c>
      <c r="HB141" s="13" t="s">
        <v>816</v>
      </c>
      <c r="HC141" s="13" t="s">
        <v>816</v>
      </c>
      <c r="HD141" s="13" t="s">
        <v>816</v>
      </c>
      <c r="HE141" s="13" t="s">
        <v>816</v>
      </c>
      <c r="HF141" s="13" t="s">
        <v>816</v>
      </c>
      <c r="HI141" s="13" t="s">
        <v>816</v>
      </c>
      <c r="HJ141" s="13" t="s">
        <v>816</v>
      </c>
      <c r="HL141" s="13" t="s">
        <v>816</v>
      </c>
    </row>
    <row r="142" spans="1:220" ht="12.75" customHeight="1" x14ac:dyDescent="0.2">
      <c r="A142" s="1" t="s">
        <v>211</v>
      </c>
      <c r="B142" s="1" t="s">
        <v>757</v>
      </c>
      <c r="E142" s="1" t="s">
        <v>129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9">
        <f>Tabelle58971121[[#This Row],[Durchschnittsauslastung min]]*Tabelle58971121[[#This Row],[installierte Leistung MW min]]</f>
        <v>0</v>
      </c>
      <c r="EG142" s="49">
        <f>Tabelle58971121[[#This Row],[Durchschnittsauslastung durch]]*Tabelle58971121[[#This Row],[installierte Leistung MW durch]]</f>
        <v>0</v>
      </c>
      <c r="EH142" s="49">
        <f>Tabelle58971121[[#This Row],[Durchschnittsauslastung max]]*Tabelle58971121[[#This Row],[installierte Leistung MW max]]</f>
        <v>0</v>
      </c>
      <c r="EI142" s="91">
        <f>Tabelle58971121[[#This Row],[Maximalauslastung durch]]*Tabelle58971121[[#This Row],[installierte Leistung MW min]]</f>
        <v>441.6</v>
      </c>
      <c r="EJ142" s="49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816</v>
      </c>
      <c r="GW142" s="13" t="s">
        <v>816</v>
      </c>
      <c r="GX142" s="13" t="s">
        <v>816</v>
      </c>
      <c r="GY142" s="13"/>
      <c r="GZ142" s="13" t="s">
        <v>816</v>
      </c>
      <c r="HA142" s="13" t="s">
        <v>816</v>
      </c>
      <c r="HB142" s="13" t="s">
        <v>816</v>
      </c>
      <c r="HC142" s="13" t="s">
        <v>816</v>
      </c>
      <c r="HD142" s="13" t="s">
        <v>816</v>
      </c>
      <c r="HE142" s="13" t="s">
        <v>816</v>
      </c>
      <c r="HF142" s="13" t="s">
        <v>816</v>
      </c>
      <c r="HI142" s="13" t="s">
        <v>816</v>
      </c>
      <c r="HJ142" s="13" t="s">
        <v>816</v>
      </c>
      <c r="HL142" s="13" t="s">
        <v>816</v>
      </c>
    </row>
    <row r="143" spans="1:220" ht="12.75" customHeight="1" x14ac:dyDescent="0.2">
      <c r="A143" s="1" t="s">
        <v>211</v>
      </c>
      <c r="B143" s="1" t="s">
        <v>757</v>
      </c>
      <c r="E143" s="1" t="s">
        <v>129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9">
        <f>Tabelle58971121[[#This Row],[Durchschnittsauslastung min]]*Tabelle58971121[[#This Row],[installierte Leistung MW min]]</f>
        <v>0</v>
      </c>
      <c r="EG143" s="49">
        <f>Tabelle58971121[[#This Row],[Durchschnittsauslastung durch]]*Tabelle58971121[[#This Row],[installierte Leistung MW durch]]</f>
        <v>0</v>
      </c>
      <c r="EH143" s="49">
        <f>Tabelle58971121[[#This Row],[Durchschnittsauslastung max]]*Tabelle58971121[[#This Row],[installierte Leistung MW max]]</f>
        <v>0</v>
      </c>
      <c r="EI143" s="91">
        <f>Tabelle58971121[[#This Row],[Maximalauslastung durch]]*Tabelle58971121[[#This Row],[installierte Leistung MW min]]</f>
        <v>437</v>
      </c>
      <c r="EJ143" s="49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816</v>
      </c>
      <c r="GW143" s="13" t="s">
        <v>816</v>
      </c>
      <c r="GX143" s="13" t="s">
        <v>816</v>
      </c>
      <c r="GY143" s="13"/>
      <c r="GZ143" s="13" t="s">
        <v>816</v>
      </c>
      <c r="HA143" s="13" t="s">
        <v>816</v>
      </c>
      <c r="HB143" s="13" t="s">
        <v>816</v>
      </c>
      <c r="HC143" s="13" t="s">
        <v>816</v>
      </c>
      <c r="HD143" s="13" t="s">
        <v>816</v>
      </c>
      <c r="HE143" s="13" t="s">
        <v>816</v>
      </c>
      <c r="HF143" s="13" t="s">
        <v>816</v>
      </c>
      <c r="HI143" s="13" t="s">
        <v>816</v>
      </c>
      <c r="HJ143" s="13" t="s">
        <v>816</v>
      </c>
      <c r="HL143" s="13" t="s">
        <v>816</v>
      </c>
    </row>
    <row r="144" spans="1:220" ht="12.75" customHeight="1" x14ac:dyDescent="0.2">
      <c r="A144" s="1" t="s">
        <v>211</v>
      </c>
      <c r="B144" s="1" t="s">
        <v>757</v>
      </c>
      <c r="E144" s="1" t="s">
        <v>129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9">
        <f>Tabelle58971121[[#This Row],[Durchschnittsauslastung min]]*Tabelle58971121[[#This Row],[installierte Leistung MW min]]</f>
        <v>0</v>
      </c>
      <c r="EG144" s="49">
        <f>Tabelle58971121[[#This Row],[Durchschnittsauslastung durch]]*Tabelle58971121[[#This Row],[installierte Leistung MW durch]]</f>
        <v>0</v>
      </c>
      <c r="EH144" s="49">
        <f>Tabelle58971121[[#This Row],[Durchschnittsauslastung max]]*Tabelle58971121[[#This Row],[installierte Leistung MW max]]</f>
        <v>0</v>
      </c>
      <c r="EI144" s="91">
        <f>Tabelle58971121[[#This Row],[Maximalauslastung durch]]*Tabelle58971121[[#This Row],[installierte Leistung MW min]]</f>
        <v>437</v>
      </c>
      <c r="EJ144" s="49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816</v>
      </c>
      <c r="GW144" s="13" t="s">
        <v>816</v>
      </c>
      <c r="GX144" s="13" t="s">
        <v>816</v>
      </c>
      <c r="GY144" s="13"/>
      <c r="GZ144" s="13" t="s">
        <v>816</v>
      </c>
      <c r="HA144" s="13" t="s">
        <v>816</v>
      </c>
      <c r="HB144" s="13" t="s">
        <v>816</v>
      </c>
      <c r="HC144" s="13" t="s">
        <v>816</v>
      </c>
      <c r="HD144" s="13" t="s">
        <v>816</v>
      </c>
      <c r="HE144" s="13" t="s">
        <v>816</v>
      </c>
      <c r="HF144" s="13" t="s">
        <v>816</v>
      </c>
      <c r="HI144" s="13" t="s">
        <v>816</v>
      </c>
      <c r="HJ144" s="13" t="s">
        <v>816</v>
      </c>
      <c r="HL144" s="13" t="s">
        <v>816</v>
      </c>
    </row>
    <row r="145" spans="1:223" ht="12.75" customHeight="1" x14ac:dyDescent="0.2">
      <c r="A145" s="1" t="s">
        <v>211</v>
      </c>
      <c r="B145" s="1" t="s">
        <v>757</v>
      </c>
      <c r="E145" s="1" t="s">
        <v>129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9">
        <f>Tabelle58971121[[#This Row],[Durchschnittsauslastung min]]*Tabelle58971121[[#This Row],[installierte Leistung MW min]]</f>
        <v>0</v>
      </c>
      <c r="EG145" s="49">
        <f>Tabelle58971121[[#This Row],[Durchschnittsauslastung durch]]*Tabelle58971121[[#This Row],[installierte Leistung MW durch]]</f>
        <v>0</v>
      </c>
      <c r="EH145" s="49">
        <f>Tabelle58971121[[#This Row],[Durchschnittsauslastung max]]*Tabelle58971121[[#This Row],[installierte Leistung MW max]]</f>
        <v>0</v>
      </c>
      <c r="EI145" s="91">
        <f>Tabelle58971121[[#This Row],[Maximalauslastung durch]]*Tabelle58971121[[#This Row],[installierte Leistung MW min]]</f>
        <v>432.4</v>
      </c>
      <c r="EJ145" s="49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816</v>
      </c>
      <c r="GW145" s="13" t="s">
        <v>816</v>
      </c>
      <c r="GX145" s="13" t="s">
        <v>816</v>
      </c>
      <c r="GY145" s="13"/>
      <c r="GZ145" s="13" t="s">
        <v>816</v>
      </c>
      <c r="HA145" s="13" t="s">
        <v>816</v>
      </c>
      <c r="HB145" s="13" t="s">
        <v>816</v>
      </c>
      <c r="HC145" s="13" t="s">
        <v>816</v>
      </c>
      <c r="HD145" s="13" t="s">
        <v>816</v>
      </c>
      <c r="HE145" s="13" t="s">
        <v>816</v>
      </c>
      <c r="HF145" s="13" t="s">
        <v>816</v>
      </c>
      <c r="HI145" s="13" t="s">
        <v>816</v>
      </c>
      <c r="HJ145" s="13" t="s">
        <v>816</v>
      </c>
      <c r="HL145" s="13" t="s">
        <v>816</v>
      </c>
    </row>
    <row r="146" spans="1:223" ht="12.75" customHeight="1" x14ac:dyDescent="0.2">
      <c r="A146" s="1" t="s">
        <v>213</v>
      </c>
      <c r="B146" s="1" t="s">
        <v>661</v>
      </c>
      <c r="E146" s="1" t="s">
        <v>129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9">
        <f>Tabelle58971121[[#This Row],[Durchschnittsauslastung min]]*Tabelle58971121[[#This Row],[installierte Leistung MW min]]</f>
        <v>0</v>
      </c>
      <c r="EG146" s="49">
        <f>Tabelle58971121[[#This Row],[Durchschnittsauslastung durch]]*Tabelle58971121[[#This Row],[installierte Leistung MW durch]]</f>
        <v>0</v>
      </c>
      <c r="EH146" s="49">
        <f>Tabelle58971121[[#This Row],[Durchschnittsauslastung max]]*Tabelle58971121[[#This Row],[installierte Leistung MW max]]</f>
        <v>0</v>
      </c>
      <c r="EI146" s="91">
        <f>Tabelle58971121[[#This Row],[Maximalauslastung durch]]*Tabelle58971121[[#This Row],[installierte Leistung MW min]]</f>
        <v>123.42</v>
      </c>
      <c r="EJ146" s="49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816</v>
      </c>
      <c r="GW146" s="13" t="s">
        <v>816</v>
      </c>
      <c r="GX146" s="13" t="s">
        <v>816</v>
      </c>
      <c r="GY146" s="13"/>
      <c r="GZ146" s="13" t="s">
        <v>816</v>
      </c>
      <c r="HA146" s="13" t="s">
        <v>816</v>
      </c>
      <c r="HB146" s="13" t="s">
        <v>816</v>
      </c>
      <c r="HC146" s="13" t="s">
        <v>816</v>
      </c>
      <c r="HD146" s="13" t="s">
        <v>816</v>
      </c>
      <c r="HE146" s="13" t="s">
        <v>816</v>
      </c>
      <c r="HF146" s="13" t="s">
        <v>816</v>
      </c>
      <c r="HI146" s="13" t="s">
        <v>816</v>
      </c>
      <c r="HJ146" s="13" t="s">
        <v>816</v>
      </c>
      <c r="HL146" s="13" t="s">
        <v>816</v>
      </c>
    </row>
    <row r="147" spans="1:223" ht="12.75" customHeight="1" x14ac:dyDescent="0.2">
      <c r="A147" s="1" t="s">
        <v>213</v>
      </c>
      <c r="B147" s="1" t="s">
        <v>661</v>
      </c>
      <c r="E147" s="1" t="s">
        <v>129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9">
        <f>Tabelle58971121[[#This Row],[Durchschnittsauslastung min]]*Tabelle58971121[[#This Row],[installierte Leistung MW min]]</f>
        <v>0</v>
      </c>
      <c r="EG147" s="49">
        <f>Tabelle58971121[[#This Row],[Durchschnittsauslastung durch]]*Tabelle58971121[[#This Row],[installierte Leistung MW durch]]</f>
        <v>0</v>
      </c>
      <c r="EH147" s="49">
        <f>Tabelle58971121[[#This Row],[Durchschnittsauslastung max]]*Tabelle58971121[[#This Row],[installierte Leistung MW max]]</f>
        <v>0</v>
      </c>
      <c r="EI147" s="91">
        <f>Tabelle58971121[[#This Row],[Maximalauslastung durch]]*Tabelle58971121[[#This Row],[installierte Leistung MW min]]</f>
        <v>126.9033</v>
      </c>
      <c r="EJ147" s="49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816</v>
      </c>
      <c r="GW147" s="13" t="s">
        <v>816</v>
      </c>
      <c r="GX147" s="13" t="s">
        <v>816</v>
      </c>
      <c r="GY147" s="13"/>
      <c r="GZ147" s="13" t="s">
        <v>816</v>
      </c>
      <c r="HA147" s="13" t="s">
        <v>816</v>
      </c>
      <c r="HB147" s="13" t="s">
        <v>816</v>
      </c>
      <c r="HC147" s="13" t="s">
        <v>816</v>
      </c>
      <c r="HD147" s="13" t="s">
        <v>816</v>
      </c>
      <c r="HE147" s="13" t="s">
        <v>816</v>
      </c>
      <c r="HF147" s="13" t="s">
        <v>816</v>
      </c>
      <c r="HI147" s="13" t="s">
        <v>816</v>
      </c>
      <c r="HJ147" s="13" t="s">
        <v>816</v>
      </c>
      <c r="HL147" s="13" t="s">
        <v>816</v>
      </c>
    </row>
    <row r="148" spans="1:223" ht="12.75" customHeight="1" x14ac:dyDescent="0.2">
      <c r="A148" s="1" t="s">
        <v>213</v>
      </c>
      <c r="B148" s="1" t="s">
        <v>661</v>
      </c>
      <c r="E148" s="1" t="s">
        <v>129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9">
        <f>Tabelle58971121[[#This Row],[Durchschnittsauslastung min]]*Tabelle58971121[[#This Row],[installierte Leistung MW min]]</f>
        <v>0</v>
      </c>
      <c r="EG148" s="49">
        <f>Tabelle58971121[[#This Row],[Durchschnittsauslastung durch]]*Tabelle58971121[[#This Row],[installierte Leistung MW durch]]</f>
        <v>0</v>
      </c>
      <c r="EH148" s="49">
        <f>Tabelle58971121[[#This Row],[Durchschnittsauslastung max]]*Tabelle58971121[[#This Row],[installierte Leistung MW max]]</f>
        <v>0</v>
      </c>
      <c r="EI148" s="91">
        <f>Tabelle58971121[[#This Row],[Maximalauslastung durch]]*Tabelle58971121[[#This Row],[installierte Leistung MW min]]</f>
        <v>129.93780000000001</v>
      </c>
      <c r="EJ148" s="49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816</v>
      </c>
      <c r="GW148" s="13" t="s">
        <v>816</v>
      </c>
      <c r="GX148" s="13" t="s">
        <v>816</v>
      </c>
      <c r="GY148" s="13"/>
      <c r="GZ148" s="13" t="s">
        <v>816</v>
      </c>
      <c r="HA148" s="13" t="s">
        <v>816</v>
      </c>
      <c r="HB148" s="13" t="s">
        <v>816</v>
      </c>
      <c r="HC148" s="13" t="s">
        <v>816</v>
      </c>
      <c r="HD148" s="13" t="s">
        <v>816</v>
      </c>
      <c r="HE148" s="13" t="s">
        <v>816</v>
      </c>
      <c r="HF148" s="13" t="s">
        <v>816</v>
      </c>
      <c r="HI148" s="13" t="s">
        <v>816</v>
      </c>
      <c r="HJ148" s="13" t="s">
        <v>816</v>
      </c>
      <c r="HL148" s="13" t="s">
        <v>816</v>
      </c>
    </row>
    <row r="149" spans="1:223" ht="12.75" customHeight="1" x14ac:dyDescent="0.2">
      <c r="A149" s="1" t="s">
        <v>213</v>
      </c>
      <c r="B149" s="1" t="s">
        <v>661</v>
      </c>
      <c r="E149" s="1" t="s">
        <v>129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9">
        <f>Tabelle58971121[[#This Row],[Durchschnittsauslastung min]]*Tabelle58971121[[#This Row],[installierte Leistung MW min]]</f>
        <v>0</v>
      </c>
      <c r="EG149" s="49">
        <f>Tabelle58971121[[#This Row],[Durchschnittsauslastung durch]]*Tabelle58971121[[#This Row],[installierte Leistung MW durch]]</f>
        <v>0</v>
      </c>
      <c r="EH149" s="49">
        <f>Tabelle58971121[[#This Row],[Durchschnittsauslastung max]]*Tabelle58971121[[#This Row],[installierte Leistung MW max]]</f>
        <v>0</v>
      </c>
      <c r="EI149" s="91">
        <f>Tabelle58971121[[#This Row],[Maximalauslastung durch]]*Tabelle58971121[[#This Row],[installierte Leistung MW min]]</f>
        <v>133.977</v>
      </c>
      <c r="EJ149" s="49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816</v>
      </c>
      <c r="GW149" s="13" t="s">
        <v>816</v>
      </c>
      <c r="GX149" s="13" t="s">
        <v>816</v>
      </c>
      <c r="GY149" s="13"/>
      <c r="GZ149" s="13" t="s">
        <v>816</v>
      </c>
      <c r="HA149" s="13" t="s">
        <v>816</v>
      </c>
      <c r="HB149" s="13" t="s">
        <v>816</v>
      </c>
      <c r="HC149" s="13" t="s">
        <v>816</v>
      </c>
      <c r="HD149" s="13" t="s">
        <v>816</v>
      </c>
      <c r="HE149" s="13" t="s">
        <v>816</v>
      </c>
      <c r="HF149" s="13" t="s">
        <v>816</v>
      </c>
      <c r="HI149" s="13" t="s">
        <v>816</v>
      </c>
      <c r="HJ149" s="13" t="s">
        <v>816</v>
      </c>
      <c r="HL149" s="13" t="s">
        <v>816</v>
      </c>
    </row>
    <row r="150" spans="1:223" ht="12.75" customHeight="1" x14ac:dyDescent="0.2">
      <c r="A150" s="1" t="s">
        <v>213</v>
      </c>
      <c r="B150" s="1" t="s">
        <v>661</v>
      </c>
      <c r="E150" s="1" t="s">
        <v>129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9">
        <f>Tabelle58971121[[#This Row],[Durchschnittsauslastung min]]*Tabelle58971121[[#This Row],[installierte Leistung MW min]]</f>
        <v>0</v>
      </c>
      <c r="EG150" s="49">
        <f>Tabelle58971121[[#This Row],[Durchschnittsauslastung durch]]*Tabelle58971121[[#This Row],[installierte Leistung MW durch]]</f>
        <v>0</v>
      </c>
      <c r="EH150" s="49">
        <f>Tabelle58971121[[#This Row],[Durchschnittsauslastung max]]*Tabelle58971121[[#This Row],[installierte Leistung MW max]]</f>
        <v>0</v>
      </c>
      <c r="EI150" s="91">
        <f>Tabelle58971121[[#This Row],[Maximalauslastung durch]]*Tabelle58971121[[#This Row],[installierte Leistung MW min]]</f>
        <v>137.93970000000002</v>
      </c>
      <c r="EJ150" s="49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816</v>
      </c>
      <c r="GW150" s="13" t="s">
        <v>816</v>
      </c>
      <c r="GX150" s="13" t="s">
        <v>816</v>
      </c>
      <c r="GY150" s="13"/>
      <c r="GZ150" s="13" t="s">
        <v>816</v>
      </c>
      <c r="HA150" s="13" t="s">
        <v>816</v>
      </c>
      <c r="HB150" s="13" t="s">
        <v>816</v>
      </c>
      <c r="HC150" s="13" t="s">
        <v>816</v>
      </c>
      <c r="HD150" s="13" t="s">
        <v>816</v>
      </c>
      <c r="HE150" s="13" t="s">
        <v>816</v>
      </c>
      <c r="HF150" s="13" t="s">
        <v>816</v>
      </c>
      <c r="HI150" s="13" t="s">
        <v>816</v>
      </c>
      <c r="HJ150" s="13" t="s">
        <v>816</v>
      </c>
      <c r="HL150" s="13" t="s">
        <v>816</v>
      </c>
    </row>
    <row r="151" spans="1:223" ht="12.75" customHeight="1" x14ac:dyDescent="0.2">
      <c r="A151" s="1" t="s">
        <v>213</v>
      </c>
      <c r="B151" s="1" t="s">
        <v>661</v>
      </c>
      <c r="E151" s="1" t="s">
        <v>129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9">
        <f>Tabelle58971121[[#This Row],[Durchschnittsauslastung min]]*Tabelle58971121[[#This Row],[installierte Leistung MW min]]</f>
        <v>0</v>
      </c>
      <c r="EG151" s="49">
        <f>Tabelle58971121[[#This Row],[Durchschnittsauslastung durch]]*Tabelle58971121[[#This Row],[installierte Leistung MW durch]]</f>
        <v>0</v>
      </c>
      <c r="EH151" s="49">
        <f>Tabelle58971121[[#This Row],[Durchschnittsauslastung max]]*Tabelle58971121[[#This Row],[installierte Leistung MW max]]</f>
        <v>0</v>
      </c>
      <c r="EI151" s="91">
        <f>Tabelle58971121[[#This Row],[Maximalauslastung durch]]*Tabelle58971121[[#This Row],[installierte Leistung MW min]]</f>
        <v>141.97889999999998</v>
      </c>
      <c r="EJ151" s="49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816</v>
      </c>
      <c r="GW151" s="13" t="s">
        <v>816</v>
      </c>
      <c r="GX151" s="13" t="s">
        <v>816</v>
      </c>
      <c r="GY151" s="13"/>
      <c r="GZ151" s="13" t="s">
        <v>816</v>
      </c>
      <c r="HA151" s="13" t="s">
        <v>816</v>
      </c>
      <c r="HB151" s="13" t="s">
        <v>816</v>
      </c>
      <c r="HC151" s="13" t="s">
        <v>816</v>
      </c>
      <c r="HD151" s="13" t="s">
        <v>816</v>
      </c>
      <c r="HE151" s="13" t="s">
        <v>816</v>
      </c>
      <c r="HF151" s="13" t="s">
        <v>816</v>
      </c>
      <c r="HI151" s="13" t="s">
        <v>816</v>
      </c>
      <c r="HJ151" s="13" t="s">
        <v>816</v>
      </c>
      <c r="HL151" s="13" t="s">
        <v>816</v>
      </c>
    </row>
    <row r="152" spans="1:223" ht="12.75" customHeight="1" x14ac:dyDescent="0.2">
      <c r="A152" s="1" t="s">
        <v>213</v>
      </c>
      <c r="B152" s="1" t="s">
        <v>661</v>
      </c>
      <c r="E152" s="1" t="s">
        <v>129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9">
        <f>Tabelle58971121[[#This Row],[Durchschnittsauslastung min]]*Tabelle58971121[[#This Row],[installierte Leistung MW min]]</f>
        <v>0</v>
      </c>
      <c r="EG152" s="49">
        <f>Tabelle58971121[[#This Row],[Durchschnittsauslastung durch]]*Tabelle58971121[[#This Row],[installierte Leistung MW durch]]</f>
        <v>0</v>
      </c>
      <c r="EH152" s="49">
        <f>Tabelle58971121[[#This Row],[Durchschnittsauslastung max]]*Tabelle58971121[[#This Row],[installierte Leistung MW max]]</f>
        <v>0</v>
      </c>
      <c r="EI152" s="91">
        <f>Tabelle58971121[[#This Row],[Maximalauslastung durch]]*Tabelle58971121[[#This Row],[installierte Leistung MW min]]</f>
        <v>146.8545</v>
      </c>
      <c r="EJ152" s="49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816</v>
      </c>
      <c r="GW152" s="13" t="s">
        <v>816</v>
      </c>
      <c r="GX152" s="13" t="s">
        <v>816</v>
      </c>
      <c r="GY152" s="13"/>
      <c r="GZ152" s="13" t="s">
        <v>816</v>
      </c>
      <c r="HA152" s="13" t="s">
        <v>816</v>
      </c>
      <c r="HB152" s="13" t="s">
        <v>816</v>
      </c>
      <c r="HC152" s="13" t="s">
        <v>816</v>
      </c>
      <c r="HD152" s="13" t="s">
        <v>816</v>
      </c>
      <c r="HE152" s="13" t="s">
        <v>816</v>
      </c>
      <c r="HF152" s="13" t="s">
        <v>816</v>
      </c>
      <c r="HI152" s="13" t="s">
        <v>816</v>
      </c>
      <c r="HJ152" s="13" t="s">
        <v>816</v>
      </c>
      <c r="HL152" s="13" t="s">
        <v>816</v>
      </c>
    </row>
    <row r="153" spans="1:223" ht="12.75" customHeight="1" x14ac:dyDescent="0.2">
      <c r="A153" s="1" t="s">
        <v>213</v>
      </c>
      <c r="B153" s="1" t="s">
        <v>661</v>
      </c>
      <c r="E153" s="1" t="s">
        <v>129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9">
        <f>Tabelle58971121[[#This Row],[Durchschnittsauslastung min]]*Tabelle58971121[[#This Row],[installierte Leistung MW min]]</f>
        <v>0</v>
      </c>
      <c r="EG153" s="49">
        <f>Tabelle58971121[[#This Row],[Durchschnittsauslastung durch]]*Tabelle58971121[[#This Row],[installierte Leistung MW durch]]</f>
        <v>0</v>
      </c>
      <c r="EH153" s="49">
        <f>Tabelle58971121[[#This Row],[Durchschnittsauslastung max]]*Tabelle58971121[[#This Row],[installierte Leistung MW max]]</f>
        <v>0</v>
      </c>
      <c r="EI153" s="91">
        <f>Tabelle58971121[[#This Row],[Maximalauslastung durch]]*Tabelle58971121[[#This Row],[installierte Leistung MW min]]</f>
        <v>151.52610000000001</v>
      </c>
      <c r="EJ153" s="49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816</v>
      </c>
      <c r="GW153" s="13" t="s">
        <v>816</v>
      </c>
      <c r="GX153" s="13" t="s">
        <v>816</v>
      </c>
      <c r="GY153" s="13"/>
      <c r="GZ153" s="13" t="s">
        <v>816</v>
      </c>
      <c r="HA153" s="13" t="s">
        <v>816</v>
      </c>
      <c r="HB153" s="13" t="s">
        <v>816</v>
      </c>
      <c r="HC153" s="13" t="s">
        <v>816</v>
      </c>
      <c r="HD153" s="13" t="s">
        <v>816</v>
      </c>
      <c r="HE153" s="13" t="s">
        <v>816</v>
      </c>
      <c r="HF153" s="13" t="s">
        <v>816</v>
      </c>
      <c r="HI153" s="13" t="s">
        <v>816</v>
      </c>
      <c r="HJ153" s="13" t="s">
        <v>816</v>
      </c>
      <c r="HL153" s="13" t="s">
        <v>816</v>
      </c>
    </row>
    <row r="154" spans="1:223" ht="12.75" customHeight="1" x14ac:dyDescent="0.2">
      <c r="A154" s="1" t="s">
        <v>54</v>
      </c>
      <c r="D154" s="1" t="s">
        <v>585</v>
      </c>
      <c r="E154" s="1" t="s">
        <v>129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42">
        <v>0.95</v>
      </c>
      <c r="ED154" s="42">
        <v>0.92</v>
      </c>
      <c r="EE154" s="42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91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7">
        <v>8.3333333333333332E-3</v>
      </c>
      <c r="EU154" s="1">
        <v>0.23408333333333334</v>
      </c>
      <c r="EV154" s="1">
        <v>2.7777777777777778E-4</v>
      </c>
      <c r="EW154" s="57">
        <v>0.5</v>
      </c>
      <c r="EX154" s="1">
        <v>2.1</v>
      </c>
      <c r="EY154" s="1">
        <v>1.9000000000000001</v>
      </c>
      <c r="EZ154" s="57">
        <v>2.3000000000000003</v>
      </c>
      <c r="FA154" s="1">
        <v>2.1</v>
      </c>
      <c r="FB154" s="1">
        <v>1.9000000000000001</v>
      </c>
      <c r="FC154" s="57">
        <v>2.3000000000000003</v>
      </c>
      <c r="FD154" s="1">
        <v>4</v>
      </c>
      <c r="FE154" s="1">
        <v>3.6</v>
      </c>
      <c r="FF154" s="57">
        <v>4.4000000000000004</v>
      </c>
      <c r="FG154" s="1">
        <v>6.1</v>
      </c>
      <c r="FH154" s="1">
        <v>6.1</v>
      </c>
      <c r="FI154" s="57">
        <v>6.1</v>
      </c>
      <c r="FJ154" s="1">
        <v>4.2</v>
      </c>
      <c r="FK154" s="1">
        <v>3.7</v>
      </c>
      <c r="FL154" s="57">
        <v>4.7</v>
      </c>
      <c r="FN154" s="1" t="s">
        <v>656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653</v>
      </c>
      <c r="GW154" s="1" t="s">
        <v>653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652</v>
      </c>
      <c r="HD154" s="13" t="s">
        <v>651</v>
      </c>
      <c r="HE154" s="1">
        <v>202</v>
      </c>
      <c r="HF154" s="1">
        <v>202</v>
      </c>
      <c r="HH154" s="1" t="s">
        <v>655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654</v>
      </c>
    </row>
    <row r="155" spans="1:223" ht="12.75" customHeight="1" x14ac:dyDescent="0.2">
      <c r="A155" s="1" t="s">
        <v>54</v>
      </c>
      <c r="D155" s="1" t="s">
        <v>585</v>
      </c>
      <c r="E155" s="1" t="s">
        <v>129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42">
        <v>0.95</v>
      </c>
      <c r="ED155" s="42">
        <v>0.92</v>
      </c>
      <c r="EE155" s="42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9">
        <f>Tabelle58971121[[#This Row],[Durchschnittsauslastung max]]*Tabelle58971121[[#This Row],[installierte Leistung MW max]]</f>
        <v>893.76</v>
      </c>
      <c r="EI155" s="91">
        <f>Tabelle58971121[[#This Row],[Maximalauslastung durch]]*Tabelle58971121[[#This Row],[installierte Leistung MW min]]</f>
        <v>861.49799999999993</v>
      </c>
      <c r="EJ155" s="49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7">
        <v>8.3333333333333332E-3</v>
      </c>
      <c r="EU155" s="1">
        <v>0.23408333333333334</v>
      </c>
      <c r="EV155" s="1">
        <v>2.7777777777777778E-4</v>
      </c>
      <c r="EW155" s="57">
        <v>0.5</v>
      </c>
      <c r="EX155" s="1">
        <v>2.1</v>
      </c>
      <c r="EY155" s="1">
        <v>1.9000000000000001</v>
      </c>
      <c r="EZ155" s="57">
        <v>2.3000000000000003</v>
      </c>
      <c r="FA155" s="1">
        <v>2.1</v>
      </c>
      <c r="FB155" s="1">
        <v>1.9000000000000001</v>
      </c>
      <c r="FC155" s="57">
        <v>2.3000000000000003</v>
      </c>
      <c r="FD155" s="1">
        <v>4</v>
      </c>
      <c r="FE155" s="1">
        <v>3.6</v>
      </c>
      <c r="FF155" s="57">
        <v>4.4000000000000004</v>
      </c>
      <c r="FG155" s="1">
        <v>6.1</v>
      </c>
      <c r="FH155" s="1">
        <v>6.1</v>
      </c>
      <c r="FI155" s="57">
        <v>6.1</v>
      </c>
      <c r="FJ155" s="1">
        <v>4.2</v>
      </c>
      <c r="FK155" s="1">
        <v>3.7</v>
      </c>
      <c r="FL155" s="57">
        <v>4.7</v>
      </c>
      <c r="FN155" s="1" t="s">
        <v>656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653</v>
      </c>
      <c r="GW155" s="1" t="s">
        <v>653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652</v>
      </c>
      <c r="HD155" s="13" t="s">
        <v>651</v>
      </c>
      <c r="HE155" s="1">
        <v>202</v>
      </c>
      <c r="HF155" s="1">
        <v>202</v>
      </c>
      <c r="HH155" s="1" t="s">
        <v>655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654</v>
      </c>
    </row>
    <row r="156" spans="1:223" ht="12.75" customHeight="1" x14ac:dyDescent="0.2">
      <c r="A156" s="1" t="s">
        <v>54</v>
      </c>
      <c r="D156" s="1" t="s">
        <v>585</v>
      </c>
      <c r="E156" s="1" t="s">
        <v>129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42">
        <v>0.95</v>
      </c>
      <c r="ED156" s="42">
        <v>0.92</v>
      </c>
      <c r="EE156" s="42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9">
        <f>Tabelle58971121[[#This Row],[Durchschnittsauslastung max]]*Tabelle58971121[[#This Row],[installierte Leistung MW max]]</f>
        <v>846.72</v>
      </c>
      <c r="EI156" s="91">
        <f>Tabelle58971121[[#This Row],[Maximalauslastung durch]]*Tabelle58971121[[#This Row],[installierte Leistung MW min]]</f>
        <v>816.15599999999995</v>
      </c>
      <c r="EJ156" s="49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7">
        <v>8.3333333333333332E-3</v>
      </c>
      <c r="EU156" s="1">
        <v>0.23408333333333334</v>
      </c>
      <c r="EV156" s="1">
        <v>2.7777777777777778E-4</v>
      </c>
      <c r="EW156" s="57">
        <v>0.5</v>
      </c>
      <c r="EX156" s="1">
        <v>2.1</v>
      </c>
      <c r="EY156" s="1">
        <v>1.9000000000000001</v>
      </c>
      <c r="EZ156" s="57">
        <v>2.3000000000000003</v>
      </c>
      <c r="FA156" s="1">
        <v>2.1</v>
      </c>
      <c r="FB156" s="1">
        <v>1.9000000000000001</v>
      </c>
      <c r="FC156" s="57">
        <v>2.3000000000000003</v>
      </c>
      <c r="FD156" s="1">
        <v>4</v>
      </c>
      <c r="FE156" s="1">
        <v>3.6</v>
      </c>
      <c r="FF156" s="57">
        <v>4.4000000000000004</v>
      </c>
      <c r="FG156" s="1">
        <v>6.1</v>
      </c>
      <c r="FH156" s="1">
        <v>6.1</v>
      </c>
      <c r="FI156" s="57">
        <v>6.1</v>
      </c>
      <c r="FJ156" s="1">
        <v>4.2</v>
      </c>
      <c r="FK156" s="1">
        <v>3.7</v>
      </c>
      <c r="FL156" s="57">
        <v>4.7</v>
      </c>
      <c r="FN156" s="1" t="s">
        <v>656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653</v>
      </c>
      <c r="GW156" s="1" t="s">
        <v>653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652</v>
      </c>
      <c r="HD156" s="13" t="s">
        <v>651</v>
      </c>
      <c r="HE156" s="1">
        <v>202</v>
      </c>
      <c r="HF156" s="1">
        <v>202</v>
      </c>
      <c r="HH156" s="1" t="s">
        <v>655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654</v>
      </c>
    </row>
    <row r="157" spans="1:223" ht="12.75" customHeight="1" x14ac:dyDescent="0.2">
      <c r="A157" s="1" t="s">
        <v>54</v>
      </c>
      <c r="D157" s="1" t="s">
        <v>585</v>
      </c>
      <c r="E157" s="1" t="s">
        <v>129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42">
        <v>0.95</v>
      </c>
      <c r="ED157" s="42">
        <v>0.92</v>
      </c>
      <c r="EE157" s="42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9">
        <f>Tabelle58971121[[#This Row],[Durchschnittsauslastung max]]*Tabelle58971121[[#This Row],[installierte Leistung MW max]]</f>
        <v>809.08799999999997</v>
      </c>
      <c r="EI157" s="91">
        <f>Tabelle58971121[[#This Row],[Maximalauslastung durch]]*Tabelle58971121[[#This Row],[installierte Leistung MW min]]</f>
        <v>779.88239999999996</v>
      </c>
      <c r="EJ157" s="49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7">
        <v>8.3333333333333332E-3</v>
      </c>
      <c r="EU157" s="1">
        <v>0.23408333333333334</v>
      </c>
      <c r="EV157" s="1">
        <v>2.7777777777777778E-4</v>
      </c>
      <c r="EW157" s="57">
        <v>0.5</v>
      </c>
      <c r="EX157" s="1">
        <v>2.1</v>
      </c>
      <c r="EY157" s="1">
        <v>1.9000000000000001</v>
      </c>
      <c r="EZ157" s="57">
        <v>2.3000000000000003</v>
      </c>
      <c r="FA157" s="1">
        <v>2.1</v>
      </c>
      <c r="FB157" s="1">
        <v>1.9000000000000001</v>
      </c>
      <c r="FC157" s="57">
        <v>2.3000000000000003</v>
      </c>
      <c r="FD157" s="1">
        <v>4</v>
      </c>
      <c r="FE157" s="1">
        <v>3.6</v>
      </c>
      <c r="FF157" s="57">
        <v>4.4000000000000004</v>
      </c>
      <c r="FG157" s="1">
        <v>6.1</v>
      </c>
      <c r="FH157" s="1">
        <v>6.1</v>
      </c>
      <c r="FI157" s="57">
        <v>6.1</v>
      </c>
      <c r="FJ157" s="1">
        <v>4.2</v>
      </c>
      <c r="FK157" s="1">
        <v>3.7</v>
      </c>
      <c r="FL157" s="57">
        <v>4.7</v>
      </c>
      <c r="FN157" s="1" t="s">
        <v>656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653</v>
      </c>
      <c r="GW157" s="1" t="s">
        <v>653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652</v>
      </c>
      <c r="HD157" s="13" t="s">
        <v>651</v>
      </c>
      <c r="HE157" s="1">
        <v>202</v>
      </c>
      <c r="HF157" s="1">
        <v>202</v>
      </c>
      <c r="HH157" s="1" t="s">
        <v>655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654</v>
      </c>
    </row>
    <row r="158" spans="1:223" ht="12.75" customHeight="1" x14ac:dyDescent="0.2">
      <c r="A158" s="1" t="s">
        <v>54</v>
      </c>
      <c r="D158" s="1" t="s">
        <v>585</v>
      </c>
      <c r="E158" s="1" t="s">
        <v>129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42">
        <v>0.95</v>
      </c>
      <c r="ED158" s="42">
        <v>0.92</v>
      </c>
      <c r="EE158" s="42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9">
        <f>Tabelle58971121[[#This Row],[Durchschnittsauslastung max]]*Tabelle58971121[[#This Row],[installierte Leistung MW max]]</f>
        <v>771.4559999999999</v>
      </c>
      <c r="EI158" s="91">
        <f>Tabelle58971121[[#This Row],[Maximalauslastung durch]]*Tabelle58971121[[#This Row],[installierte Leistung MW min]]</f>
        <v>743.60879999999997</v>
      </c>
      <c r="EJ158" s="49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7">
        <v>8.3333333333333332E-3</v>
      </c>
      <c r="EU158" s="1">
        <v>0.23408333333333334</v>
      </c>
      <c r="EV158" s="1">
        <v>2.7777777777777778E-4</v>
      </c>
      <c r="EW158" s="57">
        <v>0.5</v>
      </c>
      <c r="EX158" s="1">
        <v>2.1</v>
      </c>
      <c r="EY158" s="1">
        <v>1.9000000000000001</v>
      </c>
      <c r="EZ158" s="57">
        <v>2.3000000000000003</v>
      </c>
      <c r="FA158" s="1">
        <v>2.1</v>
      </c>
      <c r="FB158" s="1">
        <v>1.9000000000000001</v>
      </c>
      <c r="FC158" s="57">
        <v>2.3000000000000003</v>
      </c>
      <c r="FD158" s="1">
        <v>4</v>
      </c>
      <c r="FE158" s="1">
        <v>3.6</v>
      </c>
      <c r="FF158" s="57">
        <v>4.4000000000000004</v>
      </c>
      <c r="FG158" s="1">
        <v>6.1</v>
      </c>
      <c r="FH158" s="1">
        <v>6.1</v>
      </c>
      <c r="FI158" s="57">
        <v>6.1</v>
      </c>
      <c r="FJ158" s="1">
        <v>4.2</v>
      </c>
      <c r="FK158" s="1">
        <v>3.7</v>
      </c>
      <c r="FL158" s="57">
        <v>4.7</v>
      </c>
      <c r="FN158" s="1" t="s">
        <v>656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653</v>
      </c>
      <c r="GW158" s="1" t="s">
        <v>653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652</v>
      </c>
      <c r="HD158" s="13" t="s">
        <v>651</v>
      </c>
      <c r="HE158" s="1">
        <v>202</v>
      </c>
      <c r="HF158" s="1">
        <v>202</v>
      </c>
      <c r="HH158" s="1" t="s">
        <v>655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654</v>
      </c>
    </row>
    <row r="159" spans="1:223" ht="12.75" customHeight="1" x14ac:dyDescent="0.2">
      <c r="A159" s="1" t="s">
        <v>54</v>
      </c>
      <c r="D159" s="1" t="s">
        <v>585</v>
      </c>
      <c r="E159" s="1" t="s">
        <v>129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42">
        <v>0.95</v>
      </c>
      <c r="ED159" s="42">
        <v>0.92</v>
      </c>
      <c r="EE159" s="42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9">
        <f>Tabelle58971121[[#This Row],[Durchschnittsauslastung max]]*Tabelle58971121[[#This Row],[installierte Leistung MW max]]</f>
        <v>733.82400000000007</v>
      </c>
      <c r="EI159" s="91">
        <f>Tabelle58971121[[#This Row],[Maximalauslastung durch]]*Tabelle58971121[[#This Row],[installierte Leistung MW min]]</f>
        <v>707.33519999999999</v>
      </c>
      <c r="EJ159" s="49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7">
        <v>8.3333333333333332E-3</v>
      </c>
      <c r="EU159" s="1">
        <v>0.23408333333333334</v>
      </c>
      <c r="EV159" s="1">
        <v>2.7777777777777778E-4</v>
      </c>
      <c r="EW159" s="57">
        <v>0.5</v>
      </c>
      <c r="EX159" s="1">
        <v>2.1</v>
      </c>
      <c r="EY159" s="1">
        <v>1.9000000000000001</v>
      </c>
      <c r="EZ159" s="57">
        <v>2.3000000000000003</v>
      </c>
      <c r="FA159" s="1">
        <v>2.1</v>
      </c>
      <c r="FB159" s="1">
        <v>1.9000000000000001</v>
      </c>
      <c r="FC159" s="57">
        <v>2.3000000000000003</v>
      </c>
      <c r="FD159" s="1">
        <v>4</v>
      </c>
      <c r="FE159" s="1">
        <v>3.6</v>
      </c>
      <c r="FF159" s="57">
        <v>4.4000000000000004</v>
      </c>
      <c r="FG159" s="1">
        <v>6.1</v>
      </c>
      <c r="FH159" s="1">
        <v>6.1</v>
      </c>
      <c r="FI159" s="57">
        <v>6.1</v>
      </c>
      <c r="FJ159" s="1">
        <v>4.2</v>
      </c>
      <c r="FK159" s="1">
        <v>3.7</v>
      </c>
      <c r="FL159" s="57">
        <v>4.7</v>
      </c>
      <c r="FN159" s="1" t="s">
        <v>656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653</v>
      </c>
      <c r="GW159" s="1" t="s">
        <v>653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652</v>
      </c>
      <c r="HD159" s="13" t="s">
        <v>651</v>
      </c>
      <c r="HE159" s="1">
        <v>202</v>
      </c>
      <c r="HF159" s="1">
        <v>202</v>
      </c>
      <c r="HH159" s="1" t="s">
        <v>655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654</v>
      </c>
    </row>
    <row r="160" spans="1:223" ht="12.75" customHeight="1" x14ac:dyDescent="0.2">
      <c r="A160" s="1" t="s">
        <v>54</v>
      </c>
      <c r="D160" s="1" t="s">
        <v>585</v>
      </c>
      <c r="E160" s="1" t="s">
        <v>129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42">
        <v>0.95</v>
      </c>
      <c r="ED160" s="42">
        <v>0.92</v>
      </c>
      <c r="EE160" s="42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9">
        <f>Tabelle58971121[[#This Row],[Durchschnittsauslastung max]]*Tabelle58971121[[#This Row],[installierte Leistung MW max]]</f>
        <v>696.19200000000001</v>
      </c>
      <c r="EI160" s="91">
        <f>Tabelle58971121[[#This Row],[Maximalauslastung durch]]*Tabelle58971121[[#This Row],[installierte Leistung MW min]]</f>
        <v>671.0616</v>
      </c>
      <c r="EJ160" s="49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7">
        <v>8.3333333333333332E-3</v>
      </c>
      <c r="EU160" s="1">
        <v>0.23408333333333334</v>
      </c>
      <c r="EV160" s="1">
        <v>2.7777777777777778E-4</v>
      </c>
      <c r="EW160" s="57">
        <v>0.5</v>
      </c>
      <c r="EX160" s="1">
        <v>2.1</v>
      </c>
      <c r="EY160" s="1">
        <v>1.9000000000000001</v>
      </c>
      <c r="EZ160" s="57">
        <v>2.3000000000000003</v>
      </c>
      <c r="FA160" s="1">
        <v>2.1</v>
      </c>
      <c r="FB160" s="1">
        <v>1.9000000000000001</v>
      </c>
      <c r="FC160" s="57">
        <v>2.3000000000000003</v>
      </c>
      <c r="FD160" s="1">
        <v>4</v>
      </c>
      <c r="FE160" s="1">
        <v>3.6</v>
      </c>
      <c r="FF160" s="57">
        <v>4.4000000000000004</v>
      </c>
      <c r="FG160" s="1">
        <v>6.1</v>
      </c>
      <c r="FH160" s="1">
        <v>6.1</v>
      </c>
      <c r="FI160" s="57">
        <v>6.1</v>
      </c>
      <c r="FJ160" s="1">
        <v>4.2</v>
      </c>
      <c r="FK160" s="1">
        <v>3.7</v>
      </c>
      <c r="FL160" s="57">
        <v>4.7</v>
      </c>
      <c r="FN160" s="1" t="s">
        <v>656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653</v>
      </c>
      <c r="GW160" s="1" t="s">
        <v>653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652</v>
      </c>
      <c r="HD160" s="13" t="s">
        <v>651</v>
      </c>
      <c r="HE160" s="1">
        <v>202</v>
      </c>
      <c r="HF160" s="1">
        <v>202</v>
      </c>
      <c r="HH160" s="1" t="s">
        <v>655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654</v>
      </c>
    </row>
    <row r="161" spans="1:223" ht="12.75" customHeight="1" x14ac:dyDescent="0.2">
      <c r="A161" s="1" t="s">
        <v>54</v>
      </c>
      <c r="D161" s="1" t="s">
        <v>585</v>
      </c>
      <c r="E161" s="1" t="s">
        <v>129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42">
        <v>0.95</v>
      </c>
      <c r="ED161" s="42">
        <v>0.92</v>
      </c>
      <c r="EE161" s="42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9">
        <f>Tabelle58971121[[#This Row],[Durchschnittsauslastung max]]*Tabelle58971121[[#This Row],[installierte Leistung MW max]]</f>
        <v>658.56</v>
      </c>
      <c r="EI161" s="91">
        <f>Tabelle58971121[[#This Row],[Maximalauslastung durch]]*Tabelle58971121[[#This Row],[installierte Leistung MW min]]</f>
        <v>634.7879999999999</v>
      </c>
      <c r="EJ161" s="49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7">
        <v>8.3333333333333332E-3</v>
      </c>
      <c r="EU161" s="1">
        <v>0.23408333333333334</v>
      </c>
      <c r="EV161" s="1">
        <v>2.7777777777777778E-4</v>
      </c>
      <c r="EW161" s="57">
        <v>0.5</v>
      </c>
      <c r="EX161" s="1">
        <v>2.1</v>
      </c>
      <c r="EY161" s="1">
        <v>1.9000000000000001</v>
      </c>
      <c r="EZ161" s="57">
        <v>2.3000000000000003</v>
      </c>
      <c r="FA161" s="1">
        <v>2.1</v>
      </c>
      <c r="FB161" s="1">
        <v>1.9000000000000001</v>
      </c>
      <c r="FC161" s="57">
        <v>2.3000000000000003</v>
      </c>
      <c r="FD161" s="1">
        <v>4</v>
      </c>
      <c r="FE161" s="1">
        <v>3.6</v>
      </c>
      <c r="FF161" s="57">
        <v>4.4000000000000004</v>
      </c>
      <c r="FG161" s="1">
        <v>6.1</v>
      </c>
      <c r="FH161" s="1">
        <v>6.1</v>
      </c>
      <c r="FI161" s="57">
        <v>6.1</v>
      </c>
      <c r="FJ161" s="1">
        <v>4.2</v>
      </c>
      <c r="FK161" s="1">
        <v>3.7</v>
      </c>
      <c r="FL161" s="57">
        <v>4.7</v>
      </c>
      <c r="FN161" s="1" t="s">
        <v>656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653</v>
      </c>
      <c r="GW161" s="1" t="s">
        <v>653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652</v>
      </c>
      <c r="HD161" s="13" t="s">
        <v>651</v>
      </c>
      <c r="HE161" s="1">
        <v>202</v>
      </c>
      <c r="HF161" s="1">
        <v>202</v>
      </c>
      <c r="HH161" s="1" t="s">
        <v>655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654</v>
      </c>
    </row>
    <row r="162" spans="1:223" ht="12.75" customHeight="1" x14ac:dyDescent="0.2">
      <c r="A162" s="1" t="s">
        <v>375</v>
      </c>
      <c r="D162" s="1" t="s">
        <v>591</v>
      </c>
      <c r="E162" s="1" t="s">
        <v>129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42">
        <v>0.8</v>
      </c>
      <c r="ED162" s="42">
        <v>0.72</v>
      </c>
      <c r="EE162" s="42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9">
        <f>Tabelle58971121[[#This Row],[Durchschnittsauslastung max]]*Tabelle58971121[[#This Row],[installierte Leistung MW max]]</f>
        <v>88</v>
      </c>
      <c r="EI162" s="91">
        <f>Tabelle58971121[[#This Row],[Maximalauslastung durch]]*Tabelle58971121[[#This Row],[installierte Leistung MW min]]</f>
        <v>53.199999999999996</v>
      </c>
      <c r="EJ162" s="49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7">
        <v>0.25</v>
      </c>
      <c r="EU162" s="1">
        <v>0.16666666666666663</v>
      </c>
      <c r="EV162" s="1">
        <v>8.3333333333333329E-2</v>
      </c>
      <c r="EW162" s="57">
        <v>0.25</v>
      </c>
      <c r="EX162" s="1">
        <v>2</v>
      </c>
      <c r="EY162" s="1">
        <v>1.6</v>
      </c>
      <c r="EZ162" s="57">
        <v>2.4</v>
      </c>
      <c r="FA162" s="1">
        <v>2</v>
      </c>
      <c r="FB162" s="1">
        <v>1.6</v>
      </c>
      <c r="FC162" s="57">
        <v>2.4</v>
      </c>
      <c r="FD162" s="1">
        <v>4</v>
      </c>
      <c r="FE162" s="1">
        <v>3.2</v>
      </c>
      <c r="FF162" s="57">
        <v>4.8</v>
      </c>
      <c r="FG162" s="1">
        <v>6</v>
      </c>
      <c r="FH162" s="1">
        <v>6</v>
      </c>
      <c r="FI162" s="57">
        <v>6</v>
      </c>
      <c r="FJ162" s="1">
        <v>4.8</v>
      </c>
      <c r="FK162" s="1">
        <v>3.4</v>
      </c>
      <c r="FL162" s="57">
        <v>6.1999999999999993</v>
      </c>
      <c r="FN162" s="1" t="s">
        <v>656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653</v>
      </c>
      <c r="GW162" s="1" t="s">
        <v>653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652</v>
      </c>
      <c r="HD162" s="13" t="s">
        <v>651</v>
      </c>
      <c r="HE162" s="1">
        <v>202</v>
      </c>
      <c r="HF162" s="1">
        <v>202</v>
      </c>
      <c r="HH162" s="1" t="s">
        <v>655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654</v>
      </c>
    </row>
    <row r="163" spans="1:223" ht="12.75" customHeight="1" x14ac:dyDescent="0.2">
      <c r="A163" s="1" t="s">
        <v>375</v>
      </c>
      <c r="D163" s="1" t="s">
        <v>591</v>
      </c>
      <c r="E163" s="1" t="s">
        <v>129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42">
        <v>0.8</v>
      </c>
      <c r="ED163" s="42">
        <v>0.72</v>
      </c>
      <c r="EE163" s="42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9">
        <f>Tabelle58971121[[#This Row],[Durchschnittsauslastung max]]*Tabelle58971121[[#This Row],[installierte Leistung MW max]]</f>
        <v>82.72</v>
      </c>
      <c r="EI163" s="91">
        <f>Tabelle58971121[[#This Row],[Maximalauslastung durch]]*Tabelle58971121[[#This Row],[installierte Leistung MW min]]</f>
        <v>50.007999999999996</v>
      </c>
      <c r="EJ163" s="49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7">
        <v>0.25</v>
      </c>
      <c r="EU163" s="1">
        <v>0.16666666666666663</v>
      </c>
      <c r="EV163" s="1">
        <v>8.3333333333333329E-2</v>
      </c>
      <c r="EW163" s="57">
        <v>0.25</v>
      </c>
      <c r="EX163" s="1">
        <v>2</v>
      </c>
      <c r="EY163" s="1">
        <v>1.6</v>
      </c>
      <c r="EZ163" s="57">
        <v>2.4</v>
      </c>
      <c r="FA163" s="1">
        <v>2</v>
      </c>
      <c r="FB163" s="1">
        <v>1.6</v>
      </c>
      <c r="FC163" s="57">
        <v>2.4</v>
      </c>
      <c r="FD163" s="1">
        <v>4</v>
      </c>
      <c r="FE163" s="1">
        <v>3.2</v>
      </c>
      <c r="FF163" s="57">
        <v>4.8</v>
      </c>
      <c r="FG163" s="1">
        <v>6</v>
      </c>
      <c r="FH163" s="1">
        <v>6</v>
      </c>
      <c r="FI163" s="57">
        <v>6</v>
      </c>
      <c r="FJ163" s="1">
        <v>4.8</v>
      </c>
      <c r="FK163" s="1">
        <v>3.4</v>
      </c>
      <c r="FL163" s="57">
        <v>6.1999999999999993</v>
      </c>
      <c r="FN163" s="1" t="s">
        <v>656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653</v>
      </c>
      <c r="GW163" s="1" t="s">
        <v>653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652</v>
      </c>
      <c r="HD163" s="13" t="s">
        <v>651</v>
      </c>
      <c r="HE163" s="1">
        <v>202</v>
      </c>
      <c r="HF163" s="1">
        <v>202</v>
      </c>
      <c r="HH163" s="1" t="s">
        <v>655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654</v>
      </c>
    </row>
    <row r="164" spans="1:223" ht="12.75" customHeight="1" x14ac:dyDescent="0.2">
      <c r="A164" s="1" t="s">
        <v>375</v>
      </c>
      <c r="D164" s="1" t="s">
        <v>591</v>
      </c>
      <c r="E164" s="1" t="s">
        <v>129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42">
        <v>0.8</v>
      </c>
      <c r="ED164" s="42">
        <v>0.72</v>
      </c>
      <c r="EE164" s="42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9">
        <f>Tabelle58971121[[#This Row],[Durchschnittsauslastung max]]*Tabelle58971121[[#This Row],[installierte Leistung MW max]]</f>
        <v>77.44</v>
      </c>
      <c r="EI164" s="91">
        <f>Tabelle58971121[[#This Row],[Maximalauslastung durch]]*Tabelle58971121[[#This Row],[installierte Leistung MW min]]</f>
        <v>46.815999999999995</v>
      </c>
      <c r="EJ164" s="49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7">
        <v>0.25</v>
      </c>
      <c r="EU164" s="1">
        <v>0.16666666666666663</v>
      </c>
      <c r="EV164" s="1">
        <v>8.3333333333333329E-2</v>
      </c>
      <c r="EW164" s="57">
        <v>0.25</v>
      </c>
      <c r="EX164" s="1">
        <v>2</v>
      </c>
      <c r="EY164" s="1">
        <v>1.6</v>
      </c>
      <c r="EZ164" s="57">
        <v>2.4</v>
      </c>
      <c r="FA164" s="1">
        <v>2</v>
      </c>
      <c r="FB164" s="1">
        <v>1.6</v>
      </c>
      <c r="FC164" s="57">
        <v>2.4</v>
      </c>
      <c r="FD164" s="1">
        <v>4</v>
      </c>
      <c r="FE164" s="1">
        <v>3.2</v>
      </c>
      <c r="FF164" s="57">
        <v>4.8</v>
      </c>
      <c r="FG164" s="1">
        <v>6</v>
      </c>
      <c r="FH164" s="1">
        <v>6</v>
      </c>
      <c r="FI164" s="57">
        <v>6</v>
      </c>
      <c r="FJ164" s="1">
        <v>4.8</v>
      </c>
      <c r="FK164" s="1">
        <v>3.4</v>
      </c>
      <c r="FL164" s="57">
        <v>6.1999999999999993</v>
      </c>
      <c r="FN164" s="1" t="s">
        <v>656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653</v>
      </c>
      <c r="GW164" s="1" t="s">
        <v>653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652</v>
      </c>
      <c r="HD164" s="13" t="s">
        <v>651</v>
      </c>
      <c r="HE164" s="1">
        <v>202</v>
      </c>
      <c r="HF164" s="1">
        <v>202</v>
      </c>
      <c r="HH164" s="1" t="s">
        <v>655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654</v>
      </c>
    </row>
    <row r="165" spans="1:223" ht="12.75" customHeight="1" x14ac:dyDescent="0.2">
      <c r="A165" s="1" t="s">
        <v>375</v>
      </c>
      <c r="D165" s="1" t="s">
        <v>591</v>
      </c>
      <c r="E165" s="1" t="s">
        <v>129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42">
        <v>0.8</v>
      </c>
      <c r="ED165" s="42">
        <v>0.72</v>
      </c>
      <c r="EE165" s="42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9">
        <f>Tabelle58971121[[#This Row],[Durchschnittsauslastung max]]*Tabelle58971121[[#This Row],[installierte Leistung MW max]]</f>
        <v>72.16</v>
      </c>
      <c r="EI165" s="91">
        <f>Tabelle58971121[[#This Row],[Maximalauslastung durch]]*Tabelle58971121[[#This Row],[installierte Leistung MW min]]</f>
        <v>43.623999999999995</v>
      </c>
      <c r="EJ165" s="49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7">
        <v>0.25</v>
      </c>
      <c r="EU165" s="1">
        <v>0.16666666666666663</v>
      </c>
      <c r="EV165" s="1">
        <v>8.3333333333333329E-2</v>
      </c>
      <c r="EW165" s="57">
        <v>0.25</v>
      </c>
      <c r="EX165" s="1">
        <v>2</v>
      </c>
      <c r="EY165" s="1">
        <v>1.6</v>
      </c>
      <c r="EZ165" s="57">
        <v>2.4</v>
      </c>
      <c r="FA165" s="1">
        <v>2</v>
      </c>
      <c r="FB165" s="1">
        <v>1.6</v>
      </c>
      <c r="FC165" s="57">
        <v>2.4</v>
      </c>
      <c r="FD165" s="1">
        <v>4</v>
      </c>
      <c r="FE165" s="1">
        <v>3.2</v>
      </c>
      <c r="FF165" s="57">
        <v>4.8</v>
      </c>
      <c r="FG165" s="1">
        <v>6</v>
      </c>
      <c r="FH165" s="1">
        <v>6</v>
      </c>
      <c r="FI165" s="57">
        <v>6</v>
      </c>
      <c r="FJ165" s="1">
        <v>4.8</v>
      </c>
      <c r="FK165" s="1">
        <v>3.4</v>
      </c>
      <c r="FL165" s="57">
        <v>6.1999999999999993</v>
      </c>
      <c r="FN165" s="1" t="s">
        <v>656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653</v>
      </c>
      <c r="GW165" s="1" t="s">
        <v>653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652</v>
      </c>
      <c r="HD165" s="13" t="s">
        <v>651</v>
      </c>
      <c r="HE165" s="1">
        <v>202</v>
      </c>
      <c r="HF165" s="1">
        <v>202</v>
      </c>
      <c r="HH165" s="1" t="s">
        <v>655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654</v>
      </c>
    </row>
    <row r="166" spans="1:223" ht="12.75" customHeight="1" x14ac:dyDescent="0.2">
      <c r="A166" s="1" t="s">
        <v>375</v>
      </c>
      <c r="D166" s="1" t="s">
        <v>591</v>
      </c>
      <c r="E166" s="1" t="s">
        <v>129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42">
        <v>0.8</v>
      </c>
      <c r="ED166" s="42">
        <v>0.72</v>
      </c>
      <c r="EE166" s="42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9">
        <f>Tabelle58971121[[#This Row],[Durchschnittsauslastung max]]*Tabelle58971121[[#This Row],[installierte Leistung MW max]]</f>
        <v>67.760000000000005</v>
      </c>
      <c r="EI166" s="91">
        <f>Tabelle58971121[[#This Row],[Maximalauslastung durch]]*Tabelle58971121[[#This Row],[installierte Leistung MW min]]</f>
        <v>40.964000000000006</v>
      </c>
      <c r="EJ166" s="49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7">
        <v>0.25</v>
      </c>
      <c r="EU166" s="1">
        <v>0.16666666666666663</v>
      </c>
      <c r="EV166" s="1">
        <v>8.3333333333333329E-2</v>
      </c>
      <c r="EW166" s="57">
        <v>0.25</v>
      </c>
      <c r="EX166" s="1">
        <v>2</v>
      </c>
      <c r="EY166" s="1">
        <v>1.6</v>
      </c>
      <c r="EZ166" s="57">
        <v>2.4</v>
      </c>
      <c r="FA166" s="1">
        <v>2</v>
      </c>
      <c r="FB166" s="1">
        <v>1.6</v>
      </c>
      <c r="FC166" s="57">
        <v>2.4</v>
      </c>
      <c r="FD166" s="1">
        <v>4</v>
      </c>
      <c r="FE166" s="1">
        <v>3.2</v>
      </c>
      <c r="FF166" s="57">
        <v>4.8</v>
      </c>
      <c r="FG166" s="1">
        <v>6</v>
      </c>
      <c r="FH166" s="1">
        <v>6</v>
      </c>
      <c r="FI166" s="57">
        <v>6</v>
      </c>
      <c r="FJ166" s="1">
        <v>4.8</v>
      </c>
      <c r="FK166" s="1">
        <v>3.4</v>
      </c>
      <c r="FL166" s="57">
        <v>6.1999999999999993</v>
      </c>
      <c r="FN166" s="1" t="s">
        <v>656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653</v>
      </c>
      <c r="GW166" s="1" t="s">
        <v>653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652</v>
      </c>
      <c r="HD166" s="13" t="s">
        <v>651</v>
      </c>
      <c r="HE166" s="1">
        <v>202</v>
      </c>
      <c r="HF166" s="1">
        <v>202</v>
      </c>
      <c r="HH166" s="1" t="s">
        <v>655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654</v>
      </c>
    </row>
    <row r="167" spans="1:223" ht="12.75" customHeight="1" x14ac:dyDescent="0.2">
      <c r="A167" s="1" t="s">
        <v>375</v>
      </c>
      <c r="D167" s="1" t="s">
        <v>591</v>
      </c>
      <c r="E167" s="1" t="s">
        <v>129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42">
        <v>0.8</v>
      </c>
      <c r="ED167" s="42">
        <v>0.72</v>
      </c>
      <c r="EE167" s="42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9">
        <f>Tabelle58971121[[#This Row],[Durchschnittsauslastung max]]*Tabelle58971121[[#This Row],[installierte Leistung MW max]]</f>
        <v>64.239999999999995</v>
      </c>
      <c r="EI167" s="91">
        <f>Tabelle58971121[[#This Row],[Maximalauslastung durch]]*Tabelle58971121[[#This Row],[installierte Leistung MW min]]</f>
        <v>38.835999999999991</v>
      </c>
      <c r="EJ167" s="49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7">
        <v>0.25</v>
      </c>
      <c r="EU167" s="1">
        <v>0.16666666666666663</v>
      </c>
      <c r="EV167" s="1">
        <v>8.3333333333333329E-2</v>
      </c>
      <c r="EW167" s="57">
        <v>0.25</v>
      </c>
      <c r="EX167" s="1">
        <v>2</v>
      </c>
      <c r="EY167" s="1">
        <v>1.6</v>
      </c>
      <c r="EZ167" s="57">
        <v>2.4</v>
      </c>
      <c r="FA167" s="1">
        <v>2</v>
      </c>
      <c r="FB167" s="1">
        <v>1.6</v>
      </c>
      <c r="FC167" s="57">
        <v>2.4</v>
      </c>
      <c r="FD167" s="1">
        <v>4</v>
      </c>
      <c r="FE167" s="1">
        <v>3.2</v>
      </c>
      <c r="FF167" s="57">
        <v>4.8</v>
      </c>
      <c r="FG167" s="1">
        <v>6</v>
      </c>
      <c r="FH167" s="1">
        <v>6</v>
      </c>
      <c r="FI167" s="57">
        <v>6</v>
      </c>
      <c r="FJ167" s="1">
        <v>4.8</v>
      </c>
      <c r="FK167" s="1">
        <v>3.4</v>
      </c>
      <c r="FL167" s="57">
        <v>6.1999999999999993</v>
      </c>
      <c r="FN167" s="1" t="s">
        <v>656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653</v>
      </c>
      <c r="GW167" s="1" t="s">
        <v>653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652</v>
      </c>
      <c r="HD167" s="13" t="s">
        <v>651</v>
      </c>
      <c r="HE167" s="1">
        <v>202</v>
      </c>
      <c r="HF167" s="1">
        <v>202</v>
      </c>
      <c r="HH167" s="1" t="s">
        <v>655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654</v>
      </c>
    </row>
    <row r="168" spans="1:223" ht="12.75" customHeight="1" x14ac:dyDescent="0.2">
      <c r="A168" s="1" t="s">
        <v>375</v>
      </c>
      <c r="D168" s="1" t="s">
        <v>591</v>
      </c>
      <c r="E168" s="1" t="s">
        <v>129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42">
        <v>0.8</v>
      </c>
      <c r="ED168" s="42">
        <v>0.72</v>
      </c>
      <c r="EE168" s="42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9">
        <f>Tabelle58971121[[#This Row],[Durchschnittsauslastung max]]*Tabelle58971121[[#This Row],[installierte Leistung MW max]]</f>
        <v>59.84</v>
      </c>
      <c r="EI168" s="91">
        <f>Tabelle58971121[[#This Row],[Maximalauslastung durch]]*Tabelle58971121[[#This Row],[installierte Leistung MW min]]</f>
        <v>36.176000000000002</v>
      </c>
      <c r="EJ168" s="49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7">
        <v>0.25</v>
      </c>
      <c r="EU168" s="1">
        <v>0.16666666666666663</v>
      </c>
      <c r="EV168" s="1">
        <v>8.3333333333333329E-2</v>
      </c>
      <c r="EW168" s="57">
        <v>0.25</v>
      </c>
      <c r="EX168" s="1">
        <v>2</v>
      </c>
      <c r="EY168" s="1">
        <v>1.6</v>
      </c>
      <c r="EZ168" s="57">
        <v>2.4</v>
      </c>
      <c r="FA168" s="1">
        <v>2</v>
      </c>
      <c r="FB168" s="1">
        <v>1.6</v>
      </c>
      <c r="FC168" s="57">
        <v>2.4</v>
      </c>
      <c r="FD168" s="1">
        <v>4</v>
      </c>
      <c r="FE168" s="1">
        <v>3.2</v>
      </c>
      <c r="FF168" s="57">
        <v>4.8</v>
      </c>
      <c r="FG168" s="1">
        <v>6</v>
      </c>
      <c r="FH168" s="1">
        <v>6</v>
      </c>
      <c r="FI168" s="57">
        <v>6</v>
      </c>
      <c r="FJ168" s="1">
        <v>4.8</v>
      </c>
      <c r="FK168" s="1">
        <v>3.4</v>
      </c>
      <c r="FL168" s="57">
        <v>6.1999999999999993</v>
      </c>
      <c r="FN168" s="1" t="s">
        <v>656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653</v>
      </c>
      <c r="GW168" s="1" t="s">
        <v>653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652</v>
      </c>
      <c r="HD168" s="13" t="s">
        <v>651</v>
      </c>
      <c r="HE168" s="1">
        <v>202</v>
      </c>
      <c r="HF168" s="1">
        <v>202</v>
      </c>
      <c r="HH168" s="1" t="s">
        <v>655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654</v>
      </c>
    </row>
    <row r="169" spans="1:223" ht="12.75" customHeight="1" x14ac:dyDescent="0.2">
      <c r="A169" s="1" t="s">
        <v>375</v>
      </c>
      <c r="D169" s="1" t="s">
        <v>591</v>
      </c>
      <c r="E169" s="1" t="s">
        <v>129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42">
        <v>0.8</v>
      </c>
      <c r="ED169" s="42">
        <v>0.72</v>
      </c>
      <c r="EE169" s="42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9">
        <f>Tabelle58971121[[#This Row],[Durchschnittsauslastung max]]*Tabelle58971121[[#This Row],[installierte Leistung MW max]]</f>
        <v>56.32</v>
      </c>
      <c r="EI169" s="91">
        <f>Tabelle58971121[[#This Row],[Maximalauslastung durch]]*Tabelle58971121[[#This Row],[installierte Leistung MW min]]</f>
        <v>34.048000000000002</v>
      </c>
      <c r="EJ169" s="49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7">
        <v>0.25</v>
      </c>
      <c r="EU169" s="1">
        <v>0.16666666666666663</v>
      </c>
      <c r="EV169" s="1">
        <v>8.3333333333333329E-2</v>
      </c>
      <c r="EW169" s="57">
        <v>0.25</v>
      </c>
      <c r="EX169" s="1">
        <v>2</v>
      </c>
      <c r="EY169" s="1">
        <v>1.6</v>
      </c>
      <c r="EZ169" s="57">
        <v>2.4</v>
      </c>
      <c r="FA169" s="1">
        <v>2</v>
      </c>
      <c r="FB169" s="1">
        <v>1.6</v>
      </c>
      <c r="FC169" s="57">
        <v>2.4</v>
      </c>
      <c r="FD169" s="1">
        <v>4</v>
      </c>
      <c r="FE169" s="1">
        <v>3.2</v>
      </c>
      <c r="FF169" s="57">
        <v>4.8</v>
      </c>
      <c r="FG169" s="1">
        <v>6</v>
      </c>
      <c r="FH169" s="1">
        <v>6</v>
      </c>
      <c r="FI169" s="57">
        <v>6</v>
      </c>
      <c r="FJ169" s="1">
        <v>4.8</v>
      </c>
      <c r="FK169" s="1">
        <v>3.4</v>
      </c>
      <c r="FL169" s="57">
        <v>6.1999999999999993</v>
      </c>
      <c r="FN169" s="1" t="s">
        <v>656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653</v>
      </c>
      <c r="GW169" s="1" t="s">
        <v>653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652</v>
      </c>
      <c r="HD169" s="13" t="s">
        <v>651</v>
      </c>
      <c r="HE169" s="1">
        <v>202</v>
      </c>
      <c r="HF169" s="1">
        <v>202</v>
      </c>
      <c r="HH169" s="1" t="s">
        <v>655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654</v>
      </c>
    </row>
    <row r="170" spans="1:223" ht="12.75" customHeight="1" x14ac:dyDescent="0.2">
      <c r="A170" s="1" t="s">
        <v>29</v>
      </c>
      <c r="D170" s="1" t="s">
        <v>29</v>
      </c>
      <c r="E170" s="1" t="s">
        <v>129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42">
        <v>0.86</v>
      </c>
      <c r="ED170" s="42">
        <v>0.83</v>
      </c>
      <c r="EE170" s="42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9">
        <f>Tabelle58971121[[#This Row],[Durchschnittsauslastung max]]*Tabelle58971121[[#This Row],[installierte Leistung MW max]]</f>
        <v>1755.08</v>
      </c>
      <c r="EI170" s="91">
        <f>Tabelle58971121[[#This Row],[Maximalauslastung durch]]*Tabelle58971121[[#This Row],[installierte Leistung MW min]]</f>
        <v>1373.7</v>
      </c>
      <c r="EJ170" s="49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7">
        <v>1</v>
      </c>
      <c r="EU170" s="1">
        <v>7.3143749999999993E-2</v>
      </c>
      <c r="EV170" s="1">
        <v>0</v>
      </c>
      <c r="EW170" s="57">
        <v>0.25</v>
      </c>
      <c r="EX170" s="1">
        <v>7</v>
      </c>
      <c r="EY170" s="1">
        <v>4.8</v>
      </c>
      <c r="EZ170" s="57">
        <v>8.8000000000000007</v>
      </c>
      <c r="FA170" s="1">
        <v>7</v>
      </c>
      <c r="FB170" s="1">
        <v>4.8</v>
      </c>
      <c r="FC170" s="57">
        <v>8.8000000000000007</v>
      </c>
      <c r="FD170" s="1">
        <v>3.45</v>
      </c>
      <c r="FE170" s="1">
        <v>2.4</v>
      </c>
      <c r="FF170" s="57">
        <v>4.3</v>
      </c>
      <c r="FG170" s="1">
        <v>10.4</v>
      </c>
      <c r="FH170" s="1">
        <v>10.4</v>
      </c>
      <c r="FI170" s="57">
        <v>10.4</v>
      </c>
      <c r="FJ170" s="1">
        <v>4.05</v>
      </c>
      <c r="FK170" s="1">
        <v>2.4</v>
      </c>
      <c r="FL170" s="57">
        <v>5.8</v>
      </c>
      <c r="FN170" s="1" t="s">
        <v>656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653</v>
      </c>
      <c r="GW170" s="1" t="s">
        <v>653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652</v>
      </c>
      <c r="HD170" s="13" t="s">
        <v>651</v>
      </c>
      <c r="HE170" s="1">
        <v>202</v>
      </c>
      <c r="HF170" s="1">
        <v>202</v>
      </c>
      <c r="HH170" s="1" t="s">
        <v>655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654</v>
      </c>
    </row>
    <row r="171" spans="1:223" ht="12.75" customHeight="1" x14ac:dyDescent="0.2">
      <c r="A171" s="1" t="s">
        <v>29</v>
      </c>
      <c r="D171" s="1" t="s">
        <v>29</v>
      </c>
      <c r="E171" s="1" t="s">
        <v>129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42">
        <v>0.86</v>
      </c>
      <c r="ED171" s="42">
        <v>0.83</v>
      </c>
      <c r="EE171" s="42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9">
        <f>Tabelle58971121[[#This Row],[Durchschnittsauslastung max]]*Tabelle58971121[[#This Row],[installierte Leistung MW max]]</f>
        <v>1712.1826033898305</v>
      </c>
      <c r="EI171" s="91">
        <f>Tabelle58971121[[#This Row],[Maximalauslastung durch]]*Tabelle58971121[[#This Row],[installierte Leistung MW min]]</f>
        <v>1340.1242349503211</v>
      </c>
      <c r="EJ171" s="49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7">
        <v>1</v>
      </c>
      <c r="EU171" s="1">
        <v>8.9386535304760414E-2</v>
      </c>
      <c r="EV171" s="1">
        <v>0</v>
      </c>
      <c r="EW171" s="57">
        <v>0.25</v>
      </c>
      <c r="EX171" s="1">
        <v>7.7072814196192141</v>
      </c>
      <c r="EY171" s="1">
        <v>4.8</v>
      </c>
      <c r="EZ171" s="57">
        <v>8.8000000000000007</v>
      </c>
      <c r="FA171" s="1">
        <v>7.7072814196192141</v>
      </c>
      <c r="FB171" s="1">
        <v>4.8</v>
      </c>
      <c r="FC171" s="57">
        <v>8.8000000000000007</v>
      </c>
      <c r="FD171" s="1">
        <v>3.7682766388286462</v>
      </c>
      <c r="FE171" s="1">
        <v>2.4</v>
      </c>
      <c r="FF171" s="57">
        <v>4.3</v>
      </c>
      <c r="FG171" s="1">
        <v>11.460922129428823</v>
      </c>
      <c r="FH171" s="1">
        <v>4.4830641602682899</v>
      </c>
      <c r="FI171" s="57">
        <v>4.4571409002180333</v>
      </c>
      <c r="FJ171" s="1">
        <v>4.4694592554427919</v>
      </c>
      <c r="FK171" s="1">
        <v>2.4</v>
      </c>
      <c r="FL171" s="57">
        <v>5.8</v>
      </c>
      <c r="FN171" s="1" t="s">
        <v>656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653</v>
      </c>
      <c r="GW171" s="1" t="s">
        <v>653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652</v>
      </c>
      <c r="HD171" s="13" t="s">
        <v>651</v>
      </c>
      <c r="HE171" s="1">
        <v>202</v>
      </c>
      <c r="HF171" s="1">
        <v>202</v>
      </c>
      <c r="HH171" s="1" t="s">
        <v>655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654</v>
      </c>
    </row>
    <row r="172" spans="1:223" ht="12.75" customHeight="1" x14ac:dyDescent="0.2">
      <c r="A172" s="1" t="s">
        <v>29</v>
      </c>
      <c r="D172" s="1" t="s">
        <v>29</v>
      </c>
      <c r="E172" s="1" t="s">
        <v>129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42">
        <v>0.85999999999999988</v>
      </c>
      <c r="ED172" s="42">
        <v>0.83</v>
      </c>
      <c r="EE172" s="42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9">
        <f>Tabelle58971121[[#This Row],[Durchschnittsauslastung max]]*Tabelle58971121[[#This Row],[installierte Leistung MW max]]</f>
        <v>1661.3150305084746</v>
      </c>
      <c r="EI172" s="91">
        <f>Tabelle58971121[[#This Row],[Maximalauslastung durch]]*Tabelle58971121[[#This Row],[installierte Leistung MW min]]</f>
        <v>1300.310218001169</v>
      </c>
      <c r="EJ172" s="49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7">
        <v>1</v>
      </c>
      <c r="EU172" s="1">
        <v>8.9392817112149775E-2</v>
      </c>
      <c r="EV172" s="1">
        <v>0</v>
      </c>
      <c r="EW172" s="57">
        <v>0.25</v>
      </c>
      <c r="EX172" s="1">
        <v>7.7072468958193134</v>
      </c>
      <c r="EY172" s="1">
        <v>4.8</v>
      </c>
      <c r="EZ172" s="57">
        <v>8.8000000000000007</v>
      </c>
      <c r="FA172" s="1">
        <v>7.7072468958193134</v>
      </c>
      <c r="FB172" s="1">
        <v>4.8</v>
      </c>
      <c r="FC172" s="57">
        <v>8.8000000000000007</v>
      </c>
      <c r="FD172" s="1">
        <v>3.7682611031186908</v>
      </c>
      <c r="FE172" s="1">
        <v>2.4</v>
      </c>
      <c r="FF172" s="57">
        <v>4.3</v>
      </c>
      <c r="FG172" s="1">
        <v>11.460870343728969</v>
      </c>
      <c r="FH172" s="1">
        <v>4.4830051389331036</v>
      </c>
      <c r="FI172" s="57">
        <v>4.4570746198417606</v>
      </c>
      <c r="FJ172" s="1">
        <v>4.4693965756765603</v>
      </c>
      <c r="FK172" s="1">
        <v>2.4</v>
      </c>
      <c r="FL172" s="57">
        <v>5.8</v>
      </c>
      <c r="FN172" s="1" t="s">
        <v>656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653</v>
      </c>
      <c r="GW172" s="1" t="s">
        <v>653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652</v>
      </c>
      <c r="HD172" s="13" t="s">
        <v>651</v>
      </c>
      <c r="HE172" s="1">
        <v>202</v>
      </c>
      <c r="HF172" s="1">
        <v>202</v>
      </c>
      <c r="HH172" s="1" t="s">
        <v>655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654</v>
      </c>
    </row>
    <row r="173" spans="1:223" ht="12.75" customHeight="1" x14ac:dyDescent="0.2">
      <c r="A173" s="1" t="s">
        <v>29</v>
      </c>
      <c r="D173" s="1" t="s">
        <v>29</v>
      </c>
      <c r="E173" s="1" t="s">
        <v>129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42">
        <v>0.86</v>
      </c>
      <c r="ED173" s="42">
        <v>0.83</v>
      </c>
      <c r="EE173" s="42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9">
        <f>Tabelle58971121[[#This Row],[Durchschnittsauslastung max]]*Tabelle58971121[[#This Row],[installierte Leistung MW max]]</f>
        <v>1592.8966576271187</v>
      </c>
      <c r="EI173" s="91">
        <f>Tabelle58971121[[#This Row],[Maximalauslastung durch]]*Tabelle58971121[[#This Row],[installierte Leistung MW min]]</f>
        <v>1246.7592010520164</v>
      </c>
      <c r="EJ173" s="49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7">
        <v>1</v>
      </c>
      <c r="EU173" s="1">
        <v>8.9399301481610266E-2</v>
      </c>
      <c r="EV173" s="1">
        <v>0</v>
      </c>
      <c r="EW173" s="57">
        <v>0.25</v>
      </c>
      <c r="EX173" s="1">
        <v>7.7078350688071913</v>
      </c>
      <c r="EY173" s="1">
        <v>4.8</v>
      </c>
      <c r="EZ173" s="57">
        <v>8.8000000000000007</v>
      </c>
      <c r="FA173" s="1">
        <v>7.7078350688071913</v>
      </c>
      <c r="FB173" s="1">
        <v>4.8</v>
      </c>
      <c r="FC173" s="57">
        <v>8.8000000000000007</v>
      </c>
      <c r="FD173" s="1">
        <v>3.7685257809632366</v>
      </c>
      <c r="FE173" s="1">
        <v>2.4</v>
      </c>
      <c r="FF173" s="57">
        <v>4.3</v>
      </c>
      <c r="FG173" s="1">
        <v>11.461752603210787</v>
      </c>
      <c r="FH173" s="1">
        <v>4.4832923416739501</v>
      </c>
      <c r="FI173" s="57">
        <v>4.4574033511875175</v>
      </c>
      <c r="FJ173" s="1">
        <v>4.4697061607712065</v>
      </c>
      <c r="FK173" s="1">
        <v>2.4</v>
      </c>
      <c r="FL173" s="57">
        <v>5.8</v>
      </c>
      <c r="FN173" s="1" t="s">
        <v>656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653</v>
      </c>
      <c r="GW173" s="1" t="s">
        <v>653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652</v>
      </c>
      <c r="HD173" s="13" t="s">
        <v>651</v>
      </c>
      <c r="HE173" s="1">
        <v>202</v>
      </c>
      <c r="HF173" s="1">
        <v>202</v>
      </c>
      <c r="HH173" s="1" t="s">
        <v>655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654</v>
      </c>
    </row>
    <row r="174" spans="1:223" ht="12.75" customHeight="1" x14ac:dyDescent="0.2">
      <c r="A174" s="1" t="s">
        <v>29</v>
      </c>
      <c r="D174" s="1" t="s">
        <v>29</v>
      </c>
      <c r="E174" s="1" t="s">
        <v>129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42">
        <v>0.86</v>
      </c>
      <c r="ED174" s="42">
        <v>0.83</v>
      </c>
      <c r="EE174" s="42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9">
        <f>Tabelle58971121[[#This Row],[Durchschnittsauslastung max]]*Tabelle58971121[[#This Row],[installierte Leistung MW max]]</f>
        <v>1524.4782847457625</v>
      </c>
      <c r="EI174" s="91">
        <f>Tabelle58971121[[#This Row],[Maximalauslastung durch]]*Tabelle58971121[[#This Row],[installierte Leistung MW min]]</f>
        <v>1193.2081841028635</v>
      </c>
      <c r="EJ174" s="49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7">
        <v>1</v>
      </c>
      <c r="EU174" s="1">
        <v>8.9406367886265464E-2</v>
      </c>
      <c r="EV174" s="1">
        <v>0</v>
      </c>
      <c r="EW174" s="57">
        <v>0.25</v>
      </c>
      <c r="EX174" s="1">
        <v>7.7084760360384603</v>
      </c>
      <c r="EY174" s="1">
        <v>4.8</v>
      </c>
      <c r="EZ174" s="57">
        <v>8.8000000000000007</v>
      </c>
      <c r="FA174" s="1">
        <v>7.7084760360384603</v>
      </c>
      <c r="FB174" s="1">
        <v>4.8</v>
      </c>
      <c r="FC174" s="57">
        <v>8.8000000000000007</v>
      </c>
      <c r="FD174" s="1">
        <v>3.7688142162173071</v>
      </c>
      <c r="FE174" s="1">
        <v>2.4</v>
      </c>
      <c r="FF174" s="57">
        <v>4.3</v>
      </c>
      <c r="FG174" s="1">
        <v>11.46271405405769</v>
      </c>
      <c r="FH174" s="1">
        <v>4.4836052924061471</v>
      </c>
      <c r="FI174" s="57">
        <v>4.4577616217567755</v>
      </c>
      <c r="FJ174" s="1">
        <v>4.4700435341376261</v>
      </c>
      <c r="FK174" s="1">
        <v>2.4</v>
      </c>
      <c r="FL174" s="57">
        <v>5.8</v>
      </c>
      <c r="FN174" s="1" t="s">
        <v>656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653</v>
      </c>
      <c r="GW174" s="1" t="s">
        <v>653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652</v>
      </c>
      <c r="HD174" s="13" t="s">
        <v>651</v>
      </c>
      <c r="HE174" s="1">
        <v>202</v>
      </c>
      <c r="HF174" s="1">
        <v>202</v>
      </c>
      <c r="HH174" s="1" t="s">
        <v>655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654</v>
      </c>
    </row>
    <row r="175" spans="1:223" ht="12.75" customHeight="1" x14ac:dyDescent="0.2">
      <c r="A175" s="1" t="s">
        <v>29</v>
      </c>
      <c r="D175" s="1" t="s">
        <v>29</v>
      </c>
      <c r="E175" s="1" t="s">
        <v>129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42">
        <v>0.85999999999999988</v>
      </c>
      <c r="ED175" s="42">
        <v>0.82999999999999985</v>
      </c>
      <c r="EE175" s="42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9">
        <f>Tabelle58971121[[#This Row],[Durchschnittsauslastung max]]*Tabelle58971121[[#This Row],[installierte Leistung MW max]]</f>
        <v>1456.0599118644066</v>
      </c>
      <c r="EI175" s="91">
        <f>Tabelle58971121[[#This Row],[Maximalauslastung durch]]*Tabelle58971121[[#This Row],[installierte Leistung MW min]]</f>
        <v>1139.6571671537113</v>
      </c>
      <c r="EJ175" s="49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7">
        <v>1</v>
      </c>
      <c r="EU175" s="1">
        <v>8.9414098373359438E-2</v>
      </c>
      <c r="EV175" s="1">
        <v>0</v>
      </c>
      <c r="EW175" s="57">
        <v>0.25</v>
      </c>
      <c r="EX175" s="1">
        <v>7.7091772397128544</v>
      </c>
      <c r="EY175" s="1">
        <v>4.8</v>
      </c>
      <c r="EZ175" s="57">
        <v>8.8000000000000007</v>
      </c>
      <c r="FA175" s="1">
        <v>7.7091772397128544</v>
      </c>
      <c r="FB175" s="1">
        <v>4.8</v>
      </c>
      <c r="FC175" s="57">
        <v>8.8000000000000007</v>
      </c>
      <c r="FD175" s="1">
        <v>3.7691297578707843</v>
      </c>
      <c r="FE175" s="1">
        <v>2.4</v>
      </c>
      <c r="FF175" s="57">
        <v>4.3</v>
      </c>
      <c r="FG175" s="1">
        <v>11.46376585956928</v>
      </c>
      <c r="FH175" s="1">
        <v>4.4839476161183454</v>
      </c>
      <c r="FI175" s="57">
        <v>4.4581536003651712</v>
      </c>
      <c r="FJ175" s="1">
        <v>4.4704126129807182</v>
      </c>
      <c r="FK175" s="1">
        <v>2.4</v>
      </c>
      <c r="FL175" s="57">
        <v>5.8</v>
      </c>
      <c r="FN175" s="1" t="s">
        <v>656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653</v>
      </c>
      <c r="GW175" s="1" t="s">
        <v>653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652</v>
      </c>
      <c r="HD175" s="13" t="s">
        <v>651</v>
      </c>
      <c r="HE175" s="1">
        <v>202</v>
      </c>
      <c r="HF175" s="1">
        <v>202</v>
      </c>
      <c r="HH175" s="1" t="s">
        <v>655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654</v>
      </c>
    </row>
    <row r="176" spans="1:223" ht="12.75" customHeight="1" x14ac:dyDescent="0.2">
      <c r="A176" s="1" t="s">
        <v>29</v>
      </c>
      <c r="D176" s="1" t="s">
        <v>29</v>
      </c>
      <c r="E176" s="1" t="s">
        <v>129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42">
        <v>0.86</v>
      </c>
      <c r="ED176" s="42">
        <v>0.83</v>
      </c>
      <c r="EE176" s="42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9">
        <f>Tabelle58971121[[#This Row],[Durchschnittsauslastung max]]*Tabelle58971121[[#This Row],[installierte Leistung MW max]]</f>
        <v>1394.6474983050848</v>
      </c>
      <c r="EI176" s="91">
        <f>Tabelle58971121[[#This Row],[Maximalauslastung durch]]*Tabelle58971121[[#This Row],[installierte Leistung MW min]]</f>
        <v>1091.5897101110463</v>
      </c>
      <c r="EJ176" s="49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7">
        <v>1</v>
      </c>
      <c r="EU176" s="1">
        <v>8.9371761922040299E-2</v>
      </c>
      <c r="EV176" s="1">
        <v>0</v>
      </c>
      <c r="EW176" s="57">
        <v>0.25</v>
      </c>
      <c r="EX176" s="1">
        <v>7.7070063694267521</v>
      </c>
      <c r="EY176" s="1">
        <v>4.8</v>
      </c>
      <c r="EZ176" s="57">
        <v>8.8000000000000007</v>
      </c>
      <c r="FA176" s="1">
        <v>7.7070063694267521</v>
      </c>
      <c r="FB176" s="1">
        <v>4.8</v>
      </c>
      <c r="FC176" s="57">
        <v>8.8000000000000007</v>
      </c>
      <c r="FD176" s="1">
        <v>3.7681528662420374</v>
      </c>
      <c r="FE176" s="1">
        <v>2.4</v>
      </c>
      <c r="FF176" s="57">
        <v>4.3</v>
      </c>
      <c r="FG176" s="1">
        <v>11.460509554140128</v>
      </c>
      <c r="FH176" s="1">
        <v>4.4830041483499468</v>
      </c>
      <c r="FI176" s="57">
        <v>4.4570699851453242</v>
      </c>
      <c r="FJ176" s="1">
        <v>4.4693929186096115</v>
      </c>
      <c r="FK176" s="1">
        <v>2.4</v>
      </c>
      <c r="FL176" s="57">
        <v>5.8</v>
      </c>
      <c r="FN176" s="1" t="s">
        <v>656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653</v>
      </c>
      <c r="GW176" s="1" t="s">
        <v>653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652</v>
      </c>
      <c r="HD176" s="13" t="s">
        <v>651</v>
      </c>
      <c r="HE176" s="1">
        <v>202</v>
      </c>
      <c r="HF176" s="1">
        <v>202</v>
      </c>
      <c r="HH176" s="1" t="s">
        <v>655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654</v>
      </c>
    </row>
    <row r="177" spans="1:223" ht="12.75" customHeight="1" x14ac:dyDescent="0.2">
      <c r="A177" s="1" t="s">
        <v>29</v>
      </c>
      <c r="D177" s="1" t="s">
        <v>29</v>
      </c>
      <c r="E177" s="1" t="s">
        <v>129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42">
        <v>0.86</v>
      </c>
      <c r="ED177" s="42">
        <v>0.83</v>
      </c>
      <c r="EE177" s="42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9">
        <f>Tabelle58971121[[#This Row],[Durchschnittsauslastung max]]*Tabelle58971121[[#This Row],[installierte Leistung MW max]]</f>
        <v>1338.5587932203391</v>
      </c>
      <c r="EI177" s="91">
        <f>Tabelle58971121[[#This Row],[Maximalauslastung durch]]*Tabelle58971121[[#This Row],[installierte Leistung MW min]]</f>
        <v>1047.6891163062539</v>
      </c>
      <c r="EJ177" s="49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7">
        <v>1</v>
      </c>
      <c r="EU177" s="1">
        <v>8.9440709619684519E-2</v>
      </c>
      <c r="EV177" s="1">
        <v>0</v>
      </c>
      <c r="EW177" s="57">
        <v>0.25</v>
      </c>
      <c r="EX177" s="1">
        <v>7.7077260257176583</v>
      </c>
      <c r="EY177" s="1">
        <v>4.8</v>
      </c>
      <c r="EZ177" s="57">
        <v>8.8000000000000007</v>
      </c>
      <c r="FA177" s="1">
        <v>7.7077260257176583</v>
      </c>
      <c r="FB177" s="1">
        <v>4.8</v>
      </c>
      <c r="FC177" s="57">
        <v>8.8000000000000007</v>
      </c>
      <c r="FD177" s="1">
        <v>3.7684767115729461</v>
      </c>
      <c r="FE177" s="1">
        <v>2.4</v>
      </c>
      <c r="FF177" s="57">
        <v>4.3</v>
      </c>
      <c r="FG177" s="1">
        <v>11.461589038576488</v>
      </c>
      <c r="FH177" s="1">
        <v>4.4829694604792154</v>
      </c>
      <c r="FI177" s="57">
        <v>4.4570418832875749</v>
      </c>
      <c r="FJ177" s="1">
        <v>4.4693641086946529</v>
      </c>
      <c r="FK177" s="1">
        <v>2.4</v>
      </c>
      <c r="FL177" s="57">
        <v>5.8</v>
      </c>
      <c r="FN177" s="1" t="s">
        <v>656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653</v>
      </c>
      <c r="GW177" s="1" t="s">
        <v>653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652</v>
      </c>
      <c r="HD177" s="13" t="s">
        <v>651</v>
      </c>
      <c r="HE177" s="1">
        <v>202</v>
      </c>
      <c r="HF177" s="1">
        <v>202</v>
      </c>
      <c r="HH177" s="1" t="s">
        <v>655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654</v>
      </c>
    </row>
    <row r="178" spans="1:223" ht="12.75" customHeight="1" x14ac:dyDescent="0.2">
      <c r="A178" s="1" t="s">
        <v>84</v>
      </c>
      <c r="D178" s="1" t="s">
        <v>587</v>
      </c>
      <c r="E178" s="1" t="s">
        <v>129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42">
        <v>0.52</v>
      </c>
      <c r="ED178" s="42">
        <v>0.49</v>
      </c>
      <c r="EE178" s="42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9">
        <f>Tabelle58971121[[#This Row],[Durchschnittsauslastung max]]*Tabelle58971121[[#This Row],[installierte Leistung MW max]]</f>
        <v>1166</v>
      </c>
      <c r="EI178" s="91">
        <f>Tabelle58971121[[#This Row],[Maximalauslastung durch]]*Tabelle58971121[[#This Row],[installierte Leistung MW min]]</f>
        <v>1229.5999999999999</v>
      </c>
      <c r="EJ178" s="49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7">
        <v>3</v>
      </c>
      <c r="EU178" s="1">
        <v>1.3888888888888889E-4</v>
      </c>
      <c r="EV178" s="1">
        <v>0</v>
      </c>
      <c r="EW178" s="57">
        <v>2.7777777777777778E-4</v>
      </c>
      <c r="EX178" s="1">
        <v>3.7</v>
      </c>
      <c r="EY178" s="1">
        <v>3.3000000000000003</v>
      </c>
      <c r="EZ178" s="57">
        <v>4.1000000000000005</v>
      </c>
      <c r="FA178" s="1">
        <v>3.7</v>
      </c>
      <c r="FB178" s="1">
        <v>3.3000000000000003</v>
      </c>
      <c r="FC178" s="57">
        <v>4.1000000000000005</v>
      </c>
      <c r="FD178" s="1">
        <v>1</v>
      </c>
      <c r="FE178" s="1">
        <v>0.9</v>
      </c>
      <c r="FF178" s="57">
        <v>1.1000000000000001</v>
      </c>
      <c r="FG178" s="1">
        <v>4.7</v>
      </c>
      <c r="FH178" s="1">
        <v>4.7</v>
      </c>
      <c r="FI178" s="57">
        <v>4.7</v>
      </c>
      <c r="FJ178" s="1">
        <v>1.1000000000000001</v>
      </c>
      <c r="FK178" s="1">
        <v>0.90000000000000013</v>
      </c>
      <c r="FL178" s="57">
        <v>1.3</v>
      </c>
      <c r="FN178" s="1" t="s">
        <v>656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653</v>
      </c>
      <c r="GW178" s="1" t="s">
        <v>653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652</v>
      </c>
      <c r="HD178" s="13" t="s">
        <v>651</v>
      </c>
      <c r="HE178" s="1">
        <v>202</v>
      </c>
      <c r="HF178" s="1">
        <v>202</v>
      </c>
      <c r="HH178" s="1" t="s">
        <v>655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654</v>
      </c>
    </row>
    <row r="179" spans="1:223" ht="12.75" customHeight="1" x14ac:dyDescent="0.2">
      <c r="A179" s="1" t="s">
        <v>84</v>
      </c>
      <c r="D179" s="1" t="s">
        <v>587</v>
      </c>
      <c r="E179" s="1" t="s">
        <v>129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42">
        <v>0.52</v>
      </c>
      <c r="ED179" s="42">
        <v>0.49</v>
      </c>
      <c r="EE179" s="42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9">
        <f>Tabelle58971121[[#This Row],[Durchschnittsauslastung max]]*Tabelle58971121[[#This Row],[installierte Leistung MW max]]</f>
        <v>1166</v>
      </c>
      <c r="EI179" s="91">
        <f>Tabelle58971121[[#This Row],[Maximalauslastung durch]]*Tabelle58971121[[#This Row],[installierte Leistung MW min]]</f>
        <v>1229.5999999999999</v>
      </c>
      <c r="EJ179" s="49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7">
        <v>3</v>
      </c>
      <c r="EU179" s="1">
        <v>1.3888888888888889E-4</v>
      </c>
      <c r="EV179" s="1">
        <v>0</v>
      </c>
      <c r="EW179" s="57">
        <v>2.7777777777777778E-4</v>
      </c>
      <c r="EX179" s="1">
        <v>3.7</v>
      </c>
      <c r="EY179" s="1">
        <v>3.3000000000000003</v>
      </c>
      <c r="EZ179" s="57">
        <v>4.1000000000000005</v>
      </c>
      <c r="FA179" s="1">
        <v>3.7</v>
      </c>
      <c r="FB179" s="1">
        <v>3.3000000000000003</v>
      </c>
      <c r="FC179" s="57">
        <v>4.1000000000000005</v>
      </c>
      <c r="FD179" s="1">
        <v>1</v>
      </c>
      <c r="FE179" s="1">
        <v>0.9</v>
      </c>
      <c r="FF179" s="57">
        <v>1.1000000000000001</v>
      </c>
      <c r="FG179" s="1">
        <v>4.7</v>
      </c>
      <c r="FH179" s="1">
        <v>4.7</v>
      </c>
      <c r="FI179" s="57">
        <v>4.7</v>
      </c>
      <c r="FJ179" s="1">
        <v>1.1000000000000001</v>
      </c>
      <c r="FK179" s="1">
        <v>0.90000000000000013</v>
      </c>
      <c r="FL179" s="57">
        <v>1.3</v>
      </c>
      <c r="FN179" s="1" t="s">
        <v>656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653</v>
      </c>
      <c r="GW179" s="1" t="s">
        <v>653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652</v>
      </c>
      <c r="HD179" s="13" t="s">
        <v>651</v>
      </c>
      <c r="HE179" s="1">
        <v>202</v>
      </c>
      <c r="HF179" s="1">
        <v>202</v>
      </c>
      <c r="HH179" s="1" t="s">
        <v>655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654</v>
      </c>
    </row>
    <row r="180" spans="1:223" ht="12.75" customHeight="1" x14ac:dyDescent="0.2">
      <c r="A180" s="1" t="s">
        <v>84</v>
      </c>
      <c r="D180" s="1" t="s">
        <v>587</v>
      </c>
      <c r="E180" s="1" t="s">
        <v>129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42">
        <v>0.52</v>
      </c>
      <c r="ED180" s="42">
        <v>0.49</v>
      </c>
      <c r="EE180" s="42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9">
        <f>Tabelle58971121[[#This Row],[Durchschnittsauslastung max]]*Tabelle58971121[[#This Row],[installierte Leistung MW max]]</f>
        <v>1166</v>
      </c>
      <c r="EI180" s="91">
        <f>Tabelle58971121[[#This Row],[Maximalauslastung durch]]*Tabelle58971121[[#This Row],[installierte Leistung MW min]]</f>
        <v>1229.5999999999999</v>
      </c>
      <c r="EJ180" s="49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7">
        <v>3</v>
      </c>
      <c r="EU180" s="1">
        <v>1.3888888888888889E-4</v>
      </c>
      <c r="EV180" s="1">
        <v>0</v>
      </c>
      <c r="EW180" s="57">
        <v>2.7777777777777778E-4</v>
      </c>
      <c r="EX180" s="1">
        <v>3.7</v>
      </c>
      <c r="EY180" s="1">
        <v>3.3000000000000003</v>
      </c>
      <c r="EZ180" s="57">
        <v>4.1000000000000005</v>
      </c>
      <c r="FA180" s="1">
        <v>3.7</v>
      </c>
      <c r="FB180" s="1">
        <v>3.3000000000000003</v>
      </c>
      <c r="FC180" s="57">
        <v>4.1000000000000005</v>
      </c>
      <c r="FD180" s="1">
        <v>1</v>
      </c>
      <c r="FE180" s="1">
        <v>0.9</v>
      </c>
      <c r="FF180" s="57">
        <v>1.1000000000000001</v>
      </c>
      <c r="FG180" s="1">
        <v>4.7</v>
      </c>
      <c r="FH180" s="1">
        <v>4.7</v>
      </c>
      <c r="FI180" s="57">
        <v>4.7</v>
      </c>
      <c r="FJ180" s="1">
        <v>1.1000000000000001</v>
      </c>
      <c r="FK180" s="1">
        <v>0.90000000000000013</v>
      </c>
      <c r="FL180" s="57">
        <v>1.3</v>
      </c>
      <c r="FN180" s="1" t="s">
        <v>656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653</v>
      </c>
      <c r="GW180" s="1" t="s">
        <v>653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652</v>
      </c>
      <c r="HD180" s="13" t="s">
        <v>651</v>
      </c>
      <c r="HE180" s="1">
        <v>202</v>
      </c>
      <c r="HF180" s="1">
        <v>202</v>
      </c>
      <c r="HH180" s="1" t="s">
        <v>655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654</v>
      </c>
    </row>
    <row r="181" spans="1:223" ht="12.75" customHeight="1" x14ac:dyDescent="0.2">
      <c r="A181" s="1" t="s">
        <v>84</v>
      </c>
      <c r="D181" s="1" t="s">
        <v>587</v>
      </c>
      <c r="E181" s="1" t="s">
        <v>129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42">
        <v>0.52</v>
      </c>
      <c r="ED181" s="42">
        <v>0.49</v>
      </c>
      <c r="EE181" s="42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9">
        <f>Tabelle58971121[[#This Row],[Durchschnittsauslastung max]]*Tabelle58971121[[#This Row],[installierte Leistung MW max]]</f>
        <v>1294.2600000000002</v>
      </c>
      <c r="EI181" s="91">
        <f>Tabelle58971121[[#This Row],[Maximalauslastung durch]]*Tabelle58971121[[#This Row],[installierte Leistung MW min]]</f>
        <v>1364.856</v>
      </c>
      <c r="EJ181" s="49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7">
        <v>3</v>
      </c>
      <c r="EU181" s="1">
        <v>1.3888888888888889E-4</v>
      </c>
      <c r="EV181" s="1">
        <v>0</v>
      </c>
      <c r="EW181" s="57">
        <v>2.7777777777777778E-4</v>
      </c>
      <c r="EX181" s="1">
        <v>3.7</v>
      </c>
      <c r="EY181" s="1">
        <v>3.3000000000000003</v>
      </c>
      <c r="EZ181" s="57">
        <v>4.1000000000000005</v>
      </c>
      <c r="FA181" s="1">
        <v>3.7</v>
      </c>
      <c r="FB181" s="1">
        <v>3.3000000000000003</v>
      </c>
      <c r="FC181" s="57">
        <v>4.1000000000000005</v>
      </c>
      <c r="FD181" s="1">
        <v>1</v>
      </c>
      <c r="FE181" s="1">
        <v>0.9</v>
      </c>
      <c r="FF181" s="57">
        <v>1.1000000000000001</v>
      </c>
      <c r="FG181" s="1">
        <v>4.7</v>
      </c>
      <c r="FH181" s="1">
        <v>4.7</v>
      </c>
      <c r="FI181" s="57">
        <v>4.7</v>
      </c>
      <c r="FJ181" s="1">
        <v>1.1000000000000001</v>
      </c>
      <c r="FK181" s="1">
        <v>0.90000000000000013</v>
      </c>
      <c r="FL181" s="57">
        <v>1.3</v>
      </c>
      <c r="FN181" s="1" t="s">
        <v>656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653</v>
      </c>
      <c r="GW181" s="1" t="s">
        <v>653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652</v>
      </c>
      <c r="HD181" s="13" t="s">
        <v>651</v>
      </c>
      <c r="HE181" s="1">
        <v>202</v>
      </c>
      <c r="HF181" s="1">
        <v>202</v>
      </c>
      <c r="HH181" s="1" t="s">
        <v>655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654</v>
      </c>
    </row>
    <row r="182" spans="1:223" ht="12.75" customHeight="1" x14ac:dyDescent="0.2">
      <c r="A182" s="1" t="s">
        <v>84</v>
      </c>
      <c r="D182" s="1" t="s">
        <v>587</v>
      </c>
      <c r="E182" s="1" t="s">
        <v>129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42">
        <v>0.52</v>
      </c>
      <c r="ED182" s="42">
        <v>0.49</v>
      </c>
      <c r="EE182" s="42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9">
        <f>Tabelle58971121[[#This Row],[Durchschnittsauslastung max]]*Tabelle58971121[[#This Row],[installierte Leistung MW max]]</f>
        <v>1399.2</v>
      </c>
      <c r="EI182" s="91">
        <f>Tabelle58971121[[#This Row],[Maximalauslastung durch]]*Tabelle58971121[[#This Row],[installierte Leistung MW min]]</f>
        <v>1475.52</v>
      </c>
      <c r="EJ182" s="49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7">
        <v>3</v>
      </c>
      <c r="EU182" s="1">
        <v>1.3888888888888889E-4</v>
      </c>
      <c r="EV182" s="1">
        <v>0</v>
      </c>
      <c r="EW182" s="57">
        <v>2.7777777777777778E-4</v>
      </c>
      <c r="EX182" s="1">
        <v>3.7</v>
      </c>
      <c r="EY182" s="1">
        <v>3.3000000000000003</v>
      </c>
      <c r="EZ182" s="57">
        <v>4.1000000000000005</v>
      </c>
      <c r="FA182" s="1">
        <v>3.7</v>
      </c>
      <c r="FB182" s="1">
        <v>3.3000000000000003</v>
      </c>
      <c r="FC182" s="57">
        <v>4.1000000000000005</v>
      </c>
      <c r="FD182" s="1">
        <v>1</v>
      </c>
      <c r="FE182" s="1">
        <v>0.9</v>
      </c>
      <c r="FF182" s="57">
        <v>1.1000000000000001</v>
      </c>
      <c r="FG182" s="1">
        <v>4.7</v>
      </c>
      <c r="FH182" s="1">
        <v>4.7</v>
      </c>
      <c r="FI182" s="57">
        <v>4.7</v>
      </c>
      <c r="FJ182" s="1">
        <v>1.1000000000000001</v>
      </c>
      <c r="FK182" s="1">
        <v>0.90000000000000013</v>
      </c>
      <c r="FL182" s="57">
        <v>1.3</v>
      </c>
      <c r="FN182" s="1" t="s">
        <v>656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653</v>
      </c>
      <c r="GW182" s="1" t="s">
        <v>653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652</v>
      </c>
      <c r="HD182" s="13" t="s">
        <v>651</v>
      </c>
      <c r="HE182" s="1">
        <v>202</v>
      </c>
      <c r="HF182" s="1">
        <v>202</v>
      </c>
      <c r="HH182" s="1" t="s">
        <v>655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654</v>
      </c>
    </row>
    <row r="183" spans="1:223" ht="12.75" customHeight="1" x14ac:dyDescent="0.2">
      <c r="A183" s="1" t="s">
        <v>84</v>
      </c>
      <c r="D183" s="1" t="s">
        <v>587</v>
      </c>
      <c r="E183" s="1" t="s">
        <v>129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42">
        <v>0.52</v>
      </c>
      <c r="ED183" s="42">
        <v>0.49</v>
      </c>
      <c r="EE183" s="42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9">
        <f>Tabelle58971121[[#This Row],[Durchschnittsauslastung max]]*Tabelle58971121[[#This Row],[installierte Leistung MW max]]</f>
        <v>1504.1400000000003</v>
      </c>
      <c r="EI183" s="91">
        <f>Tabelle58971121[[#This Row],[Maximalauslastung durch]]*Tabelle58971121[[#This Row],[installierte Leistung MW min]]</f>
        <v>1586.184</v>
      </c>
      <c r="EJ183" s="49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7">
        <v>3</v>
      </c>
      <c r="EU183" s="1">
        <v>1.3888888888888889E-4</v>
      </c>
      <c r="EV183" s="1">
        <v>0</v>
      </c>
      <c r="EW183" s="57">
        <v>2.7777777777777778E-4</v>
      </c>
      <c r="EX183" s="1">
        <v>3.7</v>
      </c>
      <c r="EY183" s="1">
        <v>3.3000000000000003</v>
      </c>
      <c r="EZ183" s="57">
        <v>4.1000000000000005</v>
      </c>
      <c r="FA183" s="1">
        <v>3.7</v>
      </c>
      <c r="FB183" s="1">
        <v>3.3000000000000003</v>
      </c>
      <c r="FC183" s="57">
        <v>4.1000000000000005</v>
      </c>
      <c r="FD183" s="1">
        <v>1</v>
      </c>
      <c r="FE183" s="1">
        <v>0.9</v>
      </c>
      <c r="FF183" s="57">
        <v>1.1000000000000001</v>
      </c>
      <c r="FG183" s="1">
        <v>4.7</v>
      </c>
      <c r="FH183" s="1">
        <v>4.7</v>
      </c>
      <c r="FI183" s="57">
        <v>4.7</v>
      </c>
      <c r="FJ183" s="1">
        <v>1.1000000000000001</v>
      </c>
      <c r="FK183" s="1">
        <v>0.90000000000000013</v>
      </c>
      <c r="FL183" s="57">
        <v>1.3</v>
      </c>
      <c r="FN183" s="1" t="s">
        <v>656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653</v>
      </c>
      <c r="GW183" s="1" t="s">
        <v>653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652</v>
      </c>
      <c r="HD183" s="13" t="s">
        <v>651</v>
      </c>
      <c r="HE183" s="1">
        <v>202</v>
      </c>
      <c r="HF183" s="1">
        <v>202</v>
      </c>
      <c r="HH183" s="1" t="s">
        <v>655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654</v>
      </c>
    </row>
    <row r="184" spans="1:223" ht="12.75" customHeight="1" x14ac:dyDescent="0.2">
      <c r="A184" s="1" t="s">
        <v>84</v>
      </c>
      <c r="D184" s="1" t="s">
        <v>587</v>
      </c>
      <c r="E184" s="1" t="s">
        <v>129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42">
        <v>0.52</v>
      </c>
      <c r="ED184" s="42">
        <v>0.49</v>
      </c>
      <c r="EE184" s="42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9">
        <f>Tabelle58971121[[#This Row],[Durchschnittsauslastung max]]*Tabelle58971121[[#This Row],[installierte Leistung MW max]]</f>
        <v>1632.4</v>
      </c>
      <c r="EI184" s="91">
        <f>Tabelle58971121[[#This Row],[Maximalauslastung durch]]*Tabelle58971121[[#This Row],[installierte Leistung MW min]]</f>
        <v>1721.4399999999998</v>
      </c>
      <c r="EJ184" s="49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7">
        <v>3</v>
      </c>
      <c r="EU184" s="1">
        <v>1.3888888888888889E-4</v>
      </c>
      <c r="EV184" s="1">
        <v>0</v>
      </c>
      <c r="EW184" s="57">
        <v>2.7777777777777778E-4</v>
      </c>
      <c r="EX184" s="1">
        <v>3.7</v>
      </c>
      <c r="EY184" s="1">
        <v>3.3000000000000003</v>
      </c>
      <c r="EZ184" s="57">
        <v>4.1000000000000005</v>
      </c>
      <c r="FA184" s="1">
        <v>3.7</v>
      </c>
      <c r="FB184" s="1">
        <v>3.3000000000000003</v>
      </c>
      <c r="FC184" s="57">
        <v>4.1000000000000005</v>
      </c>
      <c r="FD184" s="1">
        <v>1</v>
      </c>
      <c r="FE184" s="1">
        <v>0.9</v>
      </c>
      <c r="FF184" s="57">
        <v>1.1000000000000001</v>
      </c>
      <c r="FG184" s="1">
        <v>4.7</v>
      </c>
      <c r="FH184" s="1">
        <v>4.7</v>
      </c>
      <c r="FI184" s="57">
        <v>4.7</v>
      </c>
      <c r="FJ184" s="1">
        <v>1.1000000000000001</v>
      </c>
      <c r="FK184" s="1">
        <v>0.90000000000000013</v>
      </c>
      <c r="FL184" s="57">
        <v>1.3</v>
      </c>
      <c r="FN184" s="1" t="s">
        <v>656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653</v>
      </c>
      <c r="GW184" s="1" t="s">
        <v>653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652</v>
      </c>
      <c r="HD184" s="13" t="s">
        <v>651</v>
      </c>
      <c r="HE184" s="1">
        <v>202</v>
      </c>
      <c r="HF184" s="1">
        <v>202</v>
      </c>
      <c r="HH184" s="1" t="s">
        <v>655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654</v>
      </c>
    </row>
    <row r="185" spans="1:223" ht="12.75" customHeight="1" x14ac:dyDescent="0.2">
      <c r="A185" s="1" t="s">
        <v>84</v>
      </c>
      <c r="D185" s="1" t="s">
        <v>587</v>
      </c>
      <c r="E185" s="1" t="s">
        <v>129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42">
        <v>0.52</v>
      </c>
      <c r="ED185" s="42">
        <v>0.49</v>
      </c>
      <c r="EE185" s="42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9">
        <f>Tabelle58971121[[#This Row],[Durchschnittsauslastung max]]*Tabelle58971121[[#This Row],[installierte Leistung MW max]]</f>
        <v>1760.66</v>
      </c>
      <c r="EI185" s="91">
        <f>Tabelle58971121[[#This Row],[Maximalauslastung durch]]*Tabelle58971121[[#This Row],[installierte Leistung MW min]]</f>
        <v>1856.6959999999997</v>
      </c>
      <c r="EJ185" s="49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7">
        <v>3</v>
      </c>
      <c r="EU185" s="1">
        <v>1.3888888888888889E-4</v>
      </c>
      <c r="EV185" s="1">
        <v>0</v>
      </c>
      <c r="EW185" s="57">
        <v>2.7777777777777778E-4</v>
      </c>
      <c r="EX185" s="1">
        <v>3.7</v>
      </c>
      <c r="EY185" s="1">
        <v>3.3000000000000003</v>
      </c>
      <c r="EZ185" s="57">
        <v>4.1000000000000005</v>
      </c>
      <c r="FA185" s="1">
        <v>3.7</v>
      </c>
      <c r="FB185" s="1">
        <v>3.3000000000000003</v>
      </c>
      <c r="FC185" s="57">
        <v>4.1000000000000005</v>
      </c>
      <c r="FD185" s="1">
        <v>1</v>
      </c>
      <c r="FE185" s="1">
        <v>0.9</v>
      </c>
      <c r="FF185" s="57">
        <v>1.1000000000000001</v>
      </c>
      <c r="FG185" s="1">
        <v>4.7</v>
      </c>
      <c r="FH185" s="1">
        <v>4.7</v>
      </c>
      <c r="FI185" s="57">
        <v>4.7</v>
      </c>
      <c r="FJ185" s="1">
        <v>1.1000000000000001</v>
      </c>
      <c r="FK185" s="1">
        <v>0.90000000000000013</v>
      </c>
      <c r="FL185" s="57">
        <v>1.3</v>
      </c>
      <c r="FN185" s="1" t="s">
        <v>656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653</v>
      </c>
      <c r="GW185" s="1" t="s">
        <v>653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652</v>
      </c>
      <c r="HD185" s="13" t="s">
        <v>651</v>
      </c>
      <c r="HE185" s="1">
        <v>202</v>
      </c>
      <c r="HF185" s="1">
        <v>202</v>
      </c>
      <c r="HH185" s="1" t="s">
        <v>655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654</v>
      </c>
    </row>
    <row r="186" spans="1:223" ht="12.75" customHeight="1" x14ac:dyDescent="0.2">
      <c r="A186" s="1" t="s">
        <v>194</v>
      </c>
      <c r="D186" s="1" t="s">
        <v>593</v>
      </c>
      <c r="E186" s="1" t="s">
        <v>129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42">
        <v>0.4</v>
      </c>
      <c r="ED186" s="42">
        <v>0.35</v>
      </c>
      <c r="EE186" s="42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9">
        <f>Tabelle58971121[[#This Row],[Durchschnittsauslastung max]]*Tabelle58971121[[#This Row],[installierte Leistung MW max]]</f>
        <v>36</v>
      </c>
      <c r="EI186" s="91">
        <f>Tabelle58971121[[#This Row],[Maximalauslastung durch]]*Tabelle58971121[[#This Row],[installierte Leistung MW min]]</f>
        <v>43.699999999999996</v>
      </c>
      <c r="EJ186" s="49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7">
        <v>8.3333333333333329E-2</v>
      </c>
      <c r="EU186" s="1">
        <v>2.8763888888888891E-2</v>
      </c>
      <c r="EV186" s="1">
        <v>0</v>
      </c>
      <c r="EW186" s="57">
        <v>8.3333333333333329E-2</v>
      </c>
      <c r="EX186" s="1">
        <v>6</v>
      </c>
      <c r="EY186" s="1">
        <v>4.8</v>
      </c>
      <c r="EZ186" s="57">
        <v>7.2</v>
      </c>
      <c r="FA186" s="1">
        <v>6</v>
      </c>
      <c r="FB186" s="1">
        <v>4.8</v>
      </c>
      <c r="FC186" s="57">
        <v>7.2</v>
      </c>
      <c r="FD186" s="1">
        <v>5</v>
      </c>
      <c r="FE186" s="1">
        <v>4</v>
      </c>
      <c r="FF186" s="57">
        <v>6</v>
      </c>
      <c r="FG186" s="1">
        <v>11</v>
      </c>
      <c r="FH186" s="1">
        <v>11</v>
      </c>
      <c r="FI186" s="57">
        <v>11</v>
      </c>
      <c r="FJ186" s="1">
        <v>10.4</v>
      </c>
      <c r="FK186" s="1">
        <v>6.4</v>
      </c>
      <c r="FL186" s="57">
        <v>14.4</v>
      </c>
      <c r="FN186" s="1" t="s">
        <v>656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653</v>
      </c>
      <c r="GW186" s="1" t="s">
        <v>653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652</v>
      </c>
      <c r="HD186" s="13" t="s">
        <v>651</v>
      </c>
      <c r="HE186" s="1">
        <v>202</v>
      </c>
      <c r="HF186" s="1">
        <v>202</v>
      </c>
      <c r="HH186" s="1" t="s">
        <v>655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654</v>
      </c>
    </row>
    <row r="187" spans="1:223" ht="12.75" customHeight="1" x14ac:dyDescent="0.2">
      <c r="A187" s="1" t="s">
        <v>194</v>
      </c>
      <c r="D187" s="1" t="s">
        <v>593</v>
      </c>
      <c r="E187" s="1" t="s">
        <v>129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42">
        <v>0.4</v>
      </c>
      <c r="ED187" s="42">
        <v>0.35</v>
      </c>
      <c r="EE187" s="42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9">
        <f>Tabelle58971121[[#This Row],[Durchschnittsauslastung max]]*Tabelle58971121[[#This Row],[installierte Leistung MW max]]</f>
        <v>36</v>
      </c>
      <c r="EI187" s="91">
        <f>Tabelle58971121[[#This Row],[Maximalauslastung durch]]*Tabelle58971121[[#This Row],[installierte Leistung MW min]]</f>
        <v>43.699999999999996</v>
      </c>
      <c r="EJ187" s="49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7">
        <v>8.3333333333333329E-2</v>
      </c>
      <c r="EU187" s="1">
        <v>2.8763888888888891E-2</v>
      </c>
      <c r="EV187" s="1">
        <v>0</v>
      </c>
      <c r="EW187" s="57">
        <v>8.3333333333333329E-2</v>
      </c>
      <c r="EX187" s="1">
        <v>6</v>
      </c>
      <c r="EY187" s="1">
        <v>4.8</v>
      </c>
      <c r="EZ187" s="57">
        <v>7.2</v>
      </c>
      <c r="FA187" s="1">
        <v>6</v>
      </c>
      <c r="FB187" s="1">
        <v>4.8</v>
      </c>
      <c r="FC187" s="57">
        <v>7.2</v>
      </c>
      <c r="FD187" s="1">
        <v>5</v>
      </c>
      <c r="FE187" s="1">
        <v>4</v>
      </c>
      <c r="FF187" s="57">
        <v>6</v>
      </c>
      <c r="FG187" s="1">
        <v>11</v>
      </c>
      <c r="FH187" s="1">
        <v>11</v>
      </c>
      <c r="FI187" s="57">
        <v>11</v>
      </c>
      <c r="FJ187" s="1">
        <v>10.4</v>
      </c>
      <c r="FK187" s="1">
        <v>6.4</v>
      </c>
      <c r="FL187" s="57">
        <v>14.4</v>
      </c>
      <c r="FN187" s="1" t="s">
        <v>656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653</v>
      </c>
      <c r="GW187" s="1" t="s">
        <v>653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652</v>
      </c>
      <c r="HD187" s="13" t="s">
        <v>651</v>
      </c>
      <c r="HE187" s="1">
        <v>202</v>
      </c>
      <c r="HF187" s="1">
        <v>202</v>
      </c>
      <c r="HH187" s="1" t="s">
        <v>655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654</v>
      </c>
    </row>
    <row r="188" spans="1:223" ht="12.75" customHeight="1" x14ac:dyDescent="0.2">
      <c r="A188" s="1" t="s">
        <v>194</v>
      </c>
      <c r="D188" s="1" t="s">
        <v>593</v>
      </c>
      <c r="E188" s="1" t="s">
        <v>129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42">
        <v>0.4</v>
      </c>
      <c r="ED188" s="42">
        <v>0.35</v>
      </c>
      <c r="EE188" s="42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9">
        <f>Tabelle58971121[[#This Row],[Durchschnittsauslastung max]]*Tabelle58971121[[#This Row],[installierte Leistung MW max]]</f>
        <v>36</v>
      </c>
      <c r="EI188" s="91">
        <f>Tabelle58971121[[#This Row],[Maximalauslastung durch]]*Tabelle58971121[[#This Row],[installierte Leistung MW min]]</f>
        <v>43.699999999999996</v>
      </c>
      <c r="EJ188" s="49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7">
        <v>8.3333333333333329E-2</v>
      </c>
      <c r="EU188" s="1">
        <v>2.8763888888888891E-2</v>
      </c>
      <c r="EV188" s="1">
        <v>0</v>
      </c>
      <c r="EW188" s="57">
        <v>8.3333333333333329E-2</v>
      </c>
      <c r="EX188" s="1">
        <v>6</v>
      </c>
      <c r="EY188" s="1">
        <v>4.8</v>
      </c>
      <c r="EZ188" s="57">
        <v>7.2</v>
      </c>
      <c r="FA188" s="1">
        <v>6</v>
      </c>
      <c r="FB188" s="1">
        <v>4.8</v>
      </c>
      <c r="FC188" s="57">
        <v>7.2</v>
      </c>
      <c r="FD188" s="1">
        <v>5</v>
      </c>
      <c r="FE188" s="1">
        <v>4</v>
      </c>
      <c r="FF188" s="57">
        <v>6</v>
      </c>
      <c r="FG188" s="1">
        <v>11</v>
      </c>
      <c r="FH188" s="1">
        <v>11</v>
      </c>
      <c r="FI188" s="57">
        <v>11</v>
      </c>
      <c r="FJ188" s="1">
        <v>10.4</v>
      </c>
      <c r="FK188" s="1">
        <v>6.4</v>
      </c>
      <c r="FL188" s="57">
        <v>14.4</v>
      </c>
      <c r="FN188" s="1" t="s">
        <v>656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653</v>
      </c>
      <c r="GW188" s="1" t="s">
        <v>653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652</v>
      </c>
      <c r="HD188" s="13" t="s">
        <v>651</v>
      </c>
      <c r="HE188" s="1">
        <v>202</v>
      </c>
      <c r="HF188" s="1">
        <v>202</v>
      </c>
      <c r="HH188" s="1" t="s">
        <v>655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654</v>
      </c>
    </row>
    <row r="189" spans="1:223" ht="12.75" customHeight="1" x14ac:dyDescent="0.2">
      <c r="A189" s="1" t="s">
        <v>194</v>
      </c>
      <c r="D189" s="1" t="s">
        <v>593</v>
      </c>
      <c r="E189" s="1" t="s">
        <v>129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42">
        <v>0.4</v>
      </c>
      <c r="ED189" s="42">
        <v>0.35</v>
      </c>
      <c r="EE189" s="42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9">
        <f>Tabelle58971121[[#This Row],[Durchschnittsauslastung max]]*Tabelle58971121[[#This Row],[installierte Leistung MW max]]</f>
        <v>36</v>
      </c>
      <c r="EI189" s="91">
        <f>Tabelle58971121[[#This Row],[Maximalauslastung durch]]*Tabelle58971121[[#This Row],[installierte Leistung MW min]]</f>
        <v>43.699999999999996</v>
      </c>
      <c r="EJ189" s="49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7">
        <v>8.3333333333333329E-2</v>
      </c>
      <c r="EU189" s="1">
        <v>2.8763888888888891E-2</v>
      </c>
      <c r="EV189" s="1">
        <v>0</v>
      </c>
      <c r="EW189" s="57">
        <v>8.3333333333333329E-2</v>
      </c>
      <c r="EX189" s="1">
        <v>6</v>
      </c>
      <c r="EY189" s="1">
        <v>4.8</v>
      </c>
      <c r="EZ189" s="57">
        <v>7.2</v>
      </c>
      <c r="FA189" s="1">
        <v>6</v>
      </c>
      <c r="FB189" s="1">
        <v>4.8</v>
      </c>
      <c r="FC189" s="57">
        <v>7.2</v>
      </c>
      <c r="FD189" s="1">
        <v>5</v>
      </c>
      <c r="FE189" s="1">
        <v>4</v>
      </c>
      <c r="FF189" s="57">
        <v>6</v>
      </c>
      <c r="FG189" s="1">
        <v>11</v>
      </c>
      <c r="FH189" s="1">
        <v>11</v>
      </c>
      <c r="FI189" s="57">
        <v>11</v>
      </c>
      <c r="FJ189" s="1">
        <v>10.4</v>
      </c>
      <c r="FK189" s="1">
        <v>6.4</v>
      </c>
      <c r="FL189" s="57">
        <v>14.4</v>
      </c>
      <c r="FN189" s="1" t="s">
        <v>656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653</v>
      </c>
      <c r="GW189" s="1" t="s">
        <v>653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652</v>
      </c>
      <c r="HD189" s="13" t="s">
        <v>651</v>
      </c>
      <c r="HE189" s="1">
        <v>202</v>
      </c>
      <c r="HF189" s="1">
        <v>202</v>
      </c>
      <c r="HH189" s="1" t="s">
        <v>655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654</v>
      </c>
    </row>
    <row r="190" spans="1:223" ht="12.75" customHeight="1" x14ac:dyDescent="0.2">
      <c r="A190" s="1" t="s">
        <v>194</v>
      </c>
      <c r="D190" s="1" t="s">
        <v>593</v>
      </c>
      <c r="E190" s="1" t="s">
        <v>129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42">
        <v>0.4</v>
      </c>
      <c r="ED190" s="42">
        <v>0.35</v>
      </c>
      <c r="EE190" s="42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9">
        <f>Tabelle58971121[[#This Row],[Durchschnittsauslastung max]]*Tabelle58971121[[#This Row],[installierte Leistung MW max]]</f>
        <v>36</v>
      </c>
      <c r="EI190" s="91">
        <f>Tabelle58971121[[#This Row],[Maximalauslastung durch]]*Tabelle58971121[[#This Row],[installierte Leistung MW min]]</f>
        <v>43.699999999999996</v>
      </c>
      <c r="EJ190" s="49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7">
        <v>8.3333333333333329E-2</v>
      </c>
      <c r="EU190" s="1">
        <v>2.8763888888888891E-2</v>
      </c>
      <c r="EV190" s="1">
        <v>0</v>
      </c>
      <c r="EW190" s="57">
        <v>8.3333333333333329E-2</v>
      </c>
      <c r="EX190" s="1">
        <v>6</v>
      </c>
      <c r="EY190" s="1">
        <v>4.8</v>
      </c>
      <c r="EZ190" s="57">
        <v>7.2</v>
      </c>
      <c r="FA190" s="1">
        <v>6</v>
      </c>
      <c r="FB190" s="1">
        <v>4.8</v>
      </c>
      <c r="FC190" s="57">
        <v>7.2</v>
      </c>
      <c r="FD190" s="1">
        <v>5</v>
      </c>
      <c r="FE190" s="1">
        <v>4</v>
      </c>
      <c r="FF190" s="57">
        <v>6</v>
      </c>
      <c r="FG190" s="1">
        <v>11</v>
      </c>
      <c r="FH190" s="1">
        <v>11</v>
      </c>
      <c r="FI190" s="57">
        <v>11</v>
      </c>
      <c r="FJ190" s="1">
        <v>10.4</v>
      </c>
      <c r="FK190" s="1">
        <v>6.4</v>
      </c>
      <c r="FL190" s="57">
        <v>14.4</v>
      </c>
      <c r="FN190" s="1" t="s">
        <v>656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653</v>
      </c>
      <c r="GW190" s="1" t="s">
        <v>653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652</v>
      </c>
      <c r="HD190" s="13" t="s">
        <v>651</v>
      </c>
      <c r="HE190" s="1">
        <v>202</v>
      </c>
      <c r="HF190" s="1">
        <v>202</v>
      </c>
      <c r="HH190" s="1" t="s">
        <v>655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654</v>
      </c>
    </row>
    <row r="191" spans="1:223" ht="12.75" customHeight="1" x14ac:dyDescent="0.2">
      <c r="A191" s="1" t="s">
        <v>194</v>
      </c>
      <c r="D191" s="1" t="s">
        <v>593</v>
      </c>
      <c r="E191" s="1" t="s">
        <v>129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42">
        <v>0.4</v>
      </c>
      <c r="ED191" s="42">
        <v>0.35</v>
      </c>
      <c r="EE191" s="42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9">
        <f>Tabelle58971121[[#This Row],[Durchschnittsauslastung max]]*Tabelle58971121[[#This Row],[installierte Leistung MW max]]</f>
        <v>36</v>
      </c>
      <c r="EI191" s="91">
        <f>Tabelle58971121[[#This Row],[Maximalauslastung durch]]*Tabelle58971121[[#This Row],[installierte Leistung MW min]]</f>
        <v>43.699999999999996</v>
      </c>
      <c r="EJ191" s="49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7">
        <v>8.3333333333333329E-2</v>
      </c>
      <c r="EU191" s="1">
        <v>2.8763888888888891E-2</v>
      </c>
      <c r="EV191" s="1">
        <v>0</v>
      </c>
      <c r="EW191" s="57">
        <v>8.3333333333333329E-2</v>
      </c>
      <c r="EX191" s="1">
        <v>6</v>
      </c>
      <c r="EY191" s="1">
        <v>4.8</v>
      </c>
      <c r="EZ191" s="57">
        <v>7.2</v>
      </c>
      <c r="FA191" s="1">
        <v>6</v>
      </c>
      <c r="FB191" s="1">
        <v>4.8</v>
      </c>
      <c r="FC191" s="57">
        <v>7.2</v>
      </c>
      <c r="FD191" s="1">
        <v>5</v>
      </c>
      <c r="FE191" s="1">
        <v>4</v>
      </c>
      <c r="FF191" s="57">
        <v>6</v>
      </c>
      <c r="FG191" s="1">
        <v>11</v>
      </c>
      <c r="FH191" s="1">
        <v>11</v>
      </c>
      <c r="FI191" s="57">
        <v>11</v>
      </c>
      <c r="FJ191" s="1">
        <v>10.4</v>
      </c>
      <c r="FK191" s="1">
        <v>6.4</v>
      </c>
      <c r="FL191" s="57">
        <v>14.4</v>
      </c>
      <c r="FN191" s="1" t="s">
        <v>656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653</v>
      </c>
      <c r="GW191" s="1" t="s">
        <v>653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652</v>
      </c>
      <c r="HD191" s="13" t="s">
        <v>651</v>
      </c>
      <c r="HE191" s="1">
        <v>202</v>
      </c>
      <c r="HF191" s="1">
        <v>202</v>
      </c>
      <c r="HH191" s="1" t="s">
        <v>655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654</v>
      </c>
    </row>
    <row r="192" spans="1:223" ht="12.75" customHeight="1" x14ac:dyDescent="0.2">
      <c r="A192" s="1" t="s">
        <v>194</v>
      </c>
      <c r="D192" s="1" t="s">
        <v>593</v>
      </c>
      <c r="E192" s="1" t="s">
        <v>129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42">
        <v>0.4</v>
      </c>
      <c r="ED192" s="42">
        <v>0.35</v>
      </c>
      <c r="EE192" s="42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9">
        <f>Tabelle58971121[[#This Row],[Durchschnittsauslastung max]]*Tabelle58971121[[#This Row],[installierte Leistung MW max]]</f>
        <v>36</v>
      </c>
      <c r="EI192" s="91">
        <f>Tabelle58971121[[#This Row],[Maximalauslastung durch]]*Tabelle58971121[[#This Row],[installierte Leistung MW min]]</f>
        <v>43.699999999999996</v>
      </c>
      <c r="EJ192" s="49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7">
        <v>8.3333333333333329E-2</v>
      </c>
      <c r="EU192" s="1">
        <v>2.8763888888888891E-2</v>
      </c>
      <c r="EV192" s="1">
        <v>0</v>
      </c>
      <c r="EW192" s="57">
        <v>8.3333333333333329E-2</v>
      </c>
      <c r="EX192" s="1">
        <v>6</v>
      </c>
      <c r="EY192" s="1">
        <v>4.8</v>
      </c>
      <c r="EZ192" s="57">
        <v>7.2</v>
      </c>
      <c r="FA192" s="1">
        <v>6</v>
      </c>
      <c r="FB192" s="1">
        <v>4.8</v>
      </c>
      <c r="FC192" s="57">
        <v>7.2</v>
      </c>
      <c r="FD192" s="1">
        <v>5</v>
      </c>
      <c r="FE192" s="1">
        <v>4</v>
      </c>
      <c r="FF192" s="57">
        <v>6</v>
      </c>
      <c r="FG192" s="1">
        <v>11</v>
      </c>
      <c r="FH192" s="1">
        <v>11</v>
      </c>
      <c r="FI192" s="57">
        <v>11</v>
      </c>
      <c r="FJ192" s="1">
        <v>10.4</v>
      </c>
      <c r="FK192" s="1">
        <v>6.4</v>
      </c>
      <c r="FL192" s="57">
        <v>14.4</v>
      </c>
      <c r="FN192" s="1" t="s">
        <v>656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653</v>
      </c>
      <c r="GW192" s="1" t="s">
        <v>653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652</v>
      </c>
      <c r="HD192" s="13" t="s">
        <v>651</v>
      </c>
      <c r="HE192" s="1">
        <v>202</v>
      </c>
      <c r="HF192" s="1">
        <v>202</v>
      </c>
      <c r="HH192" s="1" t="s">
        <v>655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654</v>
      </c>
    </row>
    <row r="193" spans="1:223" ht="12.75" customHeight="1" x14ac:dyDescent="0.2">
      <c r="A193" s="1" t="s">
        <v>194</v>
      </c>
      <c r="D193" s="1" t="s">
        <v>593</v>
      </c>
      <c r="E193" s="1" t="s">
        <v>129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42">
        <v>0.4</v>
      </c>
      <c r="ED193" s="42">
        <v>0.35</v>
      </c>
      <c r="EE193" s="42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9">
        <f>Tabelle58971121[[#This Row],[Durchschnittsauslastung max]]*Tabelle58971121[[#This Row],[installierte Leistung MW max]]</f>
        <v>36</v>
      </c>
      <c r="EI193" s="91">
        <f>Tabelle58971121[[#This Row],[Maximalauslastung durch]]*Tabelle58971121[[#This Row],[installierte Leistung MW min]]</f>
        <v>43.699999999999996</v>
      </c>
      <c r="EJ193" s="49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7">
        <v>8.3333333333333329E-2</v>
      </c>
      <c r="EU193" s="1">
        <v>2.8763888888888891E-2</v>
      </c>
      <c r="EV193" s="1">
        <v>0</v>
      </c>
      <c r="EW193" s="57">
        <v>8.3333333333333329E-2</v>
      </c>
      <c r="EX193" s="1">
        <v>6</v>
      </c>
      <c r="EY193" s="1">
        <v>4.8</v>
      </c>
      <c r="EZ193" s="57">
        <v>7.2</v>
      </c>
      <c r="FA193" s="1">
        <v>6</v>
      </c>
      <c r="FB193" s="1">
        <v>4.8</v>
      </c>
      <c r="FC193" s="57">
        <v>7.2</v>
      </c>
      <c r="FD193" s="1">
        <v>5</v>
      </c>
      <c r="FE193" s="1">
        <v>4</v>
      </c>
      <c r="FF193" s="57">
        <v>6</v>
      </c>
      <c r="FG193" s="1">
        <v>11</v>
      </c>
      <c r="FH193" s="1">
        <v>11</v>
      </c>
      <c r="FI193" s="57">
        <v>11</v>
      </c>
      <c r="FJ193" s="1">
        <v>10.4</v>
      </c>
      <c r="FK193" s="1">
        <v>6.4</v>
      </c>
      <c r="FL193" s="57">
        <v>14.4</v>
      </c>
      <c r="FN193" s="1" t="s">
        <v>656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653</v>
      </c>
      <c r="GW193" s="1" t="s">
        <v>653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652</v>
      </c>
      <c r="HD193" s="13" t="s">
        <v>651</v>
      </c>
      <c r="HE193" s="1">
        <v>202</v>
      </c>
      <c r="HF193" s="1">
        <v>202</v>
      </c>
      <c r="HH193" s="1" t="s">
        <v>655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654</v>
      </c>
    </row>
    <row r="194" spans="1:223" ht="12.75" customHeight="1" x14ac:dyDescent="0.2">
      <c r="A194" s="1" t="s">
        <v>581</v>
      </c>
      <c r="D194" s="1" t="s">
        <v>588</v>
      </c>
      <c r="E194" s="1" t="s">
        <v>129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42">
        <v>0.78</v>
      </c>
      <c r="ED194" s="42">
        <v>0.7</v>
      </c>
      <c r="EE194" s="42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9">
        <f>Tabelle58971121[[#This Row],[Durchschnittsauslastung max]]*Tabelle58971121[[#This Row],[installierte Leistung MW max]]</f>
        <v>215.85999999999999</v>
      </c>
      <c r="EI194" s="91">
        <f>Tabelle58971121[[#This Row],[Maximalauslastung durch]]*Tabelle58971121[[#This Row],[installierte Leistung MW min]]</f>
        <v>42.75</v>
      </c>
      <c r="EJ194" s="49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7">
        <v>0.25</v>
      </c>
      <c r="EU194" s="1">
        <v>0.16666666666666663</v>
      </c>
      <c r="EV194" s="1">
        <v>8.3333333333333329E-2</v>
      </c>
      <c r="EW194" s="57">
        <v>0.25</v>
      </c>
      <c r="EX194" s="1">
        <v>2</v>
      </c>
      <c r="EY194" s="1">
        <v>1.6</v>
      </c>
      <c r="EZ194" s="57">
        <v>2.4</v>
      </c>
      <c r="FA194" s="1">
        <v>2</v>
      </c>
      <c r="FB194" s="1">
        <v>1.6</v>
      </c>
      <c r="FC194" s="57">
        <v>2.4</v>
      </c>
      <c r="FD194" s="1">
        <v>4</v>
      </c>
      <c r="FE194" s="1">
        <v>3.2</v>
      </c>
      <c r="FF194" s="57">
        <v>4.8</v>
      </c>
      <c r="FG194" s="1">
        <v>6</v>
      </c>
      <c r="FH194" s="1">
        <v>6</v>
      </c>
      <c r="FI194" s="57">
        <v>6</v>
      </c>
      <c r="FJ194" s="1">
        <v>4.9000000000000004</v>
      </c>
      <c r="FK194" s="1">
        <v>3.3000000000000003</v>
      </c>
      <c r="FL194" s="57">
        <v>6.5</v>
      </c>
      <c r="FN194" s="1" t="s">
        <v>656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653</v>
      </c>
      <c r="GW194" s="1" t="s">
        <v>653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652</v>
      </c>
      <c r="HD194" s="13" t="s">
        <v>651</v>
      </c>
      <c r="HE194" s="1">
        <v>202</v>
      </c>
      <c r="HF194" s="1">
        <v>202</v>
      </c>
      <c r="HH194" s="1" t="s">
        <v>655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654</v>
      </c>
    </row>
    <row r="195" spans="1:223" ht="12.75" customHeight="1" x14ac:dyDescent="0.2">
      <c r="A195" s="1" t="s">
        <v>581</v>
      </c>
      <c r="D195" s="1" t="s">
        <v>588</v>
      </c>
      <c r="E195" s="1" t="s">
        <v>129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42">
        <v>0.78</v>
      </c>
      <c r="ED195" s="42">
        <v>0.7</v>
      </c>
      <c r="EE195" s="42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9">
        <f>Tabelle58971121[[#This Row],[Durchschnittsauslastung max]]*Tabelle58971121[[#This Row],[installierte Leistung MW max]]</f>
        <v>215.85999999999999</v>
      </c>
      <c r="EI195" s="91">
        <f>Tabelle58971121[[#This Row],[Maximalauslastung durch]]*Tabelle58971121[[#This Row],[installierte Leistung MW min]]</f>
        <v>42.75</v>
      </c>
      <c r="EJ195" s="49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7">
        <v>0.25</v>
      </c>
      <c r="EU195" s="1">
        <v>0.11913296568627449</v>
      </c>
      <c r="EV195" s="1">
        <v>8.3333333333333329E-2</v>
      </c>
      <c r="EW195" s="57">
        <v>0.25</v>
      </c>
      <c r="EX195" s="1">
        <v>2</v>
      </c>
      <c r="EY195" s="1">
        <v>1.6</v>
      </c>
      <c r="EZ195" s="57">
        <v>2.4</v>
      </c>
      <c r="FA195" s="1">
        <v>2</v>
      </c>
      <c r="FB195" s="1">
        <v>1.6</v>
      </c>
      <c r="FC195" s="57">
        <v>2.4</v>
      </c>
      <c r="FD195" s="1">
        <v>4</v>
      </c>
      <c r="FE195" s="1">
        <v>3.2</v>
      </c>
      <c r="FF195" s="57">
        <v>4.8</v>
      </c>
      <c r="FG195" s="1">
        <v>6</v>
      </c>
      <c r="FH195" s="1">
        <v>4.9000000000000004</v>
      </c>
      <c r="FI195" s="57">
        <v>4.9000000000000004</v>
      </c>
      <c r="FJ195" s="1">
        <v>4.9000000000000004</v>
      </c>
      <c r="FK195" s="1">
        <v>3.3000000000000003</v>
      </c>
      <c r="FL195" s="57">
        <v>6.5</v>
      </c>
      <c r="FN195" s="1" t="s">
        <v>656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653</v>
      </c>
      <c r="GW195" s="1" t="s">
        <v>653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652</v>
      </c>
      <c r="HD195" s="13" t="s">
        <v>651</v>
      </c>
      <c r="HE195" s="1">
        <v>202</v>
      </c>
      <c r="HF195" s="1">
        <v>202</v>
      </c>
      <c r="HH195" s="1" t="s">
        <v>655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654</v>
      </c>
    </row>
    <row r="196" spans="1:223" ht="12.75" customHeight="1" x14ac:dyDescent="0.2">
      <c r="A196" s="1" t="s">
        <v>581</v>
      </c>
      <c r="D196" s="1" t="s">
        <v>588</v>
      </c>
      <c r="E196" s="1" t="s">
        <v>129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42">
        <v>0.78</v>
      </c>
      <c r="ED196" s="42">
        <v>0.7</v>
      </c>
      <c r="EE196" s="42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9">
        <f>Tabelle58971121[[#This Row],[Durchschnittsauslastung max]]*Tabelle58971121[[#This Row],[installierte Leistung MW max]]</f>
        <v>215.85999999999999</v>
      </c>
      <c r="EI196" s="91">
        <f>Tabelle58971121[[#This Row],[Maximalauslastung durch]]*Tabelle58971121[[#This Row],[installierte Leistung MW min]]</f>
        <v>42.75</v>
      </c>
      <c r="EJ196" s="49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7">
        <v>0.25</v>
      </c>
      <c r="EU196" s="1">
        <v>0.11913296568627449</v>
      </c>
      <c r="EV196" s="1">
        <v>8.3333333333333329E-2</v>
      </c>
      <c r="EW196" s="57">
        <v>0.25</v>
      </c>
      <c r="EX196" s="1">
        <v>2</v>
      </c>
      <c r="EY196" s="1">
        <v>1.6</v>
      </c>
      <c r="EZ196" s="57">
        <v>2.4</v>
      </c>
      <c r="FA196" s="1">
        <v>2</v>
      </c>
      <c r="FB196" s="1">
        <v>1.6</v>
      </c>
      <c r="FC196" s="57">
        <v>2.4</v>
      </c>
      <c r="FD196" s="1">
        <v>4</v>
      </c>
      <c r="FE196" s="1">
        <v>3.2</v>
      </c>
      <c r="FF196" s="57">
        <v>4.8</v>
      </c>
      <c r="FG196" s="1">
        <v>6</v>
      </c>
      <c r="FH196" s="1">
        <v>4.9000000000000004</v>
      </c>
      <c r="FI196" s="57">
        <v>4.9000000000000004</v>
      </c>
      <c r="FJ196" s="1">
        <v>4.9000000000000004</v>
      </c>
      <c r="FK196" s="1">
        <v>3.3000000000000003</v>
      </c>
      <c r="FL196" s="57">
        <v>6.5</v>
      </c>
      <c r="FN196" s="1" t="s">
        <v>656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653</v>
      </c>
      <c r="GW196" s="1" t="s">
        <v>653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652</v>
      </c>
      <c r="HD196" s="13" t="s">
        <v>651</v>
      </c>
      <c r="HE196" s="1">
        <v>202</v>
      </c>
      <c r="HF196" s="1">
        <v>202</v>
      </c>
      <c r="HH196" s="1" t="s">
        <v>655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654</v>
      </c>
    </row>
    <row r="197" spans="1:223" ht="12.75" customHeight="1" x14ac:dyDescent="0.2">
      <c r="A197" s="1" t="s">
        <v>581</v>
      </c>
      <c r="D197" s="1" t="s">
        <v>588</v>
      </c>
      <c r="E197" s="1" t="s">
        <v>129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42">
        <v>0.78</v>
      </c>
      <c r="ED197" s="42">
        <v>0.7</v>
      </c>
      <c r="EE197" s="42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9">
        <f>Tabelle58971121[[#This Row],[Durchschnittsauslastung max]]*Tabelle58971121[[#This Row],[installierte Leistung MW max]]</f>
        <v>215.85999999999999</v>
      </c>
      <c r="EI197" s="91">
        <f>Tabelle58971121[[#This Row],[Maximalauslastung durch]]*Tabelle58971121[[#This Row],[installierte Leistung MW min]]</f>
        <v>42.75</v>
      </c>
      <c r="EJ197" s="49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7">
        <v>0.25</v>
      </c>
      <c r="EU197" s="1">
        <v>0.11913296568627449</v>
      </c>
      <c r="EV197" s="1">
        <v>8.3333333333333329E-2</v>
      </c>
      <c r="EW197" s="57">
        <v>0.25</v>
      </c>
      <c r="EX197" s="1">
        <v>2</v>
      </c>
      <c r="EY197" s="1">
        <v>1.6</v>
      </c>
      <c r="EZ197" s="57">
        <v>2.4</v>
      </c>
      <c r="FA197" s="1">
        <v>2</v>
      </c>
      <c r="FB197" s="1">
        <v>1.6</v>
      </c>
      <c r="FC197" s="57">
        <v>2.4</v>
      </c>
      <c r="FD197" s="1">
        <v>4</v>
      </c>
      <c r="FE197" s="1">
        <v>3.2</v>
      </c>
      <c r="FF197" s="57">
        <v>4.8</v>
      </c>
      <c r="FG197" s="1">
        <v>6</v>
      </c>
      <c r="FH197" s="1">
        <v>4.9000000000000004</v>
      </c>
      <c r="FI197" s="57">
        <v>4.9000000000000004</v>
      </c>
      <c r="FJ197" s="1">
        <v>4.9000000000000004</v>
      </c>
      <c r="FK197" s="1">
        <v>3.3000000000000003</v>
      </c>
      <c r="FL197" s="57">
        <v>6.5</v>
      </c>
      <c r="FN197" s="1" t="s">
        <v>656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653</v>
      </c>
      <c r="GW197" s="1" t="s">
        <v>653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652</v>
      </c>
      <c r="HD197" s="13" t="s">
        <v>651</v>
      </c>
      <c r="HE197" s="1">
        <v>202</v>
      </c>
      <c r="HF197" s="1">
        <v>202</v>
      </c>
      <c r="HH197" s="1" t="s">
        <v>655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654</v>
      </c>
    </row>
    <row r="198" spans="1:223" ht="12.75" customHeight="1" x14ac:dyDescent="0.2">
      <c r="A198" s="1" t="s">
        <v>581</v>
      </c>
      <c r="D198" s="1" t="s">
        <v>588</v>
      </c>
      <c r="E198" s="1" t="s">
        <v>129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42">
        <v>0.78</v>
      </c>
      <c r="ED198" s="42">
        <v>0.7</v>
      </c>
      <c r="EE198" s="42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9">
        <f>Tabelle58971121[[#This Row],[Durchschnittsauslastung max]]*Tabelle58971121[[#This Row],[installierte Leistung MW max]]</f>
        <v>215.85999999999999</v>
      </c>
      <c r="EI198" s="91">
        <f>Tabelle58971121[[#This Row],[Maximalauslastung durch]]*Tabelle58971121[[#This Row],[installierte Leistung MW min]]</f>
        <v>42.75</v>
      </c>
      <c r="EJ198" s="49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7">
        <v>0.25</v>
      </c>
      <c r="EU198" s="1">
        <v>0.11913296568627449</v>
      </c>
      <c r="EV198" s="1">
        <v>8.3333333333333329E-2</v>
      </c>
      <c r="EW198" s="57">
        <v>0.25</v>
      </c>
      <c r="EX198" s="1">
        <v>2</v>
      </c>
      <c r="EY198" s="1">
        <v>1.6</v>
      </c>
      <c r="EZ198" s="57">
        <v>2.4</v>
      </c>
      <c r="FA198" s="1">
        <v>2</v>
      </c>
      <c r="FB198" s="1">
        <v>1.6</v>
      </c>
      <c r="FC198" s="57">
        <v>2.4</v>
      </c>
      <c r="FD198" s="1">
        <v>4</v>
      </c>
      <c r="FE198" s="1">
        <v>3.2</v>
      </c>
      <c r="FF198" s="57">
        <v>4.8</v>
      </c>
      <c r="FG198" s="1">
        <v>6</v>
      </c>
      <c r="FH198" s="1">
        <v>4.9000000000000004</v>
      </c>
      <c r="FI198" s="57">
        <v>4.9000000000000004</v>
      </c>
      <c r="FJ198" s="1">
        <v>4.9000000000000004</v>
      </c>
      <c r="FK198" s="1">
        <v>3.3000000000000003</v>
      </c>
      <c r="FL198" s="57">
        <v>6.5</v>
      </c>
      <c r="FN198" s="1" t="s">
        <v>656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653</v>
      </c>
      <c r="GW198" s="1" t="s">
        <v>653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652</v>
      </c>
      <c r="HD198" s="13" t="s">
        <v>651</v>
      </c>
      <c r="HE198" s="1">
        <v>202</v>
      </c>
      <c r="HF198" s="1">
        <v>202</v>
      </c>
      <c r="HH198" s="1" t="s">
        <v>655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654</v>
      </c>
    </row>
    <row r="199" spans="1:223" ht="12.75" customHeight="1" x14ac:dyDescent="0.2">
      <c r="A199" s="1" t="s">
        <v>581</v>
      </c>
      <c r="D199" s="1" t="s">
        <v>588</v>
      </c>
      <c r="E199" s="1" t="s">
        <v>129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42">
        <v>0.78</v>
      </c>
      <c r="ED199" s="42">
        <v>0.7</v>
      </c>
      <c r="EE199" s="42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9">
        <f>Tabelle58971121[[#This Row],[Durchschnittsauslastung max]]*Tabelle58971121[[#This Row],[installierte Leistung MW max]]</f>
        <v>215.85999999999999</v>
      </c>
      <c r="EI199" s="91">
        <f>Tabelle58971121[[#This Row],[Maximalauslastung durch]]*Tabelle58971121[[#This Row],[installierte Leistung MW min]]</f>
        <v>42.75</v>
      </c>
      <c r="EJ199" s="49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7">
        <v>0.25</v>
      </c>
      <c r="EU199" s="1">
        <v>0.11913296568627449</v>
      </c>
      <c r="EV199" s="1">
        <v>8.3333333333333329E-2</v>
      </c>
      <c r="EW199" s="57">
        <v>0.25</v>
      </c>
      <c r="EX199" s="1">
        <v>2</v>
      </c>
      <c r="EY199" s="1">
        <v>1.6</v>
      </c>
      <c r="EZ199" s="57">
        <v>2.4</v>
      </c>
      <c r="FA199" s="1">
        <v>2</v>
      </c>
      <c r="FB199" s="1">
        <v>1.6</v>
      </c>
      <c r="FC199" s="57">
        <v>2.4</v>
      </c>
      <c r="FD199" s="1">
        <v>4</v>
      </c>
      <c r="FE199" s="1">
        <v>3.2</v>
      </c>
      <c r="FF199" s="57">
        <v>4.8</v>
      </c>
      <c r="FG199" s="1">
        <v>6</v>
      </c>
      <c r="FH199" s="1">
        <v>4.9000000000000004</v>
      </c>
      <c r="FI199" s="57">
        <v>4.9000000000000004</v>
      </c>
      <c r="FJ199" s="1">
        <v>4.9000000000000004</v>
      </c>
      <c r="FK199" s="1">
        <v>3.3000000000000003</v>
      </c>
      <c r="FL199" s="57">
        <v>6.5</v>
      </c>
      <c r="FN199" s="1" t="s">
        <v>656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653</v>
      </c>
      <c r="GW199" s="1" t="s">
        <v>653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652</v>
      </c>
      <c r="HD199" s="13" t="s">
        <v>651</v>
      </c>
      <c r="HE199" s="1">
        <v>202</v>
      </c>
      <c r="HF199" s="1">
        <v>202</v>
      </c>
      <c r="HH199" s="1" t="s">
        <v>655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654</v>
      </c>
    </row>
    <row r="200" spans="1:223" ht="12.75" customHeight="1" x14ac:dyDescent="0.2">
      <c r="A200" s="1" t="s">
        <v>581</v>
      </c>
      <c r="D200" s="1" t="s">
        <v>588</v>
      </c>
      <c r="E200" s="1" t="s">
        <v>129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42">
        <v>0.78</v>
      </c>
      <c r="ED200" s="42">
        <v>0.7</v>
      </c>
      <c r="EE200" s="42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9">
        <f>Tabelle58971121[[#This Row],[Durchschnittsauslastung max]]*Tabelle58971121[[#This Row],[installierte Leistung MW max]]</f>
        <v>215.85999999999999</v>
      </c>
      <c r="EI200" s="91">
        <f>Tabelle58971121[[#This Row],[Maximalauslastung durch]]*Tabelle58971121[[#This Row],[installierte Leistung MW min]]</f>
        <v>42.75</v>
      </c>
      <c r="EJ200" s="49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7">
        <v>0.25</v>
      </c>
      <c r="EU200" s="1">
        <v>0.11913296568627449</v>
      </c>
      <c r="EV200" s="1">
        <v>8.3333333333333329E-2</v>
      </c>
      <c r="EW200" s="57">
        <v>0.25</v>
      </c>
      <c r="EX200" s="1">
        <v>2</v>
      </c>
      <c r="EY200" s="1">
        <v>1.6</v>
      </c>
      <c r="EZ200" s="57">
        <v>2.4</v>
      </c>
      <c r="FA200" s="1">
        <v>2</v>
      </c>
      <c r="FB200" s="1">
        <v>1.6</v>
      </c>
      <c r="FC200" s="57">
        <v>2.4</v>
      </c>
      <c r="FD200" s="1">
        <v>4</v>
      </c>
      <c r="FE200" s="1">
        <v>3.2</v>
      </c>
      <c r="FF200" s="57">
        <v>4.8</v>
      </c>
      <c r="FG200" s="1">
        <v>6</v>
      </c>
      <c r="FH200" s="1">
        <v>4.9000000000000004</v>
      </c>
      <c r="FI200" s="57">
        <v>4.9000000000000004</v>
      </c>
      <c r="FJ200" s="1">
        <v>4.9000000000000004</v>
      </c>
      <c r="FK200" s="1">
        <v>3.3000000000000003</v>
      </c>
      <c r="FL200" s="57">
        <v>6.5</v>
      </c>
      <c r="FN200" s="1" t="s">
        <v>656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653</v>
      </c>
      <c r="GW200" s="1" t="s">
        <v>653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652</v>
      </c>
      <c r="HD200" s="13" t="s">
        <v>651</v>
      </c>
      <c r="HE200" s="1">
        <v>202</v>
      </c>
      <c r="HF200" s="1">
        <v>202</v>
      </c>
      <c r="HH200" s="1" t="s">
        <v>655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654</v>
      </c>
    </row>
    <row r="201" spans="1:223" ht="12.75" customHeight="1" x14ac:dyDescent="0.2">
      <c r="A201" s="1" t="s">
        <v>581</v>
      </c>
      <c r="D201" s="1" t="s">
        <v>588</v>
      </c>
      <c r="E201" s="1" t="s">
        <v>129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42">
        <v>0.78</v>
      </c>
      <c r="ED201" s="42">
        <v>0.7</v>
      </c>
      <c r="EE201" s="42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9">
        <f>Tabelle58971121[[#This Row],[Durchschnittsauslastung max]]*Tabelle58971121[[#This Row],[installierte Leistung MW max]]</f>
        <v>215.85999999999999</v>
      </c>
      <c r="EI201" s="91">
        <f>Tabelle58971121[[#This Row],[Maximalauslastung durch]]*Tabelle58971121[[#This Row],[installierte Leistung MW min]]</f>
        <v>42.75</v>
      </c>
      <c r="EJ201" s="49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7">
        <v>0.25</v>
      </c>
      <c r="EU201" s="1">
        <v>0.11913296568627449</v>
      </c>
      <c r="EV201" s="1">
        <v>8.3333333333333329E-2</v>
      </c>
      <c r="EW201" s="57">
        <v>0.25</v>
      </c>
      <c r="EX201" s="1">
        <v>2</v>
      </c>
      <c r="EY201" s="1">
        <v>1.6</v>
      </c>
      <c r="EZ201" s="57">
        <v>2.4</v>
      </c>
      <c r="FA201" s="1">
        <v>2</v>
      </c>
      <c r="FB201" s="1">
        <v>1.6</v>
      </c>
      <c r="FC201" s="57">
        <v>2.4</v>
      </c>
      <c r="FD201" s="1">
        <v>4</v>
      </c>
      <c r="FE201" s="1">
        <v>3.2</v>
      </c>
      <c r="FF201" s="57">
        <v>4.8</v>
      </c>
      <c r="FG201" s="1">
        <v>6</v>
      </c>
      <c r="FH201" s="1">
        <v>4.9000000000000004</v>
      </c>
      <c r="FI201" s="57">
        <v>4.9000000000000004</v>
      </c>
      <c r="FJ201" s="1">
        <v>4.9000000000000004</v>
      </c>
      <c r="FK201" s="1">
        <v>3.3000000000000003</v>
      </c>
      <c r="FL201" s="57">
        <v>6.5</v>
      </c>
      <c r="FN201" s="1" t="s">
        <v>656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653</v>
      </c>
      <c r="GW201" s="1" t="s">
        <v>653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652</v>
      </c>
      <c r="HD201" s="13" t="s">
        <v>651</v>
      </c>
      <c r="HE201" s="1">
        <v>202</v>
      </c>
      <c r="HF201" s="1">
        <v>202</v>
      </c>
      <c r="HH201" s="1" t="s">
        <v>655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654</v>
      </c>
    </row>
    <row r="202" spans="1:223" ht="12.75" customHeight="1" x14ac:dyDescent="0.2">
      <c r="A202" s="1" t="s">
        <v>77</v>
      </c>
      <c r="D202" s="1" t="s">
        <v>589</v>
      </c>
      <c r="E202" s="1" t="s">
        <v>129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42">
        <v>0.73</v>
      </c>
      <c r="ED202" s="42">
        <v>0.69</v>
      </c>
      <c r="EE202" s="42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9">
        <f>Tabelle58971121[[#This Row],[Durchschnittsauslastung max]]*Tabelle58971121[[#This Row],[installierte Leistung MW max]]</f>
        <v>365.75</v>
      </c>
      <c r="EI202" s="91">
        <f>Tabelle58971121[[#This Row],[Maximalauslastung durch]]*Tabelle58971121[[#This Row],[installierte Leistung MW min]]</f>
        <v>187.14999999999998</v>
      </c>
      <c r="EJ202" s="49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7">
        <v>0.5</v>
      </c>
      <c r="EU202" s="1">
        <v>0.77166666666666672</v>
      </c>
      <c r="EV202" s="1">
        <v>8.3333333333333329E-2</v>
      </c>
      <c r="EW202" s="57">
        <v>3</v>
      </c>
      <c r="EX202" s="1">
        <v>4.8</v>
      </c>
      <c r="EY202" s="1">
        <v>4.3</v>
      </c>
      <c r="EZ202" s="57">
        <v>5.3</v>
      </c>
      <c r="FA202" s="1">
        <v>4.8</v>
      </c>
      <c r="FB202" s="1">
        <v>4.3</v>
      </c>
      <c r="FC202" s="57">
        <v>5.3</v>
      </c>
      <c r="FD202" s="1">
        <v>6</v>
      </c>
      <c r="FE202" s="1">
        <v>5.4</v>
      </c>
      <c r="FF202" s="57">
        <v>6.6</v>
      </c>
      <c r="FG202" s="1">
        <v>10.8</v>
      </c>
      <c r="FH202" s="1">
        <v>10.8</v>
      </c>
      <c r="FI202" s="57">
        <v>10.8</v>
      </c>
      <c r="FJ202" s="1">
        <v>7.8</v>
      </c>
      <c r="FK202" s="1">
        <v>5.8</v>
      </c>
      <c r="FL202" s="57">
        <v>9.8000000000000007</v>
      </c>
      <c r="FN202" s="1" t="s">
        <v>657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653</v>
      </c>
      <c r="GW202" s="1" t="s">
        <v>653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652</v>
      </c>
      <c r="HD202" s="13" t="s">
        <v>651</v>
      </c>
      <c r="HE202" s="1">
        <v>202</v>
      </c>
      <c r="HF202" s="1">
        <v>202</v>
      </c>
      <c r="HH202" s="1" t="s">
        <v>655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654</v>
      </c>
    </row>
    <row r="203" spans="1:223" ht="12.75" customHeight="1" x14ac:dyDescent="0.2">
      <c r="A203" s="1" t="s">
        <v>77</v>
      </c>
      <c r="D203" s="1" t="s">
        <v>589</v>
      </c>
      <c r="E203" s="1" t="s">
        <v>129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42">
        <v>0.73</v>
      </c>
      <c r="ED203" s="42">
        <v>0.69</v>
      </c>
      <c r="EE203" s="42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9">
        <f>Tabelle58971121[[#This Row],[Durchschnittsauslastung max]]*Tabelle58971121[[#This Row],[installierte Leistung MW max]]</f>
        <v>362.09250000000003</v>
      </c>
      <c r="EI203" s="91">
        <f>Tabelle58971121[[#This Row],[Maximalauslastung durch]]*Tabelle58971121[[#This Row],[installierte Leistung MW min]]</f>
        <v>185.27849999999998</v>
      </c>
      <c r="EJ203" s="49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7">
        <v>0.5</v>
      </c>
      <c r="EU203" s="1">
        <v>0.77166666666666672</v>
      </c>
      <c r="EV203" s="1">
        <v>8.3333333333333329E-2</v>
      </c>
      <c r="EW203" s="57">
        <v>3</v>
      </c>
      <c r="EX203" s="1">
        <v>4.7999999999999989</v>
      </c>
      <c r="EY203" s="1">
        <v>4.3</v>
      </c>
      <c r="EZ203" s="57">
        <v>5.3</v>
      </c>
      <c r="FA203" s="1">
        <v>4.7999999999999989</v>
      </c>
      <c r="FB203" s="1">
        <v>4.3</v>
      </c>
      <c r="FC203" s="57">
        <v>5.3</v>
      </c>
      <c r="FD203" s="1">
        <v>6</v>
      </c>
      <c r="FE203" s="1">
        <v>5.4</v>
      </c>
      <c r="FF203" s="57">
        <v>6.6</v>
      </c>
      <c r="FG203" s="1">
        <v>10.8</v>
      </c>
      <c r="FH203" s="1">
        <v>7.8</v>
      </c>
      <c r="FI203" s="57">
        <v>7.7999999999999989</v>
      </c>
      <c r="FJ203" s="1">
        <v>7.7999999999999989</v>
      </c>
      <c r="FK203" s="1">
        <v>5.8</v>
      </c>
      <c r="FL203" s="57">
        <v>9.8000000000000007</v>
      </c>
      <c r="FN203" s="1" t="s">
        <v>657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653</v>
      </c>
      <c r="GW203" s="1" t="s">
        <v>653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652</v>
      </c>
      <c r="HD203" s="13" t="s">
        <v>651</v>
      </c>
      <c r="HE203" s="1">
        <v>202</v>
      </c>
      <c r="HF203" s="1">
        <v>202</v>
      </c>
      <c r="HH203" s="1" t="s">
        <v>655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654</v>
      </c>
    </row>
    <row r="204" spans="1:223" ht="12.75" customHeight="1" x14ac:dyDescent="0.2">
      <c r="A204" s="1" t="s">
        <v>77</v>
      </c>
      <c r="D204" s="1" t="s">
        <v>589</v>
      </c>
      <c r="E204" s="1" t="s">
        <v>129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42">
        <v>0.73000000000000009</v>
      </c>
      <c r="ED204" s="42">
        <v>0.69</v>
      </c>
      <c r="EE204" s="42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9">
        <f>Tabelle58971121[[#This Row],[Durchschnittsauslastung max]]*Tabelle58971121[[#This Row],[installierte Leistung MW max]]</f>
        <v>354.77749999999997</v>
      </c>
      <c r="EI204" s="91">
        <f>Tabelle58971121[[#This Row],[Maximalauslastung durch]]*Tabelle58971121[[#This Row],[installierte Leistung MW min]]</f>
        <v>181.53550000000004</v>
      </c>
      <c r="EJ204" s="49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7">
        <v>0.5</v>
      </c>
      <c r="EU204" s="1">
        <v>0.77166666666666683</v>
      </c>
      <c r="EV204" s="1">
        <v>8.3333333333333329E-2</v>
      </c>
      <c r="EW204" s="57">
        <v>3</v>
      </c>
      <c r="EX204" s="1">
        <v>4.8000000000000007</v>
      </c>
      <c r="EY204" s="1">
        <v>4.3</v>
      </c>
      <c r="EZ204" s="57">
        <v>5.3</v>
      </c>
      <c r="FA204" s="1">
        <v>4.8000000000000007</v>
      </c>
      <c r="FB204" s="1">
        <v>4.3</v>
      </c>
      <c r="FC204" s="57">
        <v>5.3</v>
      </c>
      <c r="FD204" s="1">
        <v>6.0000000000000009</v>
      </c>
      <c r="FE204" s="1">
        <v>5.4</v>
      </c>
      <c r="FF204" s="57">
        <v>6.6</v>
      </c>
      <c r="FG204" s="1">
        <v>10.8</v>
      </c>
      <c r="FH204" s="1">
        <v>7.8</v>
      </c>
      <c r="FI204" s="57">
        <v>7.8</v>
      </c>
      <c r="FJ204" s="1">
        <v>7.8000000000000007</v>
      </c>
      <c r="FK204" s="1">
        <v>5.8</v>
      </c>
      <c r="FL204" s="57">
        <v>9.8000000000000007</v>
      </c>
      <c r="FN204" s="1" t="s">
        <v>657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653</v>
      </c>
      <c r="GW204" s="1" t="s">
        <v>653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652</v>
      </c>
      <c r="HD204" s="13" t="s">
        <v>651</v>
      </c>
      <c r="HE204" s="1">
        <v>202</v>
      </c>
      <c r="HF204" s="1">
        <v>202</v>
      </c>
      <c r="HH204" s="1" t="s">
        <v>655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654</v>
      </c>
    </row>
    <row r="205" spans="1:223" ht="12.75" customHeight="1" x14ac:dyDescent="0.2">
      <c r="A205" s="1" t="s">
        <v>77</v>
      </c>
      <c r="D205" s="1" t="s">
        <v>589</v>
      </c>
      <c r="E205" s="1" t="s">
        <v>129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42">
        <v>0.73</v>
      </c>
      <c r="ED205" s="42">
        <v>0.69</v>
      </c>
      <c r="EE205" s="42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9">
        <f>Tabelle58971121[[#This Row],[Durchschnittsauslastung max]]*Tabelle58971121[[#This Row],[installierte Leistung MW max]]</f>
        <v>351.11999999999995</v>
      </c>
      <c r="EI205" s="91">
        <f>Tabelle58971121[[#This Row],[Maximalauslastung durch]]*Tabelle58971121[[#This Row],[installierte Leistung MW min]]</f>
        <v>179.66399999999999</v>
      </c>
      <c r="EJ205" s="49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7">
        <v>0.5</v>
      </c>
      <c r="EU205" s="1">
        <v>0.77166666666666672</v>
      </c>
      <c r="EV205" s="1">
        <v>8.3333333333333329E-2</v>
      </c>
      <c r="EW205" s="57">
        <v>3</v>
      </c>
      <c r="EX205" s="1">
        <v>4.8</v>
      </c>
      <c r="EY205" s="1">
        <v>4.3</v>
      </c>
      <c r="EZ205" s="57">
        <v>5.3</v>
      </c>
      <c r="FA205" s="1">
        <v>4.8</v>
      </c>
      <c r="FB205" s="1">
        <v>4.3</v>
      </c>
      <c r="FC205" s="57">
        <v>5.3</v>
      </c>
      <c r="FD205" s="1">
        <v>6</v>
      </c>
      <c r="FE205" s="1">
        <v>5.4</v>
      </c>
      <c r="FF205" s="57">
        <v>6.6</v>
      </c>
      <c r="FG205" s="1">
        <v>10.8</v>
      </c>
      <c r="FH205" s="1">
        <v>7.8</v>
      </c>
      <c r="FI205" s="57">
        <v>7.7999999999999989</v>
      </c>
      <c r="FJ205" s="1">
        <v>7.8</v>
      </c>
      <c r="FK205" s="1">
        <v>5.8</v>
      </c>
      <c r="FL205" s="57">
        <v>9.8000000000000007</v>
      </c>
      <c r="FN205" s="1" t="s">
        <v>657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653</v>
      </c>
      <c r="GW205" s="1" t="s">
        <v>653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652</v>
      </c>
      <c r="HD205" s="13" t="s">
        <v>651</v>
      </c>
      <c r="HE205" s="1">
        <v>202</v>
      </c>
      <c r="HF205" s="1">
        <v>202</v>
      </c>
      <c r="HH205" s="1" t="s">
        <v>655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654</v>
      </c>
    </row>
    <row r="206" spans="1:223" ht="12.75" customHeight="1" x14ac:dyDescent="0.2">
      <c r="A206" s="1" t="s">
        <v>77</v>
      </c>
      <c r="D206" s="1" t="s">
        <v>589</v>
      </c>
      <c r="E206" s="1" t="s">
        <v>129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42">
        <v>0.73</v>
      </c>
      <c r="ED206" s="42">
        <v>0.69</v>
      </c>
      <c r="EE206" s="42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9">
        <f>Tabelle58971121[[#This Row],[Durchschnittsauslastung max]]*Tabelle58971121[[#This Row],[installierte Leistung MW max]]</f>
        <v>347.46249999999998</v>
      </c>
      <c r="EI206" s="91">
        <f>Tabelle58971121[[#This Row],[Maximalauslastung durch]]*Tabelle58971121[[#This Row],[installierte Leistung MW min]]</f>
        <v>177.79249999999999</v>
      </c>
      <c r="EJ206" s="49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7">
        <v>0.5</v>
      </c>
      <c r="EU206" s="1">
        <v>0.77166666666666672</v>
      </c>
      <c r="EV206" s="1">
        <v>8.3333333333333329E-2</v>
      </c>
      <c r="EW206" s="57">
        <v>3</v>
      </c>
      <c r="EX206" s="1">
        <v>4.7999999999999989</v>
      </c>
      <c r="EY206" s="1">
        <v>4.3</v>
      </c>
      <c r="EZ206" s="57">
        <v>5.3</v>
      </c>
      <c r="FA206" s="1">
        <v>4.7999999999999989</v>
      </c>
      <c r="FB206" s="1">
        <v>4.3</v>
      </c>
      <c r="FC206" s="57">
        <v>5.3</v>
      </c>
      <c r="FD206" s="1">
        <v>6</v>
      </c>
      <c r="FE206" s="1">
        <v>5.4</v>
      </c>
      <c r="FF206" s="57">
        <v>6.6</v>
      </c>
      <c r="FG206" s="1">
        <v>10.8</v>
      </c>
      <c r="FH206" s="1">
        <v>7.8</v>
      </c>
      <c r="FI206" s="57">
        <v>7.8000000000000007</v>
      </c>
      <c r="FJ206" s="1">
        <v>7.7999999999999989</v>
      </c>
      <c r="FK206" s="1">
        <v>5.8</v>
      </c>
      <c r="FL206" s="57">
        <v>9.8000000000000007</v>
      </c>
      <c r="FN206" s="1" t="s">
        <v>657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653</v>
      </c>
      <c r="GW206" s="1" t="s">
        <v>653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652</v>
      </c>
      <c r="HD206" s="13" t="s">
        <v>651</v>
      </c>
      <c r="HE206" s="1">
        <v>202</v>
      </c>
      <c r="HF206" s="1">
        <v>202</v>
      </c>
      <c r="HH206" s="1" t="s">
        <v>655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654</v>
      </c>
    </row>
    <row r="207" spans="1:223" ht="12.75" customHeight="1" x14ac:dyDescent="0.2">
      <c r="A207" s="1" t="s">
        <v>77</v>
      </c>
      <c r="D207" s="1" t="s">
        <v>589</v>
      </c>
      <c r="E207" s="1" t="s">
        <v>129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42">
        <v>0.73</v>
      </c>
      <c r="ED207" s="42">
        <v>0.69</v>
      </c>
      <c r="EE207" s="42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9">
        <f>Tabelle58971121[[#This Row],[Durchschnittsauslastung max]]*Tabelle58971121[[#This Row],[installierte Leistung MW max]]</f>
        <v>340.14749999999998</v>
      </c>
      <c r="EI207" s="91">
        <f>Tabelle58971121[[#This Row],[Maximalauslastung durch]]*Tabelle58971121[[#This Row],[installierte Leistung MW min]]</f>
        <v>174.04950000000002</v>
      </c>
      <c r="EJ207" s="49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7">
        <v>0.5</v>
      </c>
      <c r="EU207" s="1">
        <v>0.77166666666666672</v>
      </c>
      <c r="EV207" s="1">
        <v>8.3333333333333329E-2</v>
      </c>
      <c r="EW207" s="57">
        <v>3</v>
      </c>
      <c r="EX207" s="1">
        <v>4.7999999999999989</v>
      </c>
      <c r="EY207" s="1">
        <v>4.3</v>
      </c>
      <c r="EZ207" s="57">
        <v>5.3</v>
      </c>
      <c r="FA207" s="1">
        <v>4.7999999999999989</v>
      </c>
      <c r="FB207" s="1">
        <v>4.3</v>
      </c>
      <c r="FC207" s="57">
        <v>5.3</v>
      </c>
      <c r="FD207" s="1">
        <v>6</v>
      </c>
      <c r="FE207" s="1">
        <v>5.4</v>
      </c>
      <c r="FF207" s="57">
        <v>6.6</v>
      </c>
      <c r="FG207" s="1">
        <v>10.8</v>
      </c>
      <c r="FH207" s="1">
        <v>7.8000000000000007</v>
      </c>
      <c r="FI207" s="57">
        <v>7.8000000000000007</v>
      </c>
      <c r="FJ207" s="1">
        <v>7.7999999999999989</v>
      </c>
      <c r="FK207" s="1">
        <v>5.8</v>
      </c>
      <c r="FL207" s="57">
        <v>9.8000000000000007</v>
      </c>
      <c r="FN207" s="1" t="s">
        <v>657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653</v>
      </c>
      <c r="GW207" s="1" t="s">
        <v>653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652</v>
      </c>
      <c r="HD207" s="13" t="s">
        <v>651</v>
      </c>
      <c r="HE207" s="1">
        <v>202</v>
      </c>
      <c r="HF207" s="1">
        <v>202</v>
      </c>
      <c r="HH207" s="1" t="s">
        <v>655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654</v>
      </c>
    </row>
    <row r="208" spans="1:223" ht="12.75" customHeight="1" x14ac:dyDescent="0.2">
      <c r="A208" s="1" t="s">
        <v>77</v>
      </c>
      <c r="D208" s="1" t="s">
        <v>589</v>
      </c>
      <c r="E208" s="1" t="s">
        <v>129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42">
        <v>0.73</v>
      </c>
      <c r="ED208" s="42">
        <v>0.69</v>
      </c>
      <c r="EE208" s="42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9">
        <f>Tabelle58971121[[#This Row],[Durchschnittsauslastung max]]*Tabelle58971121[[#This Row],[installierte Leistung MW max]]</f>
        <v>336.49</v>
      </c>
      <c r="EI208" s="91">
        <f>Tabelle58971121[[#This Row],[Maximalauslastung durch]]*Tabelle58971121[[#This Row],[installierte Leistung MW min]]</f>
        <v>172.178</v>
      </c>
      <c r="EJ208" s="49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7">
        <v>0.5</v>
      </c>
      <c r="EU208" s="1">
        <v>0.77166666666666672</v>
      </c>
      <c r="EV208" s="1">
        <v>8.3333333333333329E-2</v>
      </c>
      <c r="EW208" s="57">
        <v>3</v>
      </c>
      <c r="EX208" s="1">
        <v>4.8</v>
      </c>
      <c r="EY208" s="1">
        <v>4.3</v>
      </c>
      <c r="EZ208" s="57">
        <v>5.3</v>
      </c>
      <c r="FA208" s="1">
        <v>4.8</v>
      </c>
      <c r="FB208" s="1">
        <v>4.3</v>
      </c>
      <c r="FC208" s="57">
        <v>5.3</v>
      </c>
      <c r="FD208" s="1">
        <v>6</v>
      </c>
      <c r="FE208" s="1">
        <v>5.4</v>
      </c>
      <c r="FF208" s="57">
        <v>6.6</v>
      </c>
      <c r="FG208" s="1">
        <v>10.8</v>
      </c>
      <c r="FH208" s="1">
        <v>7.8</v>
      </c>
      <c r="FI208" s="57">
        <v>7.7999999999999989</v>
      </c>
      <c r="FJ208" s="1">
        <v>7.8</v>
      </c>
      <c r="FK208" s="1">
        <v>5.8</v>
      </c>
      <c r="FL208" s="57">
        <v>9.8000000000000007</v>
      </c>
      <c r="FN208" s="1" t="s">
        <v>657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653</v>
      </c>
      <c r="GW208" s="1" t="s">
        <v>653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652</v>
      </c>
      <c r="HD208" s="13" t="s">
        <v>651</v>
      </c>
      <c r="HE208" s="1">
        <v>202</v>
      </c>
      <c r="HF208" s="1">
        <v>202</v>
      </c>
      <c r="HH208" s="1" t="s">
        <v>655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654</v>
      </c>
    </row>
    <row r="209" spans="1:223" ht="12.75" customHeight="1" x14ac:dyDescent="0.2">
      <c r="A209" s="1" t="s">
        <v>77</v>
      </c>
      <c r="D209" s="1" t="s">
        <v>589</v>
      </c>
      <c r="E209" s="1" t="s">
        <v>129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42">
        <v>0.73000000000000009</v>
      </c>
      <c r="ED209" s="42">
        <v>0.69</v>
      </c>
      <c r="EE209" s="42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9">
        <f>Tabelle58971121[[#This Row],[Durchschnittsauslastung max]]*Tabelle58971121[[#This Row],[installierte Leistung MW max]]</f>
        <v>332.83249999999998</v>
      </c>
      <c r="EI209" s="91">
        <f>Tabelle58971121[[#This Row],[Maximalauslastung durch]]*Tabelle58971121[[#This Row],[installierte Leistung MW min]]</f>
        <v>170.30650000000006</v>
      </c>
      <c r="EJ209" s="49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7">
        <v>0.5</v>
      </c>
      <c r="EU209" s="1">
        <v>0.77166666666666683</v>
      </c>
      <c r="EV209" s="1">
        <v>8.3333333333333329E-2</v>
      </c>
      <c r="EW209" s="57">
        <v>3</v>
      </c>
      <c r="EX209" s="1">
        <v>4.8</v>
      </c>
      <c r="EY209" s="1">
        <v>4.3</v>
      </c>
      <c r="EZ209" s="57">
        <v>5.3</v>
      </c>
      <c r="FA209" s="1">
        <v>4.8</v>
      </c>
      <c r="FB209" s="1">
        <v>4.3</v>
      </c>
      <c r="FC209" s="57">
        <v>5.3</v>
      </c>
      <c r="FD209" s="1">
        <v>6</v>
      </c>
      <c r="FE209" s="1">
        <v>5.4</v>
      </c>
      <c r="FF209" s="57">
        <v>6.6</v>
      </c>
      <c r="FG209" s="1">
        <v>10.8</v>
      </c>
      <c r="FH209" s="1">
        <v>7.8</v>
      </c>
      <c r="FI209" s="57">
        <v>7.8000000000000007</v>
      </c>
      <c r="FJ209" s="1">
        <v>7.8</v>
      </c>
      <c r="FK209" s="1">
        <v>5.8</v>
      </c>
      <c r="FL209" s="57">
        <v>9.8000000000000007</v>
      </c>
      <c r="FN209" s="1" t="s">
        <v>657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653</v>
      </c>
      <c r="GW209" s="1" t="s">
        <v>653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652</v>
      </c>
      <c r="HD209" s="13" t="s">
        <v>651</v>
      </c>
      <c r="HE209" s="1">
        <v>202</v>
      </c>
      <c r="HF209" s="1">
        <v>202</v>
      </c>
      <c r="HH209" s="1" t="s">
        <v>655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654</v>
      </c>
    </row>
    <row r="210" spans="1:223" ht="12.75" customHeight="1" x14ac:dyDescent="0.2">
      <c r="A210" s="1" t="s">
        <v>81</v>
      </c>
      <c r="D210" s="1" t="s">
        <v>81</v>
      </c>
      <c r="E210" s="1" t="s">
        <v>129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42">
        <v>0.86</v>
      </c>
      <c r="ED210" s="42">
        <v>0.83</v>
      </c>
      <c r="EE210" s="42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9">
        <f>Tabelle58971121[[#This Row],[Durchschnittsauslastung max]]*Tabelle58971121[[#This Row],[installierte Leistung MW max]]</f>
        <v>1634.04</v>
      </c>
      <c r="EI210" s="91">
        <f>Tabelle58971121[[#This Row],[Maximalauslastung durch]]*Tabelle58971121[[#This Row],[installierte Leistung MW min]]</f>
        <v>938.59999999999991</v>
      </c>
      <c r="EJ210" s="49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7">
        <v>3</v>
      </c>
      <c r="EU210" s="1">
        <v>1.625</v>
      </c>
      <c r="EV210" s="1">
        <v>0.5</v>
      </c>
      <c r="EW210" s="57">
        <v>3</v>
      </c>
      <c r="EX210" s="1">
        <v>5.2</v>
      </c>
      <c r="EY210" s="1">
        <v>4.7</v>
      </c>
      <c r="EZ210" s="57">
        <v>5.7</v>
      </c>
      <c r="FA210" s="1">
        <v>5.2</v>
      </c>
      <c r="FB210" s="1">
        <v>4.7</v>
      </c>
      <c r="FC210" s="57">
        <v>5.7</v>
      </c>
      <c r="FD210" s="1">
        <v>6</v>
      </c>
      <c r="FE210" s="1">
        <v>4.8</v>
      </c>
      <c r="FF210" s="57">
        <v>7.2</v>
      </c>
      <c r="FG210" s="1">
        <v>11.2</v>
      </c>
      <c r="FH210" s="1">
        <v>11.2</v>
      </c>
      <c r="FI210" s="57">
        <v>11.2</v>
      </c>
      <c r="FJ210" s="1">
        <v>6.6</v>
      </c>
      <c r="FK210" s="1">
        <v>4.8999999999999995</v>
      </c>
      <c r="FL210" s="57">
        <v>8.2999999999999989</v>
      </c>
      <c r="FN210" s="1" t="s">
        <v>656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653</v>
      </c>
      <c r="GW210" s="1" t="s">
        <v>653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652</v>
      </c>
      <c r="HD210" s="13" t="s">
        <v>651</v>
      </c>
      <c r="HE210" s="1">
        <v>202</v>
      </c>
      <c r="HF210" s="1">
        <v>202</v>
      </c>
      <c r="HH210" s="1" t="s">
        <v>655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654</v>
      </c>
    </row>
    <row r="211" spans="1:223" ht="12.75" customHeight="1" x14ac:dyDescent="0.2">
      <c r="A211" s="1" t="s">
        <v>81</v>
      </c>
      <c r="D211" s="1" t="s">
        <v>81</v>
      </c>
      <c r="E211" s="1" t="s">
        <v>129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42">
        <v>0.86</v>
      </c>
      <c r="ED211" s="42">
        <v>0.83</v>
      </c>
      <c r="EE211" s="42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9">
        <f>Tabelle58971121[[#This Row],[Durchschnittsauslastung max]]*Tabelle58971121[[#This Row],[installierte Leistung MW max]]</f>
        <v>1699.4016000000001</v>
      </c>
      <c r="EI211" s="91">
        <f>Tabelle58971121[[#This Row],[Maximalauslastung durch]]*Tabelle58971121[[#This Row],[installierte Leistung MW min]]</f>
        <v>976.14399999999989</v>
      </c>
      <c r="EJ211" s="49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7">
        <v>3</v>
      </c>
      <c r="EU211" s="1">
        <v>1.625</v>
      </c>
      <c r="EV211" s="1">
        <v>0.5</v>
      </c>
      <c r="EW211" s="57">
        <v>3</v>
      </c>
      <c r="EX211" s="1">
        <v>5.2</v>
      </c>
      <c r="EY211" s="1">
        <v>4.7</v>
      </c>
      <c r="EZ211" s="57">
        <v>5.7</v>
      </c>
      <c r="FA211" s="1">
        <v>5.2</v>
      </c>
      <c r="FB211" s="1">
        <v>4.7</v>
      </c>
      <c r="FC211" s="57">
        <v>5.7</v>
      </c>
      <c r="FD211" s="1">
        <v>6</v>
      </c>
      <c r="FE211" s="1">
        <v>4.8</v>
      </c>
      <c r="FF211" s="57">
        <v>7.2</v>
      </c>
      <c r="FG211" s="1">
        <v>11.2</v>
      </c>
      <c r="FH211" s="1">
        <v>11.2</v>
      </c>
      <c r="FI211" s="57">
        <v>11.2</v>
      </c>
      <c r="FJ211" s="1">
        <v>6.6</v>
      </c>
      <c r="FK211" s="1">
        <v>4.8999999999999995</v>
      </c>
      <c r="FL211" s="57">
        <v>8.2999999999999989</v>
      </c>
      <c r="FN211" s="1" t="s">
        <v>656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653</v>
      </c>
      <c r="GW211" s="1" t="s">
        <v>653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652</v>
      </c>
      <c r="HD211" s="13" t="s">
        <v>651</v>
      </c>
      <c r="HE211" s="1">
        <v>202</v>
      </c>
      <c r="HF211" s="1">
        <v>202</v>
      </c>
      <c r="HH211" s="1" t="s">
        <v>655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654</v>
      </c>
    </row>
    <row r="212" spans="1:223" ht="12.75" customHeight="1" x14ac:dyDescent="0.2">
      <c r="A212" s="1" t="s">
        <v>81</v>
      </c>
      <c r="D212" s="1" t="s">
        <v>81</v>
      </c>
      <c r="E212" s="1" t="s">
        <v>129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42">
        <v>0.86</v>
      </c>
      <c r="ED212" s="42">
        <v>0.83</v>
      </c>
      <c r="EE212" s="42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9">
        <f>Tabelle58971121[[#This Row],[Durchschnittsauslastung max]]*Tabelle58971121[[#This Row],[installierte Leistung MW max]]</f>
        <v>1764.7632000000001</v>
      </c>
      <c r="EI212" s="91">
        <f>Tabelle58971121[[#This Row],[Maximalauslastung durch]]*Tabelle58971121[[#This Row],[installierte Leistung MW min]]</f>
        <v>1013.6879999999999</v>
      </c>
      <c r="EJ212" s="49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7">
        <v>3</v>
      </c>
      <c r="EU212" s="1">
        <v>1.625</v>
      </c>
      <c r="EV212" s="1">
        <v>0.5</v>
      </c>
      <c r="EW212" s="57">
        <v>3</v>
      </c>
      <c r="EX212" s="1">
        <v>5.2</v>
      </c>
      <c r="EY212" s="1">
        <v>4.7</v>
      </c>
      <c r="EZ212" s="57">
        <v>5.7</v>
      </c>
      <c r="FA212" s="1">
        <v>5.2</v>
      </c>
      <c r="FB212" s="1">
        <v>4.7</v>
      </c>
      <c r="FC212" s="57">
        <v>5.7</v>
      </c>
      <c r="FD212" s="1">
        <v>6</v>
      </c>
      <c r="FE212" s="1">
        <v>4.8</v>
      </c>
      <c r="FF212" s="57">
        <v>7.2</v>
      </c>
      <c r="FG212" s="1">
        <v>11.2</v>
      </c>
      <c r="FH212" s="1">
        <v>11.2</v>
      </c>
      <c r="FI212" s="57">
        <v>11.2</v>
      </c>
      <c r="FJ212" s="1">
        <v>6.6</v>
      </c>
      <c r="FK212" s="1">
        <v>4.8999999999999995</v>
      </c>
      <c r="FL212" s="57">
        <v>8.2999999999999989</v>
      </c>
      <c r="FN212" s="1" t="s">
        <v>656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653</v>
      </c>
      <c r="GW212" s="1" t="s">
        <v>653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652</v>
      </c>
      <c r="HD212" s="13" t="s">
        <v>651</v>
      </c>
      <c r="HE212" s="1">
        <v>202</v>
      </c>
      <c r="HF212" s="1">
        <v>202</v>
      </c>
      <c r="HH212" s="1" t="s">
        <v>655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654</v>
      </c>
    </row>
    <row r="213" spans="1:223" ht="12.75" customHeight="1" x14ac:dyDescent="0.2">
      <c r="A213" s="1" t="s">
        <v>81</v>
      </c>
      <c r="D213" s="1" t="s">
        <v>81</v>
      </c>
      <c r="E213" s="1" t="s">
        <v>129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42">
        <v>0.86</v>
      </c>
      <c r="ED213" s="42">
        <v>0.83</v>
      </c>
      <c r="EE213" s="42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9">
        <f>Tabelle58971121[[#This Row],[Durchschnittsauslastung max]]*Tabelle58971121[[#This Row],[installierte Leistung MW max]]</f>
        <v>1911.8267999999998</v>
      </c>
      <c r="EI213" s="91">
        <f>Tabelle58971121[[#This Row],[Maximalauslastung durch]]*Tabelle58971121[[#This Row],[installierte Leistung MW min]]</f>
        <v>1098.162</v>
      </c>
      <c r="EJ213" s="49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7">
        <v>3</v>
      </c>
      <c r="EU213" s="1">
        <v>1.625</v>
      </c>
      <c r="EV213" s="1">
        <v>0.5</v>
      </c>
      <c r="EW213" s="57">
        <v>3</v>
      </c>
      <c r="EX213" s="1">
        <v>5.2</v>
      </c>
      <c r="EY213" s="1">
        <v>4.7</v>
      </c>
      <c r="EZ213" s="57">
        <v>5.7</v>
      </c>
      <c r="FA213" s="1">
        <v>5.2</v>
      </c>
      <c r="FB213" s="1">
        <v>4.7</v>
      </c>
      <c r="FC213" s="57">
        <v>5.7</v>
      </c>
      <c r="FD213" s="1">
        <v>6</v>
      </c>
      <c r="FE213" s="1">
        <v>4.8</v>
      </c>
      <c r="FF213" s="57">
        <v>7.2</v>
      </c>
      <c r="FG213" s="1">
        <v>11.2</v>
      </c>
      <c r="FH213" s="1">
        <v>11.2</v>
      </c>
      <c r="FI213" s="57">
        <v>11.2</v>
      </c>
      <c r="FJ213" s="1">
        <v>6.6</v>
      </c>
      <c r="FK213" s="1">
        <v>4.8999999999999995</v>
      </c>
      <c r="FL213" s="57">
        <v>8.2999999999999989</v>
      </c>
      <c r="FN213" s="1" t="s">
        <v>656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653</v>
      </c>
      <c r="GW213" s="1" t="s">
        <v>653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652</v>
      </c>
      <c r="HD213" s="13" t="s">
        <v>651</v>
      </c>
      <c r="HE213" s="1">
        <v>202</v>
      </c>
      <c r="HF213" s="1">
        <v>202</v>
      </c>
      <c r="HH213" s="1" t="s">
        <v>655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654</v>
      </c>
    </row>
    <row r="214" spans="1:223" ht="12.75" customHeight="1" x14ac:dyDescent="0.2">
      <c r="A214" s="1" t="s">
        <v>81</v>
      </c>
      <c r="D214" s="1" t="s">
        <v>81</v>
      </c>
      <c r="E214" s="1" t="s">
        <v>129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42">
        <v>0.86</v>
      </c>
      <c r="ED214" s="42">
        <v>0.83</v>
      </c>
      <c r="EE214" s="42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9">
        <f>Tabelle58971121[[#This Row],[Durchschnittsauslastung max]]*Tabelle58971121[[#This Row],[installierte Leistung MW max]]</f>
        <v>2058.8904000000002</v>
      </c>
      <c r="EI214" s="91">
        <f>Tabelle58971121[[#This Row],[Maximalauslastung durch]]*Tabelle58971121[[#This Row],[installierte Leistung MW min]]</f>
        <v>1182.636</v>
      </c>
      <c r="EJ214" s="49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7">
        <v>3</v>
      </c>
      <c r="EU214" s="1">
        <v>1.625</v>
      </c>
      <c r="EV214" s="1">
        <v>0.5</v>
      </c>
      <c r="EW214" s="57">
        <v>3</v>
      </c>
      <c r="EX214" s="1">
        <v>5.2</v>
      </c>
      <c r="EY214" s="1">
        <v>4.7</v>
      </c>
      <c r="EZ214" s="57">
        <v>5.7</v>
      </c>
      <c r="FA214" s="1">
        <v>5.2</v>
      </c>
      <c r="FB214" s="1">
        <v>4.7</v>
      </c>
      <c r="FC214" s="57">
        <v>5.7</v>
      </c>
      <c r="FD214" s="1">
        <v>6</v>
      </c>
      <c r="FE214" s="1">
        <v>4.8</v>
      </c>
      <c r="FF214" s="57">
        <v>7.2</v>
      </c>
      <c r="FG214" s="1">
        <v>11.2</v>
      </c>
      <c r="FH214" s="1">
        <v>11.2</v>
      </c>
      <c r="FI214" s="57">
        <v>11.2</v>
      </c>
      <c r="FJ214" s="1">
        <v>6.6</v>
      </c>
      <c r="FK214" s="1">
        <v>4.8999999999999995</v>
      </c>
      <c r="FL214" s="57">
        <v>8.2999999999999989</v>
      </c>
      <c r="FN214" s="1" t="s">
        <v>656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653</v>
      </c>
      <c r="GW214" s="1" t="s">
        <v>653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652</v>
      </c>
      <c r="HD214" s="13" t="s">
        <v>651</v>
      </c>
      <c r="HE214" s="1">
        <v>202</v>
      </c>
      <c r="HF214" s="1">
        <v>202</v>
      </c>
      <c r="HH214" s="1" t="s">
        <v>655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654</v>
      </c>
    </row>
    <row r="215" spans="1:223" ht="12.75" customHeight="1" x14ac:dyDescent="0.2">
      <c r="A215" s="1" t="s">
        <v>81</v>
      </c>
      <c r="D215" s="1" t="s">
        <v>81</v>
      </c>
      <c r="E215" s="1" t="s">
        <v>129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42">
        <v>0.86</v>
      </c>
      <c r="ED215" s="42">
        <v>0.83</v>
      </c>
      <c r="EE215" s="42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9">
        <f>Tabelle58971121[[#This Row],[Durchschnittsauslastung max]]*Tabelle58971121[[#This Row],[installierte Leistung MW max]]</f>
        <v>2205.9540000000002</v>
      </c>
      <c r="EI215" s="91">
        <f>Tabelle58971121[[#This Row],[Maximalauslastung durch]]*Tabelle58971121[[#This Row],[installierte Leistung MW min]]</f>
        <v>1267.1100000000001</v>
      </c>
      <c r="EJ215" s="49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7">
        <v>3</v>
      </c>
      <c r="EU215" s="1">
        <v>1.625</v>
      </c>
      <c r="EV215" s="1">
        <v>0.5</v>
      </c>
      <c r="EW215" s="57">
        <v>3</v>
      </c>
      <c r="EX215" s="1">
        <v>5.2</v>
      </c>
      <c r="EY215" s="1">
        <v>4.7</v>
      </c>
      <c r="EZ215" s="57">
        <v>5.7</v>
      </c>
      <c r="FA215" s="1">
        <v>5.2</v>
      </c>
      <c r="FB215" s="1">
        <v>4.7</v>
      </c>
      <c r="FC215" s="57">
        <v>5.7</v>
      </c>
      <c r="FD215" s="1">
        <v>6</v>
      </c>
      <c r="FE215" s="1">
        <v>4.8</v>
      </c>
      <c r="FF215" s="57">
        <v>7.2</v>
      </c>
      <c r="FG215" s="1">
        <v>11.2</v>
      </c>
      <c r="FH215" s="1">
        <v>11.2</v>
      </c>
      <c r="FI215" s="57">
        <v>11.2</v>
      </c>
      <c r="FJ215" s="1">
        <v>6.6</v>
      </c>
      <c r="FK215" s="1">
        <v>4.8999999999999995</v>
      </c>
      <c r="FL215" s="57">
        <v>8.2999999999999989</v>
      </c>
      <c r="FN215" s="1" t="s">
        <v>656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653</v>
      </c>
      <c r="GW215" s="1" t="s">
        <v>653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652</v>
      </c>
      <c r="HD215" s="13" t="s">
        <v>651</v>
      </c>
      <c r="HE215" s="1">
        <v>202</v>
      </c>
      <c r="HF215" s="1">
        <v>202</v>
      </c>
      <c r="HH215" s="1" t="s">
        <v>655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654</v>
      </c>
    </row>
    <row r="216" spans="1:223" ht="12.75" customHeight="1" x14ac:dyDescent="0.2">
      <c r="A216" s="1" t="s">
        <v>81</v>
      </c>
      <c r="D216" s="1" t="s">
        <v>81</v>
      </c>
      <c r="E216" s="1" t="s">
        <v>129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42">
        <v>0.86</v>
      </c>
      <c r="ED216" s="42">
        <v>0.83</v>
      </c>
      <c r="EE216" s="42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9">
        <f>Tabelle58971121[[#This Row],[Durchschnittsauslastung max]]*Tabelle58971121[[#This Row],[installierte Leistung MW max]]</f>
        <v>2385.6983999999998</v>
      </c>
      <c r="EI216" s="91">
        <f>Tabelle58971121[[#This Row],[Maximalauslastung durch]]*Tabelle58971121[[#This Row],[installierte Leistung MW min]]</f>
        <v>1370.356</v>
      </c>
      <c r="EJ216" s="49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7">
        <v>3</v>
      </c>
      <c r="EU216" s="1">
        <v>1.625</v>
      </c>
      <c r="EV216" s="1">
        <v>0.5</v>
      </c>
      <c r="EW216" s="57">
        <v>3</v>
      </c>
      <c r="EX216" s="1">
        <v>5.2</v>
      </c>
      <c r="EY216" s="1">
        <v>4.7</v>
      </c>
      <c r="EZ216" s="57">
        <v>5.7</v>
      </c>
      <c r="FA216" s="1">
        <v>5.2</v>
      </c>
      <c r="FB216" s="1">
        <v>4.7</v>
      </c>
      <c r="FC216" s="57">
        <v>5.7</v>
      </c>
      <c r="FD216" s="1">
        <v>6</v>
      </c>
      <c r="FE216" s="1">
        <v>4.8</v>
      </c>
      <c r="FF216" s="57">
        <v>7.2</v>
      </c>
      <c r="FG216" s="1">
        <v>11.2</v>
      </c>
      <c r="FH216" s="1">
        <v>11.2</v>
      </c>
      <c r="FI216" s="57">
        <v>11.2</v>
      </c>
      <c r="FJ216" s="1">
        <v>6.6</v>
      </c>
      <c r="FK216" s="1">
        <v>4.8999999999999995</v>
      </c>
      <c r="FL216" s="57">
        <v>8.2999999999999989</v>
      </c>
      <c r="FN216" s="1" t="s">
        <v>656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653</v>
      </c>
      <c r="GW216" s="1" t="s">
        <v>653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652</v>
      </c>
      <c r="HD216" s="13" t="s">
        <v>651</v>
      </c>
      <c r="HE216" s="1">
        <v>202</v>
      </c>
      <c r="HF216" s="1">
        <v>202</v>
      </c>
      <c r="HH216" s="1" t="s">
        <v>655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654</v>
      </c>
    </row>
    <row r="217" spans="1:223" ht="12.75" customHeight="1" x14ac:dyDescent="0.2">
      <c r="A217" s="1" t="s">
        <v>81</v>
      </c>
      <c r="D217" s="1" t="s">
        <v>81</v>
      </c>
      <c r="E217" s="1" t="s">
        <v>129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42">
        <v>0.86</v>
      </c>
      <c r="ED217" s="42">
        <v>0.83</v>
      </c>
      <c r="EE217" s="42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9">
        <f>Tabelle58971121[[#This Row],[Durchschnittsauslastung max]]*Tabelle58971121[[#This Row],[installierte Leistung MW max]]</f>
        <v>2565.4427999999998</v>
      </c>
      <c r="EI217" s="91">
        <f>Tabelle58971121[[#This Row],[Maximalauslastung durch]]*Tabelle58971121[[#This Row],[installierte Leistung MW min]]</f>
        <v>1473.6020000000001</v>
      </c>
      <c r="EJ217" s="49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7">
        <v>3</v>
      </c>
      <c r="EU217" s="1">
        <v>1.625</v>
      </c>
      <c r="EV217" s="1">
        <v>0.5</v>
      </c>
      <c r="EW217" s="57">
        <v>3</v>
      </c>
      <c r="EX217" s="1">
        <v>5.2</v>
      </c>
      <c r="EY217" s="1">
        <v>4.7</v>
      </c>
      <c r="EZ217" s="57">
        <v>5.7</v>
      </c>
      <c r="FA217" s="1">
        <v>5.2</v>
      </c>
      <c r="FB217" s="1">
        <v>4.7</v>
      </c>
      <c r="FC217" s="57">
        <v>5.7</v>
      </c>
      <c r="FD217" s="1">
        <v>6</v>
      </c>
      <c r="FE217" s="1">
        <v>4.8</v>
      </c>
      <c r="FF217" s="57">
        <v>7.2</v>
      </c>
      <c r="FG217" s="1">
        <v>11.2</v>
      </c>
      <c r="FH217" s="1">
        <v>11.2</v>
      </c>
      <c r="FI217" s="57">
        <v>11.2</v>
      </c>
      <c r="FJ217" s="1">
        <v>6.6</v>
      </c>
      <c r="FK217" s="1">
        <v>4.8999999999999995</v>
      </c>
      <c r="FL217" s="57">
        <v>8.2999999999999989</v>
      </c>
      <c r="FN217" s="1" t="s">
        <v>656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653</v>
      </c>
      <c r="GW217" s="1" t="s">
        <v>653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652</v>
      </c>
      <c r="HD217" s="13" t="s">
        <v>651</v>
      </c>
      <c r="HE217" s="1">
        <v>202</v>
      </c>
      <c r="HF217" s="1">
        <v>202</v>
      </c>
      <c r="HH217" s="1" t="s">
        <v>655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654</v>
      </c>
    </row>
    <row r="218" spans="1:223" ht="12.75" customHeight="1" x14ac:dyDescent="0.2">
      <c r="A218" s="1" t="s">
        <v>41</v>
      </c>
      <c r="D218" s="1" t="s">
        <v>583</v>
      </c>
      <c r="E218" s="1" t="s">
        <v>129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42">
        <v>0.8</v>
      </c>
      <c r="ED218" s="42">
        <v>0.72</v>
      </c>
      <c r="EE218" s="42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9">
        <f>Tabelle58971121[[#This Row],[Durchschnittsauslastung max]]*Tabelle58971121[[#This Row],[installierte Leistung MW max]]</f>
        <v>180.4</v>
      </c>
      <c r="EI218" s="91">
        <f>Tabelle58971121[[#This Row],[Maximalauslastung durch]]*Tabelle58971121[[#This Row],[installierte Leistung MW min]]</f>
        <v>152.94999999999999</v>
      </c>
      <c r="EJ218" s="49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7">
        <v>1</v>
      </c>
      <c r="EU218" s="1">
        <v>0.24374999999999999</v>
      </c>
      <c r="EV218" s="1">
        <v>2.7777777777777778E-4</v>
      </c>
      <c r="EW218" s="57">
        <v>1</v>
      </c>
      <c r="EX218" s="1">
        <v>2.8</v>
      </c>
      <c r="EY218" s="1">
        <v>2.5</v>
      </c>
      <c r="EZ218" s="57">
        <v>3.0999999999999996</v>
      </c>
      <c r="FA218" s="1">
        <v>2.8</v>
      </c>
      <c r="FB218" s="1">
        <v>2.5</v>
      </c>
      <c r="FC218" s="57">
        <v>3.0999999999999996</v>
      </c>
      <c r="FD218" s="1">
        <v>3</v>
      </c>
      <c r="FE218" s="1">
        <v>2.7</v>
      </c>
      <c r="FF218" s="57">
        <v>3.3</v>
      </c>
      <c r="FG218" s="1">
        <v>5.8</v>
      </c>
      <c r="FH218" s="1">
        <v>5.8</v>
      </c>
      <c r="FI218" s="57">
        <v>5.8</v>
      </c>
      <c r="FJ218" s="1">
        <v>3.6</v>
      </c>
      <c r="FK218" s="1">
        <v>2.9000000000000004</v>
      </c>
      <c r="FL218" s="57">
        <v>4.3</v>
      </c>
      <c r="FN218" s="1" t="s">
        <v>656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653</v>
      </c>
      <c r="GW218" s="1" t="s">
        <v>653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652</v>
      </c>
      <c r="HD218" s="13" t="s">
        <v>651</v>
      </c>
      <c r="HE218" s="1">
        <v>202</v>
      </c>
      <c r="HF218" s="1">
        <v>202</v>
      </c>
      <c r="HH218" s="1" t="s">
        <v>655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654</v>
      </c>
    </row>
    <row r="219" spans="1:223" ht="12.75" customHeight="1" x14ac:dyDescent="0.2">
      <c r="A219" s="1" t="s">
        <v>41</v>
      </c>
      <c r="D219" s="1" t="s">
        <v>583</v>
      </c>
      <c r="E219" s="1" t="s">
        <v>129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42">
        <v>0.8</v>
      </c>
      <c r="ED219" s="42">
        <v>0.72</v>
      </c>
      <c r="EE219" s="42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9">
        <f>Tabelle58971121[[#This Row],[Durchschnittsauslastung max]]*Tabelle58971121[[#This Row],[installierte Leistung MW max]]</f>
        <v>182.20400000000001</v>
      </c>
      <c r="EI219" s="91">
        <f>Tabelle58971121[[#This Row],[Maximalauslastung durch]]*Tabelle58971121[[#This Row],[installierte Leistung MW min]]</f>
        <v>154.4795</v>
      </c>
      <c r="EJ219" s="49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7">
        <v>1</v>
      </c>
      <c r="EU219" s="1">
        <v>0.24374999999999999</v>
      </c>
      <c r="EV219" s="1">
        <v>2.7777777777777778E-4</v>
      </c>
      <c r="EW219" s="57">
        <v>1</v>
      </c>
      <c r="EX219" s="1">
        <v>2.8</v>
      </c>
      <c r="EY219" s="1">
        <v>2.5</v>
      </c>
      <c r="EZ219" s="57">
        <v>3.0999999999999996</v>
      </c>
      <c r="FA219" s="1">
        <v>2.8</v>
      </c>
      <c r="FB219" s="1">
        <v>2.5</v>
      </c>
      <c r="FC219" s="57">
        <v>3.0999999999999996</v>
      </c>
      <c r="FD219" s="1">
        <v>3</v>
      </c>
      <c r="FE219" s="1">
        <v>2.7</v>
      </c>
      <c r="FF219" s="57">
        <v>3.3</v>
      </c>
      <c r="FG219" s="1">
        <v>5.8</v>
      </c>
      <c r="FH219" s="1">
        <v>5.8</v>
      </c>
      <c r="FI219" s="57">
        <v>5.8</v>
      </c>
      <c r="FJ219" s="1">
        <v>3.6</v>
      </c>
      <c r="FK219" s="1">
        <v>2.9000000000000004</v>
      </c>
      <c r="FL219" s="57">
        <v>4.3</v>
      </c>
      <c r="FN219" s="1" t="s">
        <v>656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653</v>
      </c>
      <c r="GW219" s="1" t="s">
        <v>653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652</v>
      </c>
      <c r="HD219" s="13" t="s">
        <v>651</v>
      </c>
      <c r="HE219" s="1">
        <v>202</v>
      </c>
      <c r="HF219" s="1">
        <v>202</v>
      </c>
      <c r="HH219" s="1" t="s">
        <v>655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654</v>
      </c>
    </row>
    <row r="220" spans="1:223" ht="12.75" customHeight="1" x14ac:dyDescent="0.2">
      <c r="A220" s="1" t="s">
        <v>41</v>
      </c>
      <c r="D220" s="1" t="s">
        <v>583</v>
      </c>
      <c r="E220" s="1" t="s">
        <v>129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42">
        <v>0.8</v>
      </c>
      <c r="ED220" s="42">
        <v>0.72</v>
      </c>
      <c r="EE220" s="42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9">
        <f>Tabelle58971121[[#This Row],[Durchschnittsauslastung max]]*Tabelle58971121[[#This Row],[installierte Leistung MW max]]</f>
        <v>184.00800000000001</v>
      </c>
      <c r="EI220" s="91">
        <f>Tabelle58971121[[#This Row],[Maximalauslastung durch]]*Tabelle58971121[[#This Row],[installierte Leistung MW min]]</f>
        <v>156.00899999999999</v>
      </c>
      <c r="EJ220" s="49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7">
        <v>1</v>
      </c>
      <c r="EU220" s="1">
        <v>0.24374999999999999</v>
      </c>
      <c r="EV220" s="1">
        <v>2.7777777777777778E-4</v>
      </c>
      <c r="EW220" s="57">
        <v>1</v>
      </c>
      <c r="EX220" s="1">
        <v>2.8</v>
      </c>
      <c r="EY220" s="1">
        <v>2.5</v>
      </c>
      <c r="EZ220" s="57">
        <v>3.0999999999999996</v>
      </c>
      <c r="FA220" s="1">
        <v>2.8</v>
      </c>
      <c r="FB220" s="1">
        <v>2.5</v>
      </c>
      <c r="FC220" s="57">
        <v>3.0999999999999996</v>
      </c>
      <c r="FD220" s="1">
        <v>3</v>
      </c>
      <c r="FE220" s="1">
        <v>2.7</v>
      </c>
      <c r="FF220" s="57">
        <v>3.3</v>
      </c>
      <c r="FG220" s="1">
        <v>5.8</v>
      </c>
      <c r="FH220" s="1">
        <v>5.8</v>
      </c>
      <c r="FI220" s="57">
        <v>5.8</v>
      </c>
      <c r="FJ220" s="1">
        <v>3.6</v>
      </c>
      <c r="FK220" s="1">
        <v>2.9000000000000004</v>
      </c>
      <c r="FL220" s="57">
        <v>4.3</v>
      </c>
      <c r="FN220" s="1" t="s">
        <v>656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653</v>
      </c>
      <c r="GW220" s="1" t="s">
        <v>653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652</v>
      </c>
      <c r="HD220" s="13" t="s">
        <v>651</v>
      </c>
      <c r="HE220" s="1">
        <v>202</v>
      </c>
      <c r="HF220" s="1">
        <v>202</v>
      </c>
      <c r="HH220" s="1" t="s">
        <v>655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654</v>
      </c>
    </row>
    <row r="221" spans="1:223" ht="12.75" customHeight="1" x14ac:dyDescent="0.2">
      <c r="A221" s="1" t="s">
        <v>41</v>
      </c>
      <c r="D221" s="1" t="s">
        <v>583</v>
      </c>
      <c r="E221" s="1" t="s">
        <v>129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42">
        <v>0.8</v>
      </c>
      <c r="ED221" s="42">
        <v>0.72</v>
      </c>
      <c r="EE221" s="42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9">
        <f>Tabelle58971121[[#This Row],[Durchschnittsauslastung max]]*Tabelle58971121[[#This Row],[installierte Leistung MW max]]</f>
        <v>185.81200000000001</v>
      </c>
      <c r="EI221" s="91">
        <f>Tabelle58971121[[#This Row],[Maximalauslastung durch]]*Tabelle58971121[[#This Row],[installierte Leistung MW min]]</f>
        <v>157.5385</v>
      </c>
      <c r="EJ221" s="49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7">
        <v>1</v>
      </c>
      <c r="EU221" s="1">
        <v>0.24374999999999999</v>
      </c>
      <c r="EV221" s="1">
        <v>2.7777777777777778E-4</v>
      </c>
      <c r="EW221" s="57">
        <v>1</v>
      </c>
      <c r="EX221" s="1">
        <v>2.8</v>
      </c>
      <c r="EY221" s="1">
        <v>2.5</v>
      </c>
      <c r="EZ221" s="57">
        <v>3.0999999999999996</v>
      </c>
      <c r="FA221" s="1">
        <v>2.8</v>
      </c>
      <c r="FB221" s="1">
        <v>2.5</v>
      </c>
      <c r="FC221" s="57">
        <v>3.0999999999999996</v>
      </c>
      <c r="FD221" s="1">
        <v>3</v>
      </c>
      <c r="FE221" s="1">
        <v>2.7</v>
      </c>
      <c r="FF221" s="57">
        <v>3.3</v>
      </c>
      <c r="FG221" s="1">
        <v>5.8</v>
      </c>
      <c r="FH221" s="1">
        <v>5.8</v>
      </c>
      <c r="FI221" s="57">
        <v>5.8</v>
      </c>
      <c r="FJ221" s="1">
        <v>3.6</v>
      </c>
      <c r="FK221" s="1">
        <v>2.9000000000000004</v>
      </c>
      <c r="FL221" s="57">
        <v>4.3</v>
      </c>
      <c r="FN221" s="1" t="s">
        <v>656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653</v>
      </c>
      <c r="GW221" s="1" t="s">
        <v>653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652</v>
      </c>
      <c r="HD221" s="13" t="s">
        <v>651</v>
      </c>
      <c r="HE221" s="1">
        <v>202</v>
      </c>
      <c r="HF221" s="1">
        <v>202</v>
      </c>
      <c r="HH221" s="1" t="s">
        <v>655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654</v>
      </c>
    </row>
    <row r="222" spans="1:223" ht="12.75" customHeight="1" x14ac:dyDescent="0.2">
      <c r="A222" s="1" t="s">
        <v>41</v>
      </c>
      <c r="D222" s="1" t="s">
        <v>583</v>
      </c>
      <c r="E222" s="1" t="s">
        <v>129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42">
        <v>0.8</v>
      </c>
      <c r="ED222" s="42">
        <v>0.72</v>
      </c>
      <c r="EE222" s="42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9">
        <f>Tabelle58971121[[#This Row],[Durchschnittsauslastung max]]*Tabelle58971121[[#This Row],[installierte Leistung MW max]]</f>
        <v>187.61600000000001</v>
      </c>
      <c r="EI222" s="91">
        <f>Tabelle58971121[[#This Row],[Maximalauslastung durch]]*Tabelle58971121[[#This Row],[installierte Leistung MW min]]</f>
        <v>159.06799999999998</v>
      </c>
      <c r="EJ222" s="49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7">
        <v>1</v>
      </c>
      <c r="EU222" s="1">
        <v>0.24374999999999999</v>
      </c>
      <c r="EV222" s="1">
        <v>2.7777777777777778E-4</v>
      </c>
      <c r="EW222" s="57">
        <v>1</v>
      </c>
      <c r="EX222" s="1">
        <v>2.8</v>
      </c>
      <c r="EY222" s="1">
        <v>2.5</v>
      </c>
      <c r="EZ222" s="57">
        <v>3.0999999999999996</v>
      </c>
      <c r="FA222" s="1">
        <v>2.8</v>
      </c>
      <c r="FB222" s="1">
        <v>2.5</v>
      </c>
      <c r="FC222" s="57">
        <v>3.0999999999999996</v>
      </c>
      <c r="FD222" s="1">
        <v>3</v>
      </c>
      <c r="FE222" s="1">
        <v>2.7</v>
      </c>
      <c r="FF222" s="57">
        <v>3.3</v>
      </c>
      <c r="FG222" s="1">
        <v>5.8</v>
      </c>
      <c r="FH222" s="1">
        <v>5.8</v>
      </c>
      <c r="FI222" s="57">
        <v>5.8</v>
      </c>
      <c r="FJ222" s="1">
        <v>3.6</v>
      </c>
      <c r="FK222" s="1">
        <v>2.9000000000000004</v>
      </c>
      <c r="FL222" s="57">
        <v>4.3</v>
      </c>
      <c r="FN222" s="1" t="s">
        <v>656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653</v>
      </c>
      <c r="GW222" s="1" t="s">
        <v>653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652</v>
      </c>
      <c r="HD222" s="13" t="s">
        <v>651</v>
      </c>
      <c r="HE222" s="1">
        <v>202</v>
      </c>
      <c r="HF222" s="1">
        <v>202</v>
      </c>
      <c r="HH222" s="1" t="s">
        <v>655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654</v>
      </c>
    </row>
    <row r="223" spans="1:223" ht="12.75" customHeight="1" x14ac:dyDescent="0.2">
      <c r="A223" s="1" t="s">
        <v>41</v>
      </c>
      <c r="D223" s="1" t="s">
        <v>583</v>
      </c>
      <c r="E223" s="1" t="s">
        <v>129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42">
        <v>0.8</v>
      </c>
      <c r="ED223" s="42">
        <v>0.72</v>
      </c>
      <c r="EE223" s="42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9">
        <f>Tabelle58971121[[#This Row],[Durchschnittsauslastung max]]*Tabelle58971121[[#This Row],[installierte Leistung MW max]]</f>
        <v>189.42</v>
      </c>
      <c r="EI223" s="91">
        <f>Tabelle58971121[[#This Row],[Maximalauslastung durch]]*Tabelle58971121[[#This Row],[installierte Leistung MW min]]</f>
        <v>160.5975</v>
      </c>
      <c r="EJ223" s="49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7">
        <v>1</v>
      </c>
      <c r="EU223" s="1">
        <v>0.24374999999999999</v>
      </c>
      <c r="EV223" s="1">
        <v>2.7777777777777778E-4</v>
      </c>
      <c r="EW223" s="57">
        <v>1</v>
      </c>
      <c r="EX223" s="1">
        <v>2.8</v>
      </c>
      <c r="EY223" s="1">
        <v>2.5</v>
      </c>
      <c r="EZ223" s="57">
        <v>3.0999999999999996</v>
      </c>
      <c r="FA223" s="1">
        <v>2.8</v>
      </c>
      <c r="FB223" s="1">
        <v>2.5</v>
      </c>
      <c r="FC223" s="57">
        <v>3.0999999999999996</v>
      </c>
      <c r="FD223" s="1">
        <v>3</v>
      </c>
      <c r="FE223" s="1">
        <v>2.7</v>
      </c>
      <c r="FF223" s="57">
        <v>3.3</v>
      </c>
      <c r="FG223" s="1">
        <v>5.8</v>
      </c>
      <c r="FH223" s="1">
        <v>5.8</v>
      </c>
      <c r="FI223" s="57">
        <v>5.8</v>
      </c>
      <c r="FJ223" s="1">
        <v>3.6</v>
      </c>
      <c r="FK223" s="1">
        <v>2.9000000000000004</v>
      </c>
      <c r="FL223" s="57">
        <v>4.3</v>
      </c>
      <c r="FN223" s="1" t="s">
        <v>656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653</v>
      </c>
      <c r="GW223" s="1" t="s">
        <v>653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652</v>
      </c>
      <c r="HD223" s="13" t="s">
        <v>651</v>
      </c>
      <c r="HE223" s="1">
        <v>202</v>
      </c>
      <c r="HF223" s="1">
        <v>202</v>
      </c>
      <c r="HH223" s="1" t="s">
        <v>655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654</v>
      </c>
    </row>
    <row r="224" spans="1:223" ht="12.75" customHeight="1" x14ac:dyDescent="0.2">
      <c r="A224" s="1" t="s">
        <v>41</v>
      </c>
      <c r="D224" s="1" t="s">
        <v>583</v>
      </c>
      <c r="E224" s="1" t="s">
        <v>129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42">
        <v>0.8</v>
      </c>
      <c r="ED224" s="42">
        <v>0.72</v>
      </c>
      <c r="EE224" s="42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9">
        <f>Tabelle58971121[[#This Row],[Durchschnittsauslastung max]]*Tabelle58971121[[#This Row],[installierte Leistung MW max]]</f>
        <v>191.22400000000002</v>
      </c>
      <c r="EI224" s="91">
        <f>Tabelle58971121[[#This Row],[Maximalauslastung durch]]*Tabelle58971121[[#This Row],[installierte Leistung MW min]]</f>
        <v>162.12699999999998</v>
      </c>
      <c r="EJ224" s="49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7">
        <v>1</v>
      </c>
      <c r="EU224" s="1">
        <v>0.24374999999999999</v>
      </c>
      <c r="EV224" s="1">
        <v>2.7777777777777778E-4</v>
      </c>
      <c r="EW224" s="57">
        <v>1</v>
      </c>
      <c r="EX224" s="1">
        <v>2.8</v>
      </c>
      <c r="EY224" s="1">
        <v>2.5</v>
      </c>
      <c r="EZ224" s="57">
        <v>3.0999999999999996</v>
      </c>
      <c r="FA224" s="1">
        <v>2.8</v>
      </c>
      <c r="FB224" s="1">
        <v>2.5</v>
      </c>
      <c r="FC224" s="57">
        <v>3.0999999999999996</v>
      </c>
      <c r="FD224" s="1">
        <v>3</v>
      </c>
      <c r="FE224" s="1">
        <v>2.7</v>
      </c>
      <c r="FF224" s="57">
        <v>3.3</v>
      </c>
      <c r="FG224" s="1">
        <v>5.8</v>
      </c>
      <c r="FH224" s="1">
        <v>5.8</v>
      </c>
      <c r="FI224" s="57">
        <v>5.8</v>
      </c>
      <c r="FJ224" s="1">
        <v>3.6</v>
      </c>
      <c r="FK224" s="1">
        <v>2.9000000000000004</v>
      </c>
      <c r="FL224" s="57">
        <v>4.3</v>
      </c>
      <c r="FN224" s="1" t="s">
        <v>656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653</v>
      </c>
      <c r="GW224" s="1" t="s">
        <v>653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652</v>
      </c>
      <c r="HD224" s="13" t="s">
        <v>651</v>
      </c>
      <c r="HE224" s="1">
        <v>202</v>
      </c>
      <c r="HF224" s="1">
        <v>202</v>
      </c>
      <c r="HH224" s="1" t="s">
        <v>655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654</v>
      </c>
    </row>
    <row r="225" spans="1:223" ht="12.75" customHeight="1" x14ac:dyDescent="0.2">
      <c r="A225" s="1" t="s">
        <v>41</v>
      </c>
      <c r="D225" s="1" t="s">
        <v>583</v>
      </c>
      <c r="E225" s="1" t="s">
        <v>129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42">
        <v>0.8</v>
      </c>
      <c r="ED225" s="42">
        <v>0.72</v>
      </c>
      <c r="EE225" s="42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9">
        <f>Tabelle58971121[[#This Row],[Durchschnittsauslastung max]]*Tabelle58971121[[#This Row],[installierte Leistung MW max]]</f>
        <v>193.02800000000002</v>
      </c>
      <c r="EI225" s="91">
        <f>Tabelle58971121[[#This Row],[Maximalauslastung durch]]*Tabelle58971121[[#This Row],[installierte Leistung MW min]]</f>
        <v>163.65649999999999</v>
      </c>
      <c r="EJ225" s="49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7">
        <v>1</v>
      </c>
      <c r="EU225" s="1">
        <v>0.24374999999999999</v>
      </c>
      <c r="EV225" s="1">
        <v>2.7777777777777778E-4</v>
      </c>
      <c r="EW225" s="57">
        <v>1</v>
      </c>
      <c r="EX225" s="1">
        <v>2.8</v>
      </c>
      <c r="EY225" s="1">
        <v>2.5</v>
      </c>
      <c r="EZ225" s="57">
        <v>3.0999999999999996</v>
      </c>
      <c r="FA225" s="1">
        <v>2.8</v>
      </c>
      <c r="FB225" s="1">
        <v>2.5</v>
      </c>
      <c r="FC225" s="57">
        <v>3.0999999999999996</v>
      </c>
      <c r="FD225" s="1">
        <v>3</v>
      </c>
      <c r="FE225" s="1">
        <v>2.7</v>
      </c>
      <c r="FF225" s="57">
        <v>3.3</v>
      </c>
      <c r="FG225" s="1">
        <v>5.8</v>
      </c>
      <c r="FH225" s="1">
        <v>5.8</v>
      </c>
      <c r="FI225" s="57">
        <v>5.8</v>
      </c>
      <c r="FJ225" s="1">
        <v>3.6</v>
      </c>
      <c r="FK225" s="1">
        <v>2.9000000000000004</v>
      </c>
      <c r="FL225" s="57">
        <v>4.3</v>
      </c>
      <c r="FN225" s="1" t="s">
        <v>656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653</v>
      </c>
      <c r="GW225" s="1" t="s">
        <v>653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652</v>
      </c>
      <c r="HD225" s="13" t="s">
        <v>651</v>
      </c>
      <c r="HE225" s="1">
        <v>202</v>
      </c>
      <c r="HF225" s="1">
        <v>202</v>
      </c>
      <c r="HH225" s="1" t="s">
        <v>655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654</v>
      </c>
    </row>
    <row r="226" spans="1:223" ht="12.75" customHeight="1" x14ac:dyDescent="0.2">
      <c r="A226" s="1" t="s">
        <v>80</v>
      </c>
      <c r="D226" s="1" t="s">
        <v>590</v>
      </c>
      <c r="E226" s="1" t="s">
        <v>129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42">
        <v>0.84730659025787969</v>
      </c>
      <c r="ED226" s="42">
        <v>0.80401221995926675</v>
      </c>
      <c r="EE226" s="42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9">
        <f>Tabelle58971121[[#This Row],[Durchschnittsauslastung max]]*Tabelle58971121[[#This Row],[installierte Leistung MW max]]</f>
        <v>798.40620994475137</v>
      </c>
      <c r="EI226" s="91">
        <f>Tabelle58971121[[#This Row],[Maximalauslastung durch]]*Tabelle58971121[[#This Row],[installierte Leistung MW min]]</f>
        <v>467.40000000000009</v>
      </c>
      <c r="EJ226" s="49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7">
        <v>0.5</v>
      </c>
      <c r="EU226" s="1">
        <v>0.77166666666666672</v>
      </c>
      <c r="EV226" s="1">
        <v>8.3333333333333329E-2</v>
      </c>
      <c r="EW226" s="57">
        <v>3</v>
      </c>
      <c r="EX226" s="1">
        <v>1.3</v>
      </c>
      <c r="EY226" s="1">
        <v>0.5</v>
      </c>
      <c r="EZ226" s="57">
        <v>2.4</v>
      </c>
      <c r="FA226" s="1">
        <v>1.3</v>
      </c>
      <c r="FB226" s="1">
        <v>0.5</v>
      </c>
      <c r="FC226" s="57">
        <v>2.4</v>
      </c>
      <c r="FD226" s="1">
        <v>3</v>
      </c>
      <c r="FE226" s="1">
        <v>1</v>
      </c>
      <c r="FF226" s="57">
        <v>5</v>
      </c>
      <c r="FG226" s="1">
        <v>4.3</v>
      </c>
      <c r="FH226" s="1">
        <v>4.3</v>
      </c>
      <c r="FI226" s="57">
        <v>4.3</v>
      </c>
      <c r="FJ226" s="1">
        <v>3.4</v>
      </c>
      <c r="FK226" s="1">
        <v>1.6</v>
      </c>
      <c r="FL226" s="57">
        <v>5.8999999999999995</v>
      </c>
      <c r="FN226" s="1" t="s">
        <v>656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653</v>
      </c>
      <c r="GW226" s="1" t="s">
        <v>653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652</v>
      </c>
      <c r="HD226" s="13" t="s">
        <v>651</v>
      </c>
      <c r="HE226" s="1">
        <v>202</v>
      </c>
      <c r="HF226" s="1">
        <v>202</v>
      </c>
      <c r="HH226" s="1" t="s">
        <v>655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654</v>
      </c>
    </row>
    <row r="227" spans="1:223" ht="12.75" customHeight="1" x14ac:dyDescent="0.2">
      <c r="A227" s="1" t="s">
        <v>80</v>
      </c>
      <c r="D227" s="1" t="s">
        <v>590</v>
      </c>
      <c r="E227" s="1" t="s">
        <v>129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42">
        <v>0.84754284054603546</v>
      </c>
      <c r="ED227" s="42">
        <v>0.80262852163810638</v>
      </c>
      <c r="EE227" s="42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9">
        <f>Tabelle58971121[[#This Row],[Durchschnittsauslastung max]]*Tabelle58971121[[#This Row],[installierte Leistung MW max]]</f>
        <v>865.82311805157588</v>
      </c>
      <c r="EI227" s="91">
        <f>Tabelle58971121[[#This Row],[Maximalauslastung durch]]*Tabelle58971121[[#This Row],[installierte Leistung MW min]]</f>
        <v>507.2160515759312</v>
      </c>
      <c r="EJ227" s="49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7">
        <v>0.5</v>
      </c>
      <c r="EU227" s="1">
        <v>0.77166666666666672</v>
      </c>
      <c r="EV227" s="1">
        <v>8.3333333333333329E-2</v>
      </c>
      <c r="EW227" s="57">
        <v>3</v>
      </c>
      <c r="EX227" s="1">
        <v>0.77200116177751965</v>
      </c>
      <c r="EY227" s="1">
        <v>0.5</v>
      </c>
      <c r="EZ227" s="57">
        <v>2.4</v>
      </c>
      <c r="FA227" s="1">
        <v>0.77200116177751965</v>
      </c>
      <c r="FB227" s="1">
        <v>0.5</v>
      </c>
      <c r="FC227" s="57">
        <v>2.4</v>
      </c>
      <c r="FD227" s="1">
        <v>2.2457159453964568</v>
      </c>
      <c r="FE227" s="1">
        <v>1</v>
      </c>
      <c r="FF227" s="57">
        <v>5</v>
      </c>
      <c r="FG227" s="1">
        <v>3.0177171071739766</v>
      </c>
      <c r="FH227" s="1">
        <v>2.3674418604651164</v>
      </c>
      <c r="FI227" s="57">
        <v>2.6029526238088847</v>
      </c>
      <c r="FJ227" s="1">
        <v>2.4948591344757483</v>
      </c>
      <c r="FK227" s="1">
        <v>1.6</v>
      </c>
      <c r="FL227" s="57">
        <v>5.8999999999999995</v>
      </c>
      <c r="FN227" s="1" t="s">
        <v>656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653</v>
      </c>
      <c r="GW227" s="1" t="s">
        <v>653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652</v>
      </c>
      <c r="HD227" s="13" t="s">
        <v>651</v>
      </c>
      <c r="HE227" s="1">
        <v>202</v>
      </c>
      <c r="HF227" s="1">
        <v>202</v>
      </c>
      <c r="HH227" s="1" t="s">
        <v>655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654</v>
      </c>
    </row>
    <row r="228" spans="1:223" ht="12.75" customHeight="1" x14ac:dyDescent="0.2">
      <c r="A228" s="1" t="s">
        <v>80</v>
      </c>
      <c r="D228" s="1" t="s">
        <v>590</v>
      </c>
      <c r="E228" s="1" t="s">
        <v>129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42">
        <v>0.84778156249239667</v>
      </c>
      <c r="ED228" s="42">
        <v>0.80334468747719034</v>
      </c>
      <c r="EE228" s="42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9">
        <f>Tabelle58971121[[#This Row],[Durchschnittsauslastung max]]*Tabelle58971121[[#This Row],[installierte Leistung MW max]]</f>
        <v>939.36781031518626</v>
      </c>
      <c r="EI228" s="91">
        <f>Tabelle58971121[[#This Row],[Maximalauslastung durch]]*Tabelle58971121[[#This Row],[installierte Leistung MW min]]</f>
        <v>550.44720343839538</v>
      </c>
      <c r="EJ228" s="49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7">
        <v>0.5</v>
      </c>
      <c r="EU228" s="1">
        <v>0.77166666666666672</v>
      </c>
      <c r="EV228" s="1">
        <v>8.3333333333333329E-2</v>
      </c>
      <c r="EW228" s="57">
        <v>3</v>
      </c>
      <c r="EX228" s="1">
        <v>0.75529062553222559</v>
      </c>
      <c r="EY228" s="1">
        <v>0.5</v>
      </c>
      <c r="EZ228" s="57">
        <v>2.4</v>
      </c>
      <c r="FA228" s="1">
        <v>0.75529062553222559</v>
      </c>
      <c r="FB228" s="1">
        <v>0.5</v>
      </c>
      <c r="FC228" s="57">
        <v>2.4</v>
      </c>
      <c r="FD228" s="1">
        <v>2.2218437507603221</v>
      </c>
      <c r="FE228" s="1">
        <v>1</v>
      </c>
      <c r="FF228" s="57">
        <v>5</v>
      </c>
      <c r="FG228" s="1">
        <v>2.9771343762925482</v>
      </c>
      <c r="FH228" s="1">
        <v>2.3502905100064559</v>
      </c>
      <c r="FI228" s="57">
        <v>2.5656282837869906</v>
      </c>
      <c r="FJ228" s="1">
        <v>2.4662125009123868</v>
      </c>
      <c r="FK228" s="1">
        <v>1.6</v>
      </c>
      <c r="FL228" s="57">
        <v>5.8999999999999995</v>
      </c>
      <c r="FN228" s="1" t="s">
        <v>656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653</v>
      </c>
      <c r="GW228" s="1" t="s">
        <v>653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652</v>
      </c>
      <c r="HD228" s="13" t="s">
        <v>651</v>
      </c>
      <c r="HE228" s="1">
        <v>202</v>
      </c>
      <c r="HF228" s="1">
        <v>202</v>
      </c>
      <c r="HH228" s="1" t="s">
        <v>655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654</v>
      </c>
    </row>
    <row r="229" spans="1:223" ht="12.75" customHeight="1" x14ac:dyDescent="0.2">
      <c r="A229" s="1" t="s">
        <v>80</v>
      </c>
      <c r="D229" s="1" t="s">
        <v>590</v>
      </c>
      <c r="E229" s="1" t="s">
        <v>129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42">
        <v>0.84786474847380633</v>
      </c>
      <c r="ED229" s="42">
        <v>0.80359424542141877</v>
      </c>
      <c r="EE229" s="42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9">
        <f>Tabelle58971121[[#This Row],[Durchschnittsauslastung max]]*Tabelle58971121[[#This Row],[installierte Leistung MW max]]</f>
        <v>965.81253524355293</v>
      </c>
      <c r="EI229" s="91">
        <f>Tabelle58971121[[#This Row],[Maximalauslastung durch]]*Tabelle58971121[[#This Row],[installierte Leistung MW min]]</f>
        <v>565.99595415472777</v>
      </c>
      <c r="EJ229" s="49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7">
        <v>0.5</v>
      </c>
      <c r="EU229" s="1">
        <v>0.77166666666666672</v>
      </c>
      <c r="EV229" s="1">
        <v>8.3333333333333329E-2</v>
      </c>
      <c r="EW229" s="57">
        <v>3</v>
      </c>
      <c r="EX229" s="1">
        <v>0.74946760683356195</v>
      </c>
      <c r="EY229" s="1">
        <v>0.5</v>
      </c>
      <c r="EZ229" s="57">
        <v>2.4</v>
      </c>
      <c r="FA229" s="1">
        <v>0.74946760683356195</v>
      </c>
      <c r="FB229" s="1">
        <v>0.5</v>
      </c>
      <c r="FC229" s="57">
        <v>2.4</v>
      </c>
      <c r="FD229" s="1">
        <v>2.2135251526193742</v>
      </c>
      <c r="FE229" s="1">
        <v>1</v>
      </c>
      <c r="FF229" s="57">
        <v>5</v>
      </c>
      <c r="FG229" s="1">
        <v>2.9629927594529364</v>
      </c>
      <c r="FH229" s="1">
        <v>2.3443609022556395</v>
      </c>
      <c r="FI229" s="57">
        <v>2.5525340143542774</v>
      </c>
      <c r="FJ229" s="1">
        <v>2.4562301831432491</v>
      </c>
      <c r="FK229" s="1">
        <v>1.6</v>
      </c>
      <c r="FL229" s="57">
        <v>5.8999999999999995</v>
      </c>
      <c r="FN229" s="1" t="s">
        <v>656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653</v>
      </c>
      <c r="GW229" s="1" t="s">
        <v>653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652</v>
      </c>
      <c r="HD229" s="13" t="s">
        <v>651</v>
      </c>
      <c r="HE229" s="1">
        <v>202</v>
      </c>
      <c r="HF229" s="1">
        <v>202</v>
      </c>
      <c r="HH229" s="1" t="s">
        <v>655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654</v>
      </c>
    </row>
    <row r="230" spans="1:223" ht="12.75" customHeight="1" x14ac:dyDescent="0.2">
      <c r="A230" s="1" t="s">
        <v>80</v>
      </c>
      <c r="D230" s="1" t="s">
        <v>590</v>
      </c>
      <c r="E230" s="1" t="s">
        <v>129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42">
        <v>0.84795769010863353</v>
      </c>
      <c r="ED230" s="42">
        <v>0.8038730703259005</v>
      </c>
      <c r="EE230" s="42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9">
        <f>Tabelle58971121[[#This Row],[Durchschnittsauslastung max]]*Tabelle58971121[[#This Row],[installierte Leistung MW max]]</f>
        <v>999.14234097421195</v>
      </c>
      <c r="EI230" s="91">
        <f>Tabelle58971121[[#This Row],[Maximalauslastung durch]]*Tabelle58971121[[#This Row],[installierte Leistung MW min]]</f>
        <v>585.5892550143268</v>
      </c>
      <c r="EJ230" s="49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7">
        <v>0.5</v>
      </c>
      <c r="EU230" s="1">
        <v>0.77166666666666683</v>
      </c>
      <c r="EV230" s="1">
        <v>8.3333333333333329E-2</v>
      </c>
      <c r="EW230" s="57">
        <v>3</v>
      </c>
      <c r="EX230" s="1">
        <v>0.74296169239565468</v>
      </c>
      <c r="EY230" s="1">
        <v>0.5</v>
      </c>
      <c r="EZ230" s="57">
        <v>2.4</v>
      </c>
      <c r="FA230" s="1">
        <v>0.74296169239565468</v>
      </c>
      <c r="FB230" s="1">
        <v>0.5</v>
      </c>
      <c r="FC230" s="57">
        <v>2.4</v>
      </c>
      <c r="FD230" s="1">
        <v>2.2042309891366498</v>
      </c>
      <c r="FE230" s="1">
        <v>1</v>
      </c>
      <c r="FF230" s="57">
        <v>5</v>
      </c>
      <c r="FG230" s="1">
        <v>2.9471926815323046</v>
      </c>
      <c r="FH230" s="1">
        <v>2.3377643504531727</v>
      </c>
      <c r="FI230" s="57">
        <v>2.5378497947870589</v>
      </c>
      <c r="FJ230" s="1">
        <v>2.4450771869639798</v>
      </c>
      <c r="FK230" s="1">
        <v>1.6</v>
      </c>
      <c r="FL230" s="57">
        <v>5.8999999999999995</v>
      </c>
      <c r="FN230" s="1" t="s">
        <v>656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653</v>
      </c>
      <c r="GW230" s="1" t="s">
        <v>653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652</v>
      </c>
      <c r="HD230" s="13" t="s">
        <v>651</v>
      </c>
      <c r="HE230" s="1">
        <v>202</v>
      </c>
      <c r="HF230" s="1">
        <v>202</v>
      </c>
      <c r="HH230" s="1" t="s">
        <v>655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654</v>
      </c>
    </row>
    <row r="231" spans="1:223" ht="12.75" customHeight="1" x14ac:dyDescent="0.2">
      <c r="A231" s="1" t="s">
        <v>80</v>
      </c>
      <c r="D231" s="1" t="s">
        <v>590</v>
      </c>
      <c r="E231" s="1" t="s">
        <v>129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42">
        <v>0.84806340134246028</v>
      </c>
      <c r="ED231" s="42">
        <v>0.80419020402738084</v>
      </c>
      <c r="EE231" s="42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9">
        <f>Tabelle58971121[[#This Row],[Durchschnittsauslastung max]]*Tabelle58971121[[#This Row],[installierte Leistung MW max]]</f>
        <v>1031.3765484240689</v>
      </c>
      <c r="EI231" s="91">
        <f>Tabelle58971121[[#This Row],[Maximalauslastung durch]]*Tabelle58971121[[#This Row],[installierte Leistung MW min]]</f>
        <v>604.55310601719214</v>
      </c>
      <c r="EJ231" s="49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7">
        <v>0.5</v>
      </c>
      <c r="EU231" s="1">
        <v>0.77166666666666683</v>
      </c>
      <c r="EV231" s="1">
        <v>8.3333333333333329E-2</v>
      </c>
      <c r="EW231" s="57">
        <v>3</v>
      </c>
      <c r="EX231" s="1">
        <v>0.7355619060277796</v>
      </c>
      <c r="EY231" s="1">
        <v>0.5</v>
      </c>
      <c r="EZ231" s="57">
        <v>2.4</v>
      </c>
      <c r="FA231" s="1">
        <v>0.7355619060277796</v>
      </c>
      <c r="FB231" s="1">
        <v>0.5</v>
      </c>
      <c r="FC231" s="57">
        <v>2.4</v>
      </c>
      <c r="FD231" s="1">
        <v>2.193659865753971</v>
      </c>
      <c r="FE231" s="1">
        <v>1</v>
      </c>
      <c r="FF231" s="57">
        <v>5</v>
      </c>
      <c r="FG231" s="1">
        <v>2.9292217717817506</v>
      </c>
      <c r="FH231" s="1">
        <v>2.3302977232924693</v>
      </c>
      <c r="FI231" s="57">
        <v>2.521077959576516</v>
      </c>
      <c r="FJ231" s="1">
        <v>2.4323918389047652</v>
      </c>
      <c r="FK231" s="1">
        <v>1.6</v>
      </c>
      <c r="FL231" s="57">
        <v>5.8999999999999995</v>
      </c>
      <c r="FN231" s="1" t="s">
        <v>656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653</v>
      </c>
      <c r="GW231" s="1" t="s">
        <v>653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652</v>
      </c>
      <c r="HD231" s="13" t="s">
        <v>651</v>
      </c>
      <c r="HE231" s="1">
        <v>202</v>
      </c>
      <c r="HF231" s="1">
        <v>202</v>
      </c>
      <c r="HH231" s="1" t="s">
        <v>655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654</v>
      </c>
    </row>
    <row r="232" spans="1:223" ht="12.75" customHeight="1" x14ac:dyDescent="0.2">
      <c r="A232" s="1" t="s">
        <v>80</v>
      </c>
      <c r="D232" s="1" t="s">
        <v>590</v>
      </c>
      <c r="E232" s="1" t="s">
        <v>129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42">
        <v>0.84814436529053305</v>
      </c>
      <c r="ED232" s="42">
        <v>0.80443309587159884</v>
      </c>
      <c r="EE232" s="42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9">
        <f>Tabelle58971121[[#This Row],[Durchschnittsauslastung max]]*Tabelle58971121[[#This Row],[installierte Leistung MW max]]</f>
        <v>1064.7063541547277</v>
      </c>
      <c r="EI232" s="91">
        <f>Tabelle58971121[[#This Row],[Maximalauslastung durch]]*Tabelle58971121[[#This Row],[installierte Leistung MW min]]</f>
        <v>624.14640687679082</v>
      </c>
      <c r="EJ232" s="49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7">
        <v>0.5</v>
      </c>
      <c r="EU232" s="1">
        <v>0.77166666666666683</v>
      </c>
      <c r="EV232" s="1">
        <v>8.3333333333333329E-2</v>
      </c>
      <c r="EW232" s="57">
        <v>3</v>
      </c>
      <c r="EX232" s="1">
        <v>0.72989442966268991</v>
      </c>
      <c r="EY232" s="1">
        <v>0.5</v>
      </c>
      <c r="EZ232" s="57">
        <v>2.4</v>
      </c>
      <c r="FA232" s="1">
        <v>0.72989442966268991</v>
      </c>
      <c r="FB232" s="1">
        <v>0.5</v>
      </c>
      <c r="FC232" s="57">
        <v>2.4</v>
      </c>
      <c r="FD232" s="1">
        <v>2.1855634709466996</v>
      </c>
      <c r="FE232" s="1">
        <v>1</v>
      </c>
      <c r="FF232" s="57">
        <v>5</v>
      </c>
      <c r="FG232" s="1">
        <v>2.9154579006093897</v>
      </c>
      <c r="FH232" s="1">
        <v>2.324604966139955</v>
      </c>
      <c r="FI232" s="57">
        <v>2.5081817086395954</v>
      </c>
      <c r="FJ232" s="1">
        <v>2.42267616513604</v>
      </c>
      <c r="FK232" s="1">
        <v>1.6</v>
      </c>
      <c r="FL232" s="57">
        <v>5.8999999999999995</v>
      </c>
      <c r="FN232" s="1" t="s">
        <v>656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653</v>
      </c>
      <c r="GW232" s="1" t="s">
        <v>653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652</v>
      </c>
      <c r="HD232" s="13" t="s">
        <v>651</v>
      </c>
      <c r="HE232" s="1">
        <v>202</v>
      </c>
      <c r="HF232" s="1">
        <v>202</v>
      </c>
      <c r="HH232" s="1" t="s">
        <v>655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654</v>
      </c>
    </row>
    <row r="233" spans="1:223" ht="12.75" customHeight="1" x14ac:dyDescent="0.2">
      <c r="A233" s="1" t="s">
        <v>80</v>
      </c>
      <c r="D233" s="1" t="s">
        <v>590</v>
      </c>
      <c r="E233" s="1" t="s">
        <v>129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42">
        <v>0.84822040069070259</v>
      </c>
      <c r="ED233" s="42">
        <v>0.80466120207210767</v>
      </c>
      <c r="EE233" s="42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9">
        <f>Tabelle58971121[[#This Row],[Durchschnittsauslastung max]]*Tabelle58971121[[#This Row],[installierte Leistung MW max]]</f>
        <v>1098.0361598853867</v>
      </c>
      <c r="EI233" s="91">
        <f>Tabelle58971121[[#This Row],[Maximalauslastung durch]]*Tabelle58971121[[#This Row],[installierte Leistung MW min]]</f>
        <v>643.73970773638962</v>
      </c>
      <c r="EJ233" s="49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7">
        <v>0.5</v>
      </c>
      <c r="EU233" s="1">
        <v>0.77166666666666672</v>
      </c>
      <c r="EV233" s="1">
        <v>8.3333333333333329E-2</v>
      </c>
      <c r="EW233" s="57">
        <v>3</v>
      </c>
      <c r="EX233" s="1">
        <v>0.72457195165082078</v>
      </c>
      <c r="EY233" s="1">
        <v>0.5</v>
      </c>
      <c r="EZ233" s="57">
        <v>2.4</v>
      </c>
      <c r="FA233" s="1">
        <v>0.72457195165082078</v>
      </c>
      <c r="FB233" s="1">
        <v>0.5</v>
      </c>
      <c r="FC233" s="57">
        <v>2.4</v>
      </c>
      <c r="FD233" s="1">
        <v>2.1779599309297439</v>
      </c>
      <c r="FE233" s="1">
        <v>1</v>
      </c>
      <c r="FF233" s="57">
        <v>5</v>
      </c>
      <c r="FG233" s="1">
        <v>2.9025318825805648</v>
      </c>
      <c r="FH233" s="1">
        <v>2.3192790824685967</v>
      </c>
      <c r="FI233" s="57">
        <v>2.4960301904455431</v>
      </c>
      <c r="FJ233" s="1">
        <v>2.4135519171156927</v>
      </c>
      <c r="FK233" s="1">
        <v>1.6</v>
      </c>
      <c r="FL233" s="57">
        <v>5.8999999999999995</v>
      </c>
      <c r="FN233" s="1" t="s">
        <v>656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653</v>
      </c>
      <c r="GW233" s="1" t="s">
        <v>653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652</v>
      </c>
      <c r="HD233" s="13" t="s">
        <v>651</v>
      </c>
      <c r="HE233" s="1">
        <v>202</v>
      </c>
      <c r="HF233" s="1">
        <v>202</v>
      </c>
      <c r="HH233" s="1" t="s">
        <v>655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654</v>
      </c>
    </row>
    <row r="234" spans="1:223" ht="12.75" customHeight="1" x14ac:dyDescent="0.2">
      <c r="A234" s="1" t="s">
        <v>953</v>
      </c>
      <c r="D234" s="1" t="s">
        <v>592</v>
      </c>
      <c r="E234" s="1" t="s">
        <v>129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42">
        <v>0.70128691983122371</v>
      </c>
      <c r="ED234" s="42">
        <v>0.66094594594594591</v>
      </c>
      <c r="EE234" s="42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9">
        <f>Tabelle58971121[[#This Row],[Durchschnittsauslastung max]]*Tabelle58971121[[#This Row],[installierte Leistung MW max]]</f>
        <v>429.33150519031142</v>
      </c>
      <c r="EI234" s="91">
        <f>Tabelle58971121[[#This Row],[Maximalauslastung durch]]*Tabelle58971121[[#This Row],[installierte Leistung MW min]]</f>
        <v>328.4546835443038</v>
      </c>
      <c r="EJ234" s="49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7">
        <v>0.25</v>
      </c>
      <c r="EU234" s="1">
        <v>0.27083333333333331</v>
      </c>
      <c r="EV234" s="1">
        <v>8.3333333333333329E-2</v>
      </c>
      <c r="EW234" s="57">
        <v>0.5</v>
      </c>
      <c r="EX234" s="1">
        <v>9.9499999999999993</v>
      </c>
      <c r="EY234" s="1">
        <v>4</v>
      </c>
      <c r="EZ234" s="57">
        <v>16.399999999999999</v>
      </c>
      <c r="FA234" s="1">
        <v>9.9499999999999993</v>
      </c>
      <c r="FB234" s="1">
        <v>4</v>
      </c>
      <c r="FC234" s="57">
        <v>16.399999999999999</v>
      </c>
      <c r="FD234" s="1">
        <v>11.6</v>
      </c>
      <c r="FE234" s="1">
        <v>4.9000000000000004</v>
      </c>
      <c r="FF234" s="57">
        <v>18.899999999999999</v>
      </c>
      <c r="FG234" s="1">
        <v>21.4</v>
      </c>
      <c r="FH234" s="1">
        <v>21.4</v>
      </c>
      <c r="FI234" s="57">
        <v>21.4</v>
      </c>
      <c r="FJ234" s="1">
        <v>13.600000000000001</v>
      </c>
      <c r="FK234" s="1">
        <v>4.8</v>
      </c>
      <c r="FL234" s="57">
        <v>24.900000000000002</v>
      </c>
      <c r="FN234" s="1" t="s">
        <v>658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653</v>
      </c>
      <c r="GW234" s="1" t="s">
        <v>653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652</v>
      </c>
      <c r="HD234" s="13" t="s">
        <v>651</v>
      </c>
      <c r="HE234" s="1">
        <v>202</v>
      </c>
      <c r="HF234" s="1">
        <v>202</v>
      </c>
      <c r="HH234" s="1" t="s">
        <v>655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654</v>
      </c>
    </row>
    <row r="235" spans="1:223" ht="12.75" customHeight="1" x14ac:dyDescent="0.2">
      <c r="A235" s="1" t="s">
        <v>953</v>
      </c>
      <c r="D235" s="1" t="s">
        <v>592</v>
      </c>
      <c r="E235" s="1" t="s">
        <v>129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42">
        <v>0.70128691983122371</v>
      </c>
      <c r="ED235" s="42">
        <v>0.66128691983122356</v>
      </c>
      <c r="EE235" s="42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9">
        <f>Tabelle58971121[[#This Row],[Durchschnittsauslastung max]]*Tabelle58971121[[#This Row],[installierte Leistung MW max]]</f>
        <v>420.62102405063297</v>
      </c>
      <c r="EI235" s="91">
        <f>Tabelle58971121[[#This Row],[Maximalauslastung durch]]*Tabelle58971121[[#This Row],[installierte Leistung MW min]]</f>
        <v>321.88558987341776</v>
      </c>
      <c r="EJ235" s="49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7">
        <v>0.25</v>
      </c>
      <c r="EU235" s="1">
        <v>0.27083333333333337</v>
      </c>
      <c r="EV235" s="1">
        <v>8.3333333333333329E-2</v>
      </c>
      <c r="EW235" s="57">
        <v>0.5</v>
      </c>
      <c r="EX235" s="1">
        <v>10.994303797468355</v>
      </c>
      <c r="EY235" s="1">
        <v>4</v>
      </c>
      <c r="EZ235" s="57">
        <v>16.399999999999999</v>
      </c>
      <c r="FA235" s="1">
        <v>10.994303797468355</v>
      </c>
      <c r="FB235" s="1">
        <v>4</v>
      </c>
      <c r="FC235" s="57">
        <v>16.399999999999999</v>
      </c>
      <c r="FD235" s="1">
        <v>12.781434599156119</v>
      </c>
      <c r="FE235" s="1">
        <v>4.9000000000000004</v>
      </c>
      <c r="FF235" s="57">
        <v>18.899999999999999</v>
      </c>
      <c r="FG235" s="1">
        <v>23.657383966244726</v>
      </c>
      <c r="FH235" s="1">
        <v>15.113513513513514</v>
      </c>
      <c r="FI235" s="57">
        <v>15.053287197231835</v>
      </c>
      <c r="FJ235" s="1">
        <v>15.076793248945149</v>
      </c>
      <c r="FK235" s="1">
        <v>4.8</v>
      </c>
      <c r="FL235" s="57">
        <v>24.900000000000002</v>
      </c>
      <c r="FN235" s="1" t="s">
        <v>658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653</v>
      </c>
      <c r="GW235" s="1" t="s">
        <v>653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652</v>
      </c>
      <c r="HD235" s="13" t="s">
        <v>651</v>
      </c>
      <c r="HE235" s="1">
        <v>202</v>
      </c>
      <c r="HF235" s="1">
        <v>202</v>
      </c>
      <c r="HH235" s="1" t="s">
        <v>655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654</v>
      </c>
    </row>
    <row r="236" spans="1:223" ht="12.75" customHeight="1" x14ac:dyDescent="0.2">
      <c r="A236" s="1" t="s">
        <v>953</v>
      </c>
      <c r="D236" s="1" t="s">
        <v>592</v>
      </c>
      <c r="E236" s="1" t="s">
        <v>129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42">
        <v>0.70128691983122371</v>
      </c>
      <c r="ED236" s="42">
        <v>0.66128691983122367</v>
      </c>
      <c r="EE236" s="42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9">
        <f>Tabelle58971121[[#This Row],[Durchschnittsauslastung max]]*Tabelle58971121[[#This Row],[installierte Leistung MW max]]</f>
        <v>407.74487025316455</v>
      </c>
      <c r="EI236" s="91">
        <f>Tabelle58971121[[#This Row],[Maximalauslastung durch]]*Tabelle58971121[[#This Row],[installierte Leistung MW min]]</f>
        <v>312.0319493670886</v>
      </c>
      <c r="EJ236" s="49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7">
        <v>0.25</v>
      </c>
      <c r="EU236" s="1">
        <v>0.27083333333333331</v>
      </c>
      <c r="EV236" s="1">
        <v>8.3333333333333329E-2</v>
      </c>
      <c r="EW236" s="57">
        <v>0.5</v>
      </c>
      <c r="EX236" s="1">
        <v>10.994303797468355</v>
      </c>
      <c r="EY236" s="1">
        <v>4</v>
      </c>
      <c r="EZ236" s="57">
        <v>16.399999999999999</v>
      </c>
      <c r="FA236" s="1">
        <v>10.994303797468355</v>
      </c>
      <c r="FB236" s="1">
        <v>4</v>
      </c>
      <c r="FC236" s="57">
        <v>16.399999999999999</v>
      </c>
      <c r="FD236" s="1">
        <v>12.781434599156119</v>
      </c>
      <c r="FE236" s="1">
        <v>4.9000000000000004</v>
      </c>
      <c r="FF236" s="57">
        <v>18.899999999999999</v>
      </c>
      <c r="FG236" s="1">
        <v>23.65738396624473</v>
      </c>
      <c r="FH236" s="1">
        <v>15.113513513513514</v>
      </c>
      <c r="FI236" s="57">
        <v>15.053287197231835</v>
      </c>
      <c r="FJ236" s="1">
        <v>15.076793248945149</v>
      </c>
      <c r="FK236" s="1">
        <v>4.8</v>
      </c>
      <c r="FL236" s="57">
        <v>24.900000000000002</v>
      </c>
      <c r="FN236" s="1" t="s">
        <v>658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653</v>
      </c>
      <c r="GW236" s="1" t="s">
        <v>653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652</v>
      </c>
      <c r="HD236" s="13" t="s">
        <v>651</v>
      </c>
      <c r="HE236" s="1">
        <v>202</v>
      </c>
      <c r="HF236" s="1">
        <v>202</v>
      </c>
      <c r="HH236" s="1" t="s">
        <v>655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654</v>
      </c>
    </row>
    <row r="237" spans="1:223" ht="12.75" customHeight="1" x14ac:dyDescent="0.2">
      <c r="A237" s="1" t="s">
        <v>953</v>
      </c>
      <c r="D237" s="1" t="s">
        <v>592</v>
      </c>
      <c r="E237" s="1" t="s">
        <v>129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42">
        <v>0.70128691983122371</v>
      </c>
      <c r="ED237" s="42">
        <v>0.66128691983122367</v>
      </c>
      <c r="EE237" s="42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9">
        <f>Tabelle58971121[[#This Row],[Durchschnittsauslastung max]]*Tabelle58971121[[#This Row],[installierte Leistung MW max]]</f>
        <v>399.16076772151899</v>
      </c>
      <c r="EI237" s="91">
        <f>Tabelle58971121[[#This Row],[Maximalauslastung durch]]*Tabelle58971121[[#This Row],[installierte Leistung MW min]]</f>
        <v>305.46285569620255</v>
      </c>
      <c r="EJ237" s="49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7">
        <v>0.25</v>
      </c>
      <c r="EU237" s="1">
        <v>0.27083333333333337</v>
      </c>
      <c r="EV237" s="1">
        <v>8.3333333333333329E-2</v>
      </c>
      <c r="EW237" s="57">
        <v>0.5</v>
      </c>
      <c r="EX237" s="1">
        <v>10.994303797468353</v>
      </c>
      <c r="EY237" s="1">
        <v>4</v>
      </c>
      <c r="EZ237" s="57">
        <v>16.399999999999999</v>
      </c>
      <c r="FA237" s="1">
        <v>10.994303797468353</v>
      </c>
      <c r="FB237" s="1">
        <v>4</v>
      </c>
      <c r="FC237" s="57">
        <v>16.399999999999999</v>
      </c>
      <c r="FD237" s="1">
        <v>12.781434599156118</v>
      </c>
      <c r="FE237" s="1">
        <v>4.9000000000000004</v>
      </c>
      <c r="FF237" s="57">
        <v>18.899999999999999</v>
      </c>
      <c r="FG237" s="1">
        <v>23.657383966244723</v>
      </c>
      <c r="FH237" s="1">
        <v>15.113513513513514</v>
      </c>
      <c r="FI237" s="57">
        <v>15.053287197231835</v>
      </c>
      <c r="FJ237" s="1">
        <v>15.076793248945147</v>
      </c>
      <c r="FK237" s="1">
        <v>4.8</v>
      </c>
      <c r="FL237" s="57">
        <v>24.900000000000002</v>
      </c>
      <c r="FN237" s="1" t="s">
        <v>658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653</v>
      </c>
      <c r="GW237" s="1" t="s">
        <v>653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652</v>
      </c>
      <c r="HD237" s="13" t="s">
        <v>651</v>
      </c>
      <c r="HE237" s="1">
        <v>202</v>
      </c>
      <c r="HF237" s="1">
        <v>202</v>
      </c>
      <c r="HH237" s="1" t="s">
        <v>655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654</v>
      </c>
    </row>
    <row r="238" spans="1:223" ht="12.75" customHeight="1" x14ac:dyDescent="0.2">
      <c r="A238" s="1" t="s">
        <v>953</v>
      </c>
      <c r="D238" s="1" t="s">
        <v>592</v>
      </c>
      <c r="E238" s="1" t="s">
        <v>129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42">
        <v>0.70128691983122371</v>
      </c>
      <c r="ED238" s="42">
        <v>0.66128691983122356</v>
      </c>
      <c r="EE238" s="42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9">
        <f>Tabelle58971121[[#This Row],[Durchschnittsauslastung max]]*Tabelle58971121[[#This Row],[installierte Leistung MW max]]</f>
        <v>386.28461392405063</v>
      </c>
      <c r="EI238" s="91">
        <f>Tabelle58971121[[#This Row],[Maximalauslastung durch]]*Tabelle58971121[[#This Row],[installierte Leistung MW min]]</f>
        <v>295.60921518987345</v>
      </c>
      <c r="EJ238" s="49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7">
        <v>0.25</v>
      </c>
      <c r="EU238" s="1">
        <v>0.27083333333333331</v>
      </c>
      <c r="EV238" s="1">
        <v>8.3333333333333329E-2</v>
      </c>
      <c r="EW238" s="57">
        <v>0.5</v>
      </c>
      <c r="EX238" s="1">
        <v>10.994303797468355</v>
      </c>
      <c r="EY238" s="1">
        <v>4</v>
      </c>
      <c r="EZ238" s="57">
        <v>16.399999999999999</v>
      </c>
      <c r="FA238" s="1">
        <v>10.994303797468355</v>
      </c>
      <c r="FB238" s="1">
        <v>4</v>
      </c>
      <c r="FC238" s="57">
        <v>16.399999999999999</v>
      </c>
      <c r="FD238" s="1">
        <v>12.781434599156119</v>
      </c>
      <c r="FE238" s="1">
        <v>4.9000000000000004</v>
      </c>
      <c r="FF238" s="57">
        <v>18.899999999999999</v>
      </c>
      <c r="FG238" s="1">
        <v>23.657383966244726</v>
      </c>
      <c r="FH238" s="1">
        <v>15.113513513513514</v>
      </c>
      <c r="FI238" s="57">
        <v>15.053287197231835</v>
      </c>
      <c r="FJ238" s="1">
        <v>15.076793248945149</v>
      </c>
      <c r="FK238" s="1">
        <v>4.8</v>
      </c>
      <c r="FL238" s="57">
        <v>24.900000000000002</v>
      </c>
      <c r="FN238" s="1" t="s">
        <v>658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653</v>
      </c>
      <c r="GW238" s="1" t="s">
        <v>653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652</v>
      </c>
      <c r="HD238" s="13" t="s">
        <v>651</v>
      </c>
      <c r="HE238" s="1">
        <v>202</v>
      </c>
      <c r="HF238" s="1">
        <v>202</v>
      </c>
      <c r="HH238" s="1" t="s">
        <v>655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654</v>
      </c>
    </row>
    <row r="239" spans="1:223" ht="12.75" customHeight="1" x14ac:dyDescent="0.2">
      <c r="A239" s="1" t="s">
        <v>953</v>
      </c>
      <c r="D239" s="1" t="s">
        <v>592</v>
      </c>
      <c r="E239" s="1" t="s">
        <v>129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42">
        <v>0.70128691983122371</v>
      </c>
      <c r="ED239" s="42">
        <v>0.66128691983122367</v>
      </c>
      <c r="EE239" s="42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9">
        <f>Tabelle58971121[[#This Row],[Durchschnittsauslastung max]]*Tabelle58971121[[#This Row],[installierte Leistung MW max]]</f>
        <v>377.70051139240508</v>
      </c>
      <c r="EI239" s="91">
        <f>Tabelle58971121[[#This Row],[Maximalauslastung durch]]*Tabelle58971121[[#This Row],[installierte Leistung MW min]]</f>
        <v>289.04012151898735</v>
      </c>
      <c r="EJ239" s="49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7">
        <v>0.25</v>
      </c>
      <c r="EU239" s="1">
        <v>0.27083333333333331</v>
      </c>
      <c r="EV239" s="1">
        <v>8.3333333333333329E-2</v>
      </c>
      <c r="EW239" s="57">
        <v>0.5</v>
      </c>
      <c r="EX239" s="1">
        <v>10.994303797468355</v>
      </c>
      <c r="EY239" s="1">
        <v>4</v>
      </c>
      <c r="EZ239" s="57">
        <v>16.399999999999999</v>
      </c>
      <c r="FA239" s="1">
        <v>10.994303797468355</v>
      </c>
      <c r="FB239" s="1">
        <v>4</v>
      </c>
      <c r="FC239" s="57">
        <v>16.399999999999999</v>
      </c>
      <c r="FD239" s="1">
        <v>12.781434599156119</v>
      </c>
      <c r="FE239" s="1">
        <v>4.9000000000000004</v>
      </c>
      <c r="FF239" s="57">
        <v>18.899999999999999</v>
      </c>
      <c r="FG239" s="1">
        <v>23.657383966244726</v>
      </c>
      <c r="FH239" s="1">
        <v>15.113513513513514</v>
      </c>
      <c r="FI239" s="57">
        <v>15.053287197231835</v>
      </c>
      <c r="FJ239" s="1">
        <v>15.076793248945149</v>
      </c>
      <c r="FK239" s="1">
        <v>4.8</v>
      </c>
      <c r="FL239" s="57">
        <v>24.900000000000002</v>
      </c>
      <c r="FN239" s="1" t="s">
        <v>658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653</v>
      </c>
      <c r="GW239" s="1" t="s">
        <v>653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652</v>
      </c>
      <c r="HD239" s="13" t="s">
        <v>651</v>
      </c>
      <c r="HE239" s="1">
        <v>202</v>
      </c>
      <c r="HF239" s="1">
        <v>202</v>
      </c>
      <c r="HH239" s="1" t="s">
        <v>655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654</v>
      </c>
    </row>
    <row r="240" spans="1:223" ht="12.75" customHeight="1" x14ac:dyDescent="0.2">
      <c r="A240" s="1" t="s">
        <v>953</v>
      </c>
      <c r="D240" s="1" t="s">
        <v>592</v>
      </c>
      <c r="E240" s="1" t="s">
        <v>129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42">
        <v>0.70128691983122371</v>
      </c>
      <c r="ED240" s="42">
        <v>0.66128691983122367</v>
      </c>
      <c r="EE240" s="42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9">
        <f>Tabelle58971121[[#This Row],[Durchschnittsauslastung max]]*Tabelle58971121[[#This Row],[installierte Leistung MW max]]</f>
        <v>369.11640886075952</v>
      </c>
      <c r="EI240" s="91">
        <f>Tabelle58971121[[#This Row],[Maximalauslastung durch]]*Tabelle58971121[[#This Row],[installierte Leistung MW min]]</f>
        <v>282.4710278481013</v>
      </c>
      <c r="EJ240" s="49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7">
        <v>0.25</v>
      </c>
      <c r="EU240" s="1">
        <v>0.27083333333333331</v>
      </c>
      <c r="EV240" s="1">
        <v>8.3333333333333329E-2</v>
      </c>
      <c r="EW240" s="57">
        <v>0.5</v>
      </c>
      <c r="EX240" s="1">
        <v>10.994303797468355</v>
      </c>
      <c r="EY240" s="1">
        <v>4</v>
      </c>
      <c r="EZ240" s="57">
        <v>16.399999999999999</v>
      </c>
      <c r="FA240" s="1">
        <v>10.994303797468355</v>
      </c>
      <c r="FB240" s="1">
        <v>4</v>
      </c>
      <c r="FC240" s="57">
        <v>16.399999999999999</v>
      </c>
      <c r="FD240" s="1">
        <v>12.781434599156119</v>
      </c>
      <c r="FE240" s="1">
        <v>4.9000000000000004</v>
      </c>
      <c r="FF240" s="57">
        <v>18.899999999999999</v>
      </c>
      <c r="FG240" s="1">
        <v>23.657383966244726</v>
      </c>
      <c r="FH240" s="1">
        <v>15.113513513513514</v>
      </c>
      <c r="FI240" s="57">
        <v>15.053287197231835</v>
      </c>
      <c r="FJ240" s="1">
        <v>15.076793248945149</v>
      </c>
      <c r="FK240" s="1">
        <v>4.8</v>
      </c>
      <c r="FL240" s="57">
        <v>24.900000000000002</v>
      </c>
      <c r="FN240" s="1" t="s">
        <v>658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653</v>
      </c>
      <c r="GW240" s="1" t="s">
        <v>653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652</v>
      </c>
      <c r="HD240" s="13" t="s">
        <v>651</v>
      </c>
      <c r="HE240" s="1">
        <v>202</v>
      </c>
      <c r="HF240" s="1">
        <v>202</v>
      </c>
      <c r="HH240" s="1" t="s">
        <v>655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654</v>
      </c>
    </row>
    <row r="241" spans="1:223" ht="12.75" customHeight="1" x14ac:dyDescent="0.2">
      <c r="A241" s="1" t="s">
        <v>953</v>
      </c>
      <c r="D241" s="1" t="s">
        <v>592</v>
      </c>
      <c r="E241" s="1" t="s">
        <v>129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42">
        <v>0.70128691983122371</v>
      </c>
      <c r="ED241" s="42">
        <v>0.66128691983122367</v>
      </c>
      <c r="EE241" s="42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9">
        <f>Tabelle58971121[[#This Row],[Durchschnittsauslastung max]]*Tabelle58971121[[#This Row],[installierte Leistung MW max]]</f>
        <v>360.53230632911396</v>
      </c>
      <c r="EI241" s="91">
        <f>Tabelle58971121[[#This Row],[Maximalauslastung durch]]*Tabelle58971121[[#This Row],[installierte Leistung MW min]]</f>
        <v>275.9019341772152</v>
      </c>
      <c r="EJ241" s="49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7">
        <v>0.25</v>
      </c>
      <c r="EU241" s="1">
        <v>0.27083333333333337</v>
      </c>
      <c r="EV241" s="1">
        <v>8.3333333333333329E-2</v>
      </c>
      <c r="EW241" s="57">
        <v>0.5</v>
      </c>
      <c r="EX241" s="1">
        <v>10.994303797468355</v>
      </c>
      <c r="EY241" s="1">
        <v>4</v>
      </c>
      <c r="EZ241" s="57">
        <v>16.399999999999999</v>
      </c>
      <c r="FA241" s="1">
        <v>10.994303797468355</v>
      </c>
      <c r="FB241" s="1">
        <v>4</v>
      </c>
      <c r="FC241" s="57">
        <v>16.399999999999999</v>
      </c>
      <c r="FD241" s="1">
        <v>12.781434599156119</v>
      </c>
      <c r="FE241" s="1">
        <v>4.9000000000000004</v>
      </c>
      <c r="FF241" s="57">
        <v>18.899999999999999</v>
      </c>
      <c r="FG241" s="1">
        <v>23.657383966244726</v>
      </c>
      <c r="FH241" s="1">
        <v>15.113513513513514</v>
      </c>
      <c r="FI241" s="57">
        <v>15.053287197231832</v>
      </c>
      <c r="FJ241" s="1">
        <v>15.076793248945149</v>
      </c>
      <c r="FK241" s="1">
        <v>4.8</v>
      </c>
      <c r="FL241" s="57">
        <v>24.900000000000002</v>
      </c>
      <c r="FN241" s="1" t="s">
        <v>658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653</v>
      </c>
      <c r="GW241" s="1" t="s">
        <v>653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652</v>
      </c>
      <c r="HD241" s="13" t="s">
        <v>651</v>
      </c>
      <c r="HE241" s="1">
        <v>202</v>
      </c>
      <c r="HF241" s="1">
        <v>202</v>
      </c>
      <c r="HH241" s="1" t="s">
        <v>655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654</v>
      </c>
    </row>
    <row r="242" spans="1:223" ht="12.75" customHeight="1" x14ac:dyDescent="0.2">
      <c r="A242" s="1" t="s">
        <v>582</v>
      </c>
      <c r="D242" s="1" t="s">
        <v>586</v>
      </c>
      <c r="E242" s="1" t="s">
        <v>129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42">
        <v>0.88100558659217887</v>
      </c>
      <c r="ED242" s="42">
        <v>0.84802816901408451</v>
      </c>
      <c r="EE242" s="42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9">
        <f>Tabelle58971121[[#This Row],[Durchschnittsauslastung max]]*Tabelle58971121[[#This Row],[installierte Leistung MW max]]</f>
        <v>171.17425925925926</v>
      </c>
      <c r="EI242" s="91">
        <f>Tabelle58971121[[#This Row],[Maximalauslastung durch]]*Tabelle58971121[[#This Row],[installierte Leistung MW min]]</f>
        <v>170.25620111731845</v>
      </c>
      <c r="EJ242" s="49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7">
        <v>0.25</v>
      </c>
      <c r="EU242" s="1">
        <v>0.10624999999999998</v>
      </c>
      <c r="EV242" s="1">
        <v>8.3333333333333332E-3</v>
      </c>
      <c r="EW242" s="57">
        <v>0.25</v>
      </c>
      <c r="EX242" s="1">
        <v>3</v>
      </c>
      <c r="EY242" s="1">
        <v>1.6</v>
      </c>
      <c r="EZ242" s="57">
        <v>7.2</v>
      </c>
      <c r="FA242" s="1">
        <v>3</v>
      </c>
      <c r="FB242" s="1">
        <v>1.6</v>
      </c>
      <c r="FC242" s="57">
        <v>7.2</v>
      </c>
      <c r="FD242" s="1">
        <v>4</v>
      </c>
      <c r="FE242" s="1">
        <v>3.2</v>
      </c>
      <c r="FF242" s="57">
        <v>4.8</v>
      </c>
      <c r="FG242" s="1">
        <v>7</v>
      </c>
      <c r="FH242" s="1">
        <v>7</v>
      </c>
      <c r="FI242" s="57">
        <v>7</v>
      </c>
      <c r="FJ242" s="1">
        <v>4.5500000000000007</v>
      </c>
      <c r="FK242" s="1">
        <v>3.1999999999999997</v>
      </c>
      <c r="FL242" s="57">
        <v>6.8000000000000007</v>
      </c>
      <c r="FN242" s="1" t="s">
        <v>656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653</v>
      </c>
      <c r="GW242" s="1" t="s">
        <v>653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652</v>
      </c>
      <c r="HD242" s="13" t="s">
        <v>651</v>
      </c>
      <c r="HE242" s="1">
        <v>202</v>
      </c>
      <c r="HF242" s="1">
        <v>202</v>
      </c>
      <c r="HH242" s="1" t="s">
        <v>655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654</v>
      </c>
    </row>
    <row r="243" spans="1:223" ht="12.75" customHeight="1" x14ac:dyDescent="0.2">
      <c r="A243" s="1" t="s">
        <v>582</v>
      </c>
      <c r="D243" s="1" t="s">
        <v>586</v>
      </c>
      <c r="E243" s="1" t="s">
        <v>129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42">
        <v>0.88100558659217887</v>
      </c>
      <c r="ED243" s="42">
        <v>0.84553072625698322</v>
      </c>
      <c r="EE243" s="42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9">
        <f>Tabelle58971121[[#This Row],[Durchschnittsauslastung max]]*Tabelle58971121[[#This Row],[installierte Leistung MW max]]</f>
        <v>171.381843575419</v>
      </c>
      <c r="EI243" s="91">
        <f>Tabelle58971121[[#This Row],[Maximalauslastung durch]]*Tabelle58971121[[#This Row],[installierte Leistung MW min]]</f>
        <v>170.25620111731845</v>
      </c>
      <c r="EJ243" s="49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7">
        <v>0.25</v>
      </c>
      <c r="EU243" s="1">
        <v>8.8466014897579132E-2</v>
      </c>
      <c r="EV243" s="1">
        <v>8.3333333333333332E-3</v>
      </c>
      <c r="EW243" s="57">
        <v>0.25</v>
      </c>
      <c r="EX243" s="1">
        <v>3.58659217877095</v>
      </c>
      <c r="EY243" s="1">
        <v>1.6</v>
      </c>
      <c r="EZ243" s="57">
        <v>7.2</v>
      </c>
      <c r="FA243" s="1">
        <v>3.58659217877095</v>
      </c>
      <c r="FB243" s="1">
        <v>1.6</v>
      </c>
      <c r="FC243" s="57">
        <v>7.2</v>
      </c>
      <c r="FD243" s="1">
        <v>4</v>
      </c>
      <c r="FE243" s="1">
        <v>3.2</v>
      </c>
      <c r="FF243" s="57">
        <v>4.8</v>
      </c>
      <c r="FG243" s="1">
        <v>7.5865921787709496</v>
      </c>
      <c r="FH243" s="1">
        <v>4.3774647887323948</v>
      </c>
      <c r="FI243" s="57">
        <v>4.4037037037037035</v>
      </c>
      <c r="FJ243" s="1">
        <v>4.3932960893854744</v>
      </c>
      <c r="FK243" s="1">
        <v>3.1999999999999997</v>
      </c>
      <c r="FL243" s="57">
        <v>6.8000000000000007</v>
      </c>
      <c r="FN243" s="1" t="s">
        <v>656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653</v>
      </c>
      <c r="GW243" s="1" t="s">
        <v>653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652</v>
      </c>
      <c r="HD243" s="13" t="s">
        <v>651</v>
      </c>
      <c r="HE243" s="1">
        <v>202</v>
      </c>
      <c r="HF243" s="1">
        <v>202</v>
      </c>
      <c r="HH243" s="1" t="s">
        <v>655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654</v>
      </c>
    </row>
    <row r="244" spans="1:223" ht="12.75" customHeight="1" x14ac:dyDescent="0.2">
      <c r="A244" s="1" t="s">
        <v>582</v>
      </c>
      <c r="D244" s="1" t="s">
        <v>586</v>
      </c>
      <c r="E244" s="1" t="s">
        <v>129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42">
        <v>0.88100558659217887</v>
      </c>
      <c r="ED244" s="42">
        <v>0.84553072625698322</v>
      </c>
      <c r="EE244" s="42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9">
        <f>Tabelle58971121[[#This Row],[Durchschnittsauslastung max]]*Tabelle58971121[[#This Row],[installierte Leistung MW max]]</f>
        <v>171.381843575419</v>
      </c>
      <c r="EI244" s="91">
        <f>Tabelle58971121[[#This Row],[Maximalauslastung durch]]*Tabelle58971121[[#This Row],[installierte Leistung MW min]]</f>
        <v>170.25620111731845</v>
      </c>
      <c r="EJ244" s="49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7">
        <v>0.25</v>
      </c>
      <c r="EU244" s="1">
        <v>8.8466014897579132E-2</v>
      </c>
      <c r="EV244" s="1">
        <v>8.3333333333333332E-3</v>
      </c>
      <c r="EW244" s="57">
        <v>0.25</v>
      </c>
      <c r="EX244" s="1">
        <v>3.58659217877095</v>
      </c>
      <c r="EY244" s="1">
        <v>1.6</v>
      </c>
      <c r="EZ244" s="57">
        <v>7.2</v>
      </c>
      <c r="FA244" s="1">
        <v>3.58659217877095</v>
      </c>
      <c r="FB244" s="1">
        <v>1.6</v>
      </c>
      <c r="FC244" s="57">
        <v>7.2</v>
      </c>
      <c r="FD244" s="1">
        <v>4</v>
      </c>
      <c r="FE244" s="1">
        <v>3.2</v>
      </c>
      <c r="FF244" s="57">
        <v>4.8</v>
      </c>
      <c r="FG244" s="1">
        <v>7.5865921787709496</v>
      </c>
      <c r="FH244" s="1">
        <v>4.3774647887323948</v>
      </c>
      <c r="FI244" s="57">
        <v>4.4037037037037035</v>
      </c>
      <c r="FJ244" s="1">
        <v>4.3932960893854744</v>
      </c>
      <c r="FK244" s="1">
        <v>3.1999999999999997</v>
      </c>
      <c r="FL244" s="57">
        <v>6.8000000000000007</v>
      </c>
      <c r="FN244" s="1" t="s">
        <v>656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653</v>
      </c>
      <c r="GW244" s="1" t="s">
        <v>653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652</v>
      </c>
      <c r="HD244" s="13" t="s">
        <v>651</v>
      </c>
      <c r="HE244" s="1">
        <v>202</v>
      </c>
      <c r="HF244" s="1">
        <v>202</v>
      </c>
      <c r="HH244" s="1" t="s">
        <v>655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654</v>
      </c>
    </row>
    <row r="245" spans="1:223" ht="12.75" customHeight="1" x14ac:dyDescent="0.2">
      <c r="A245" s="1" t="s">
        <v>582</v>
      </c>
      <c r="D245" s="1" t="s">
        <v>586</v>
      </c>
      <c r="E245" s="1" t="s">
        <v>129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42">
        <v>0.88100558659217865</v>
      </c>
      <c r="ED245" s="42">
        <v>0.84553072625698322</v>
      </c>
      <c r="EE245" s="42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9">
        <f>Tabelle58971121[[#This Row],[Durchschnittsauslastung max]]*Tabelle58971121[[#This Row],[installierte Leistung MW max]]</f>
        <v>169.66802513966479</v>
      </c>
      <c r="EI245" s="91">
        <f>Tabelle58971121[[#This Row],[Maximalauslastung durch]]*Tabelle58971121[[#This Row],[installierte Leistung MW min]]</f>
        <v>168.55363910614525</v>
      </c>
      <c r="EJ245" s="49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7">
        <v>0.25</v>
      </c>
      <c r="EU245" s="1">
        <v>8.8466014897579132E-2</v>
      </c>
      <c r="EV245" s="1">
        <v>8.3333333333333332E-3</v>
      </c>
      <c r="EW245" s="57">
        <v>0.25</v>
      </c>
      <c r="EX245" s="1">
        <v>3.5865921787709505</v>
      </c>
      <c r="EY245" s="1">
        <v>1.6</v>
      </c>
      <c r="EZ245" s="57">
        <v>7.2</v>
      </c>
      <c r="FA245" s="1">
        <v>3.5865921787709505</v>
      </c>
      <c r="FB245" s="1">
        <v>1.6</v>
      </c>
      <c r="FC245" s="57">
        <v>7.2</v>
      </c>
      <c r="FD245" s="1">
        <v>4</v>
      </c>
      <c r="FE245" s="1">
        <v>3.2</v>
      </c>
      <c r="FF245" s="57">
        <v>4.8</v>
      </c>
      <c r="FG245" s="1">
        <v>7.5865921787709514</v>
      </c>
      <c r="FH245" s="1">
        <v>4.3774647887323948</v>
      </c>
      <c r="FI245" s="57">
        <v>4.4037037037037035</v>
      </c>
      <c r="FJ245" s="1">
        <v>4.3932960893854753</v>
      </c>
      <c r="FK245" s="1">
        <v>3.1999999999999997</v>
      </c>
      <c r="FL245" s="57">
        <v>6.8000000000000007</v>
      </c>
      <c r="FN245" s="1" t="s">
        <v>656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653</v>
      </c>
      <c r="GW245" s="1" t="s">
        <v>653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652</v>
      </c>
      <c r="HD245" s="13" t="s">
        <v>651</v>
      </c>
      <c r="HE245" s="1">
        <v>202</v>
      </c>
      <c r="HF245" s="1">
        <v>202</v>
      </c>
      <c r="HH245" s="1" t="s">
        <v>655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654</v>
      </c>
    </row>
    <row r="246" spans="1:223" ht="12.75" customHeight="1" x14ac:dyDescent="0.2">
      <c r="A246" s="1" t="s">
        <v>582</v>
      </c>
      <c r="D246" s="1" t="s">
        <v>586</v>
      </c>
      <c r="E246" s="1" t="s">
        <v>129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42">
        <v>0.88100558659217887</v>
      </c>
      <c r="ED246" s="42">
        <v>0.84553072625698322</v>
      </c>
      <c r="EE246" s="42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9">
        <f>Tabelle58971121[[#This Row],[Durchschnittsauslastung max]]*Tabelle58971121[[#This Row],[installierte Leistung MW max]]</f>
        <v>167.95420670391059</v>
      </c>
      <c r="EI246" s="91">
        <f>Tabelle58971121[[#This Row],[Maximalauslastung durch]]*Tabelle58971121[[#This Row],[installierte Leistung MW min]]</f>
        <v>166.85107709497208</v>
      </c>
      <c r="EJ246" s="49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7">
        <v>0.25</v>
      </c>
      <c r="EU246" s="1">
        <v>8.8466014897579132E-2</v>
      </c>
      <c r="EV246" s="1">
        <v>8.3333333333333332E-3</v>
      </c>
      <c r="EW246" s="57">
        <v>0.25</v>
      </c>
      <c r="EX246" s="1">
        <v>3.5865921787709496</v>
      </c>
      <c r="EY246" s="1">
        <v>1.6</v>
      </c>
      <c r="EZ246" s="57">
        <v>7.2</v>
      </c>
      <c r="FA246" s="1">
        <v>3.5865921787709496</v>
      </c>
      <c r="FB246" s="1">
        <v>1.6</v>
      </c>
      <c r="FC246" s="57">
        <v>7.2</v>
      </c>
      <c r="FD246" s="1">
        <v>4</v>
      </c>
      <c r="FE246" s="1">
        <v>3.2</v>
      </c>
      <c r="FF246" s="57">
        <v>4.8</v>
      </c>
      <c r="FG246" s="1">
        <v>7.5865921787709496</v>
      </c>
      <c r="FH246" s="1">
        <v>4.3774647887323948</v>
      </c>
      <c r="FI246" s="57">
        <v>4.4037037037037035</v>
      </c>
      <c r="FJ246" s="1">
        <v>4.3932960893854744</v>
      </c>
      <c r="FK246" s="1">
        <v>3.1999999999999997</v>
      </c>
      <c r="FL246" s="57">
        <v>6.8000000000000007</v>
      </c>
      <c r="FN246" s="1" t="s">
        <v>656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653</v>
      </c>
      <c r="GW246" s="1" t="s">
        <v>653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652</v>
      </c>
      <c r="HD246" s="13" t="s">
        <v>651</v>
      </c>
      <c r="HE246" s="1">
        <v>202</v>
      </c>
      <c r="HF246" s="1">
        <v>202</v>
      </c>
      <c r="HH246" s="1" t="s">
        <v>655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654</v>
      </c>
    </row>
    <row r="247" spans="1:223" ht="12.75" customHeight="1" x14ac:dyDescent="0.2">
      <c r="A247" s="1" t="s">
        <v>582</v>
      </c>
      <c r="D247" s="1" t="s">
        <v>586</v>
      </c>
      <c r="E247" s="1" t="s">
        <v>129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42">
        <v>0.88100558659217887</v>
      </c>
      <c r="ED247" s="42">
        <v>0.84553072625698311</v>
      </c>
      <c r="EE247" s="42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9">
        <f>Tabelle58971121[[#This Row],[Durchschnittsauslastung max]]*Tabelle58971121[[#This Row],[installierte Leistung MW max]]</f>
        <v>164.5265698324022</v>
      </c>
      <c r="EI247" s="91">
        <f>Tabelle58971121[[#This Row],[Maximalauslastung durch]]*Tabelle58971121[[#This Row],[installierte Leistung MW min]]</f>
        <v>163.44595307262574</v>
      </c>
      <c r="EJ247" s="49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7">
        <v>0.25</v>
      </c>
      <c r="EU247" s="1">
        <v>8.8466014897579145E-2</v>
      </c>
      <c r="EV247" s="1">
        <v>8.3333333333333332E-3</v>
      </c>
      <c r="EW247" s="57">
        <v>0.25</v>
      </c>
      <c r="EX247" s="1">
        <v>3.58659217877095</v>
      </c>
      <c r="EY247" s="1">
        <v>1.6</v>
      </c>
      <c r="EZ247" s="57">
        <v>7.2</v>
      </c>
      <c r="FA247" s="1">
        <v>3.58659217877095</v>
      </c>
      <c r="FB247" s="1">
        <v>1.6</v>
      </c>
      <c r="FC247" s="57">
        <v>7.2</v>
      </c>
      <c r="FD247" s="1">
        <v>4</v>
      </c>
      <c r="FE247" s="1">
        <v>3.2</v>
      </c>
      <c r="FF247" s="57">
        <v>4.8</v>
      </c>
      <c r="FG247" s="1">
        <v>7.5865921787709496</v>
      </c>
      <c r="FH247" s="1">
        <v>4.3774647887323948</v>
      </c>
      <c r="FI247" s="57">
        <v>4.4037037037037035</v>
      </c>
      <c r="FJ247" s="1">
        <v>4.3932960893854753</v>
      </c>
      <c r="FK247" s="1">
        <v>3.1999999999999997</v>
      </c>
      <c r="FL247" s="57">
        <v>6.8000000000000007</v>
      </c>
      <c r="FN247" s="1" t="s">
        <v>656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653</v>
      </c>
      <c r="GW247" s="1" t="s">
        <v>653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652</v>
      </c>
      <c r="HD247" s="13" t="s">
        <v>651</v>
      </c>
      <c r="HE247" s="1">
        <v>202</v>
      </c>
      <c r="HF247" s="1">
        <v>202</v>
      </c>
      <c r="HH247" s="1" t="s">
        <v>655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654</v>
      </c>
    </row>
    <row r="248" spans="1:223" ht="12.75" customHeight="1" x14ac:dyDescent="0.2">
      <c r="A248" s="1" t="s">
        <v>582</v>
      </c>
      <c r="D248" s="1" t="s">
        <v>586</v>
      </c>
      <c r="E248" s="1" t="s">
        <v>129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42">
        <v>0.88100558659217887</v>
      </c>
      <c r="ED248" s="42">
        <v>0.84553072625698322</v>
      </c>
      <c r="EE248" s="42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9">
        <f>Tabelle58971121[[#This Row],[Durchschnittsauslastung max]]*Tabelle58971121[[#This Row],[installierte Leistung MW max]]</f>
        <v>162.81275139664803</v>
      </c>
      <c r="EI248" s="91">
        <f>Tabelle58971121[[#This Row],[Maximalauslastung durch]]*Tabelle58971121[[#This Row],[installierte Leistung MW min]]</f>
        <v>161.74339106145254</v>
      </c>
      <c r="EJ248" s="49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7">
        <v>0.25</v>
      </c>
      <c r="EU248" s="1">
        <v>8.8466014897579132E-2</v>
      </c>
      <c r="EV248" s="1">
        <v>8.3333333333333332E-3</v>
      </c>
      <c r="EW248" s="57">
        <v>0.25</v>
      </c>
      <c r="EX248" s="1">
        <v>3.5865921787709496</v>
      </c>
      <c r="EY248" s="1">
        <v>1.6</v>
      </c>
      <c r="EZ248" s="57">
        <v>7.2</v>
      </c>
      <c r="FA248" s="1">
        <v>3.5865921787709496</v>
      </c>
      <c r="FB248" s="1">
        <v>1.6</v>
      </c>
      <c r="FC248" s="57">
        <v>7.2</v>
      </c>
      <c r="FD248" s="1">
        <v>4</v>
      </c>
      <c r="FE248" s="1">
        <v>3.2</v>
      </c>
      <c r="FF248" s="57">
        <v>4.8</v>
      </c>
      <c r="FG248" s="1">
        <v>7.5865921787709496</v>
      </c>
      <c r="FH248" s="1">
        <v>4.3774647887323939</v>
      </c>
      <c r="FI248" s="57">
        <v>4.4037037037037035</v>
      </c>
      <c r="FJ248" s="1">
        <v>4.3932960893854744</v>
      </c>
      <c r="FK248" s="1">
        <v>3.1999999999999997</v>
      </c>
      <c r="FL248" s="57">
        <v>6.8000000000000007</v>
      </c>
      <c r="FN248" s="1" t="s">
        <v>656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653</v>
      </c>
      <c r="GW248" s="1" t="s">
        <v>653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652</v>
      </c>
      <c r="HD248" s="13" t="s">
        <v>651</v>
      </c>
      <c r="HE248" s="1">
        <v>202</v>
      </c>
      <c r="HF248" s="1">
        <v>202</v>
      </c>
      <c r="HH248" s="1" t="s">
        <v>655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654</v>
      </c>
    </row>
    <row r="249" spans="1:223" ht="12.75" customHeight="1" x14ac:dyDescent="0.2">
      <c r="A249" s="1" t="s">
        <v>582</v>
      </c>
      <c r="D249" s="1" t="s">
        <v>586</v>
      </c>
      <c r="E249" s="1" t="s">
        <v>129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42">
        <v>0.88100558659217887</v>
      </c>
      <c r="ED249" s="42">
        <v>0.84553072625698322</v>
      </c>
      <c r="EE249" s="42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9">
        <f>Tabelle58971121[[#This Row],[Durchschnittsauslastung max]]*Tabelle58971121[[#This Row],[installierte Leistung MW max]]</f>
        <v>161.09893296089382</v>
      </c>
      <c r="EI249" s="91">
        <f>Tabelle58971121[[#This Row],[Maximalauslastung durch]]*Tabelle58971121[[#This Row],[installierte Leistung MW min]]</f>
        <v>160.04082905027934</v>
      </c>
      <c r="EJ249" s="49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7">
        <v>0.25</v>
      </c>
      <c r="EU249" s="1">
        <v>8.8466014897579132E-2</v>
      </c>
      <c r="EV249" s="1">
        <v>8.3333333333333332E-3</v>
      </c>
      <c r="EW249" s="57">
        <v>0.25</v>
      </c>
      <c r="EX249" s="1">
        <v>3.5865921787709496</v>
      </c>
      <c r="EY249" s="1">
        <v>1.6</v>
      </c>
      <c r="EZ249" s="57">
        <v>7.2</v>
      </c>
      <c r="FA249" s="1">
        <v>3.5865921787709496</v>
      </c>
      <c r="FB249" s="1">
        <v>1.6</v>
      </c>
      <c r="FC249" s="57">
        <v>7.2</v>
      </c>
      <c r="FD249" s="1">
        <v>4</v>
      </c>
      <c r="FE249" s="1">
        <v>3.2</v>
      </c>
      <c r="FF249" s="57">
        <v>4.8</v>
      </c>
      <c r="FG249" s="1">
        <v>7.5865921787709496</v>
      </c>
      <c r="FH249" s="1">
        <v>4.3774647887323948</v>
      </c>
      <c r="FI249" s="57">
        <v>4.4037037037037035</v>
      </c>
      <c r="FJ249" s="1">
        <v>4.3932960893854744</v>
      </c>
      <c r="FK249" s="1">
        <v>3.1999999999999997</v>
      </c>
      <c r="FL249" s="57">
        <v>6.8000000000000007</v>
      </c>
      <c r="FN249" s="1" t="s">
        <v>656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653</v>
      </c>
      <c r="GW249" s="1" t="s">
        <v>653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652</v>
      </c>
      <c r="HD249" s="13" t="s">
        <v>651</v>
      </c>
      <c r="HE249" s="1">
        <v>202</v>
      </c>
      <c r="HF249" s="1">
        <v>202</v>
      </c>
      <c r="HH249" s="1" t="s">
        <v>655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290</v>
      </c>
      <c r="I1" s="2" t="s">
        <v>291</v>
      </c>
      <c r="J1" s="2" t="s">
        <v>292</v>
      </c>
      <c r="K1" s="2" t="s">
        <v>293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</v>
      </c>
      <c r="S1" s="2" t="s">
        <v>332</v>
      </c>
      <c r="T1" s="2" t="s">
        <v>237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228</v>
      </c>
      <c r="AA1" s="2" t="s">
        <v>227</v>
      </c>
      <c r="AB1" s="2" t="s">
        <v>159</v>
      </c>
      <c r="AC1" s="2" t="s">
        <v>229</v>
      </c>
      <c r="AD1" s="2" t="s">
        <v>230</v>
      </c>
      <c r="AE1" s="2" t="s">
        <v>160</v>
      </c>
      <c r="AF1" s="2" t="s">
        <v>216</v>
      </c>
      <c r="AG1" s="2" t="s">
        <v>217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233</v>
      </c>
      <c r="AQ1" s="2" t="s">
        <v>234</v>
      </c>
      <c r="AR1" s="2" t="s">
        <v>232</v>
      </c>
      <c r="AS1" s="2" t="s">
        <v>334</v>
      </c>
      <c r="AT1" s="2" t="s">
        <v>335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107</v>
      </c>
      <c r="BC1" s="2" t="s">
        <v>238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1" t="s">
        <v>367</v>
      </c>
      <c r="B2" s="33" t="s">
        <v>142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367</v>
      </c>
      <c r="B3" s="33" t="s">
        <v>142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367</v>
      </c>
      <c r="B4" s="33" t="s">
        <v>142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135</v>
      </c>
      <c r="B5" s="33" t="s">
        <v>142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135</v>
      </c>
      <c r="B6" s="33" t="s">
        <v>142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135</v>
      </c>
      <c r="B7" s="33" t="s">
        <v>142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288</v>
      </c>
      <c r="B8" s="1" t="s">
        <v>142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288</v>
      </c>
      <c r="B9" s="1" t="s">
        <v>142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288</v>
      </c>
      <c r="B10" s="1" t="s">
        <v>142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133</v>
      </c>
      <c r="B11" s="1" t="s">
        <v>142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133</v>
      </c>
      <c r="B12" s="1" t="s">
        <v>142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133</v>
      </c>
      <c r="B13" s="1" t="s">
        <v>142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756</v>
      </c>
      <c r="B14" s="1" t="s">
        <v>142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756</v>
      </c>
      <c r="B15" s="1" t="s">
        <v>142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756</v>
      </c>
      <c r="B16" s="1" t="s">
        <v>142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136</v>
      </c>
      <c r="B17" s="1" t="s">
        <v>142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136</v>
      </c>
      <c r="B18" s="1" t="s">
        <v>142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136</v>
      </c>
      <c r="B19" s="1" t="s">
        <v>142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138</v>
      </c>
      <c r="B20" s="1" t="s">
        <v>142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138</v>
      </c>
      <c r="B21" s="1" t="s">
        <v>142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138</v>
      </c>
      <c r="B22" s="1" t="s">
        <v>142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137</v>
      </c>
      <c r="B23" s="1" t="s">
        <v>142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137</v>
      </c>
      <c r="B24" s="1" t="s">
        <v>142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137</v>
      </c>
      <c r="B25" s="1" t="s">
        <v>142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141</v>
      </c>
      <c r="B26" s="58" t="s">
        <v>142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141</v>
      </c>
      <c r="B27" s="58" t="s">
        <v>142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141</v>
      </c>
      <c r="B28" s="58" t="s">
        <v>142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294</v>
      </c>
      <c r="B29" s="58" t="s">
        <v>130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294</v>
      </c>
      <c r="B30" s="58" t="s">
        <v>130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294</v>
      </c>
      <c r="B31" s="58" t="s">
        <v>130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295</v>
      </c>
      <c r="B32" s="58" t="s">
        <v>130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295</v>
      </c>
      <c r="B33" s="58" t="s">
        <v>130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295</v>
      </c>
      <c r="B34" s="58" t="s">
        <v>130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296</v>
      </c>
      <c r="B35" s="58" t="s">
        <v>130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296</v>
      </c>
      <c r="B36" s="58" t="s">
        <v>130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296</v>
      </c>
      <c r="B37" s="58" t="s">
        <v>130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297</v>
      </c>
      <c r="B38" s="58" t="s">
        <v>130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297</v>
      </c>
      <c r="B39" s="58" t="s">
        <v>130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297</v>
      </c>
      <c r="B40" s="58" t="s">
        <v>130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298</v>
      </c>
      <c r="B41" s="58" t="s">
        <v>130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298</v>
      </c>
      <c r="B42" s="58" t="s">
        <v>130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298</v>
      </c>
      <c r="B43" s="58" t="s">
        <v>130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299</v>
      </c>
      <c r="B44" s="58" t="s">
        <v>130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299</v>
      </c>
      <c r="B45" s="58" t="s">
        <v>130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299</v>
      </c>
      <c r="B46" s="58" t="s">
        <v>130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300</v>
      </c>
      <c r="B47" s="58" t="s">
        <v>130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300</v>
      </c>
      <c r="B48" s="58" t="s">
        <v>130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300</v>
      </c>
      <c r="B49" s="58" t="s">
        <v>130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301</v>
      </c>
      <c r="B50" s="58" t="s">
        <v>130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301</v>
      </c>
      <c r="B51" s="58" t="s">
        <v>130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301</v>
      </c>
      <c r="B52" s="58" t="s">
        <v>130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302</v>
      </c>
      <c r="B53" s="58" t="s">
        <v>130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302</v>
      </c>
      <c r="B54" s="58" t="s">
        <v>130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302</v>
      </c>
      <c r="B55" s="58" t="s">
        <v>130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BP34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17" sqref="A1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6" width="24.42578125" style="1" customWidth="1"/>
    <col min="17" max="17" width="37.7109375" style="1" bestFit="1" customWidth="1"/>
    <col min="18" max="19" width="24.7109375" style="1" customWidth="1"/>
    <col min="20" max="20" width="28.42578125" style="1" customWidth="1"/>
    <col min="21" max="21" width="27.42578125" style="1" bestFit="1" customWidth="1"/>
    <col min="22" max="23" width="27.42578125" style="1" customWidth="1"/>
    <col min="24" max="24" width="20.7109375" style="1" bestFit="1" customWidth="1"/>
    <col min="25" max="29" width="20.7109375" style="1" customWidth="1"/>
    <col min="30" max="30" width="25.85546875" style="1" bestFit="1" customWidth="1"/>
    <col min="31" max="31" width="29.7109375" style="1" bestFit="1" customWidth="1"/>
    <col min="32" max="32" width="24" style="1" bestFit="1" customWidth="1"/>
    <col min="33" max="33" width="38.28515625" style="1" bestFit="1" customWidth="1"/>
    <col min="34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3" width="33.42578125" style="1" customWidth="1"/>
    <col min="44" max="44" width="25.7109375" style="1" bestFit="1" customWidth="1"/>
    <col min="45" max="45" width="25.7109375" style="1" customWidth="1"/>
    <col min="46" max="46" width="56.7109375" style="1" bestFit="1" customWidth="1"/>
    <col min="47" max="48" width="35.5703125" style="1" customWidth="1"/>
    <col min="49" max="49" width="31.7109375" style="1" bestFit="1" customWidth="1"/>
    <col min="50" max="50" width="31.5703125" style="1" bestFit="1" customWidth="1"/>
    <col min="51" max="55" width="31.5703125" style="1" customWidth="1"/>
    <col min="56" max="56" width="37.42578125" style="1" bestFit="1" customWidth="1"/>
    <col min="57" max="57" width="35.7109375" style="1" bestFit="1" customWidth="1"/>
    <col min="58" max="58" width="28.85546875" style="1" bestFit="1" customWidth="1"/>
    <col min="59" max="59" width="34" style="1" bestFit="1" customWidth="1"/>
    <col min="60" max="60" width="37.85546875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67" width="31" style="1" bestFit="1" customWidth="1"/>
    <col min="68" max="68" width="28.85546875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315</v>
      </c>
      <c r="G1" s="2" t="s">
        <v>49</v>
      </c>
      <c r="H1" s="2" t="s">
        <v>50</v>
      </c>
      <c r="I1" s="2" t="s">
        <v>1176</v>
      </c>
      <c r="J1" s="2" t="s">
        <v>548</v>
      </c>
      <c r="K1" s="2" t="s">
        <v>156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237</v>
      </c>
      <c r="Q1" s="2" t="s">
        <v>116</v>
      </c>
      <c r="R1" s="2" t="s">
        <v>57</v>
      </c>
      <c r="S1" s="2" t="s">
        <v>123</v>
      </c>
      <c r="T1" s="2" t="s">
        <v>58</v>
      </c>
      <c r="U1" s="2" t="s">
        <v>9</v>
      </c>
      <c r="V1" s="2" t="s">
        <v>431</v>
      </c>
      <c r="W1" s="2" t="s">
        <v>227</v>
      </c>
      <c r="X1" s="2" t="s">
        <v>159</v>
      </c>
      <c r="Y1" s="2" t="s">
        <v>229</v>
      </c>
      <c r="Z1" s="2" t="s">
        <v>230</v>
      </c>
      <c r="AA1" s="2" t="s">
        <v>160</v>
      </c>
      <c r="AB1" s="2" t="s">
        <v>216</v>
      </c>
      <c r="AC1" s="2" t="s">
        <v>217</v>
      </c>
      <c r="AD1" s="2" t="s">
        <v>3</v>
      </c>
      <c r="AE1" s="2" t="s">
        <v>10</v>
      </c>
      <c r="AF1" s="2" t="s">
        <v>16</v>
      </c>
      <c r="AG1" s="2" t="s">
        <v>4</v>
      </c>
      <c r="AH1" s="2" t="s">
        <v>99</v>
      </c>
      <c r="AI1" s="2" t="s">
        <v>1122</v>
      </c>
      <c r="AJ1" s="2" t="s">
        <v>185</v>
      </c>
      <c r="AK1" s="2" t="s">
        <v>184</v>
      </c>
      <c r="AL1" s="2" t="s">
        <v>12</v>
      </c>
      <c r="AM1" s="2" t="s">
        <v>233</v>
      </c>
      <c r="AN1" s="2" t="s">
        <v>234</v>
      </c>
      <c r="AO1" s="2" t="s">
        <v>232</v>
      </c>
      <c r="AP1" s="2" t="s">
        <v>334</v>
      </c>
      <c r="AQ1" s="2" t="s">
        <v>459</v>
      </c>
      <c r="AR1" s="2" t="s">
        <v>335</v>
      </c>
      <c r="AS1" s="2" t="s">
        <v>147</v>
      </c>
      <c r="AT1" s="2" t="s">
        <v>22</v>
      </c>
      <c r="AU1" s="2" t="s">
        <v>164</v>
      </c>
      <c r="AV1" s="2" t="s">
        <v>165</v>
      </c>
      <c r="AW1" s="2" t="s">
        <v>1</v>
      </c>
      <c r="AX1" s="2" t="s">
        <v>2</v>
      </c>
      <c r="AY1" s="2" t="s">
        <v>59</v>
      </c>
      <c r="AZ1" s="2" t="s">
        <v>1161</v>
      </c>
      <c r="BA1" s="2" t="s">
        <v>238</v>
      </c>
      <c r="BB1" s="2" t="s">
        <v>117</v>
      </c>
      <c r="BC1" s="2" t="s">
        <v>60</v>
      </c>
      <c r="BD1" s="2" t="s">
        <v>61</v>
      </c>
      <c r="BE1" s="2" t="s">
        <v>98</v>
      </c>
      <c r="BF1" s="2" t="s">
        <v>5</v>
      </c>
      <c r="BG1" s="2" t="s">
        <v>6</v>
      </c>
      <c r="BH1" s="2" t="s">
        <v>17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  <c r="BO1" s="2" t="s">
        <v>23</v>
      </c>
      <c r="BP1" s="2" t="s">
        <v>51</v>
      </c>
    </row>
    <row r="2" spans="1:68" x14ac:dyDescent="0.2">
      <c r="A2" s="1" t="s">
        <v>135</v>
      </c>
      <c r="B2" s="1" t="s">
        <v>142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19"/>
      <c r="N2" s="20"/>
      <c r="O2" s="9"/>
      <c r="P2" s="9">
        <f t="shared" ref="P2:P7" si="0">2920/8760</f>
        <v>0.33333333333333331</v>
      </c>
      <c r="Q2" s="20">
        <v>4000</v>
      </c>
      <c r="R2" s="19">
        <v>9600</v>
      </c>
      <c r="S2" s="9"/>
      <c r="T2" s="19"/>
      <c r="AD2" s="1">
        <v>0.25</v>
      </c>
      <c r="AF2" s="1" t="s">
        <v>460</v>
      </c>
      <c r="AG2" s="1">
        <f t="shared" ref="AG2:AG7" si="1">24*7</f>
        <v>168</v>
      </c>
      <c r="AH2" s="1">
        <f>Tabelle58971117[[#This Row],[max. Abrufhäufigkeit pro Woche]]*52.1428571428571</f>
        <v>8760</v>
      </c>
      <c r="AJ2" s="19"/>
      <c r="AK2" s="19"/>
      <c r="AL2" s="19"/>
      <c r="AM2" s="8"/>
      <c r="AN2" s="8"/>
      <c r="AO2" s="8"/>
      <c r="AP2" s="8"/>
      <c r="AQ2" s="8"/>
      <c r="AR2" s="8"/>
      <c r="AU2" s="1">
        <v>13</v>
      </c>
      <c r="AV2" s="1">
        <v>13</v>
      </c>
      <c r="AW2" s="13">
        <v>13</v>
      </c>
      <c r="AX2" s="1">
        <v>13</v>
      </c>
      <c r="AY2" s="13"/>
      <c r="AZ2" s="13"/>
      <c r="BA2" s="13">
        <v>13</v>
      </c>
      <c r="BB2" s="13">
        <v>13</v>
      </c>
      <c r="BC2" s="1">
        <v>13</v>
      </c>
      <c r="BD2" s="13"/>
      <c r="BE2" s="13"/>
      <c r="BG2" s="1">
        <v>13</v>
      </c>
      <c r="BI2" s="1">
        <v>13</v>
      </c>
      <c r="BJ2" s="1">
        <v>14</v>
      </c>
      <c r="BK2" s="1">
        <v>14</v>
      </c>
      <c r="BL2" s="1">
        <v>14</v>
      </c>
      <c r="BM2" s="1">
        <v>14</v>
      </c>
    </row>
    <row r="3" spans="1:68" x14ac:dyDescent="0.2">
      <c r="A3" s="1" t="s">
        <v>135</v>
      </c>
      <c r="B3" s="1" t="s">
        <v>142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19"/>
      <c r="N3" s="20"/>
      <c r="O3" s="9"/>
      <c r="P3" s="9">
        <f t="shared" si="0"/>
        <v>0.33333333333333331</v>
      </c>
      <c r="Q3" s="20">
        <v>1640</v>
      </c>
      <c r="R3" s="19">
        <v>4920</v>
      </c>
      <c r="S3" s="9"/>
      <c r="T3" s="19"/>
      <c r="AD3" s="1">
        <v>0.25</v>
      </c>
      <c r="AF3" s="1" t="s">
        <v>460</v>
      </c>
      <c r="AG3" s="1">
        <f t="shared" si="1"/>
        <v>168</v>
      </c>
      <c r="AH3" s="1">
        <f>Tabelle58971117[[#This Row],[max. Abrufhäufigkeit pro Woche]]*52.1428571428571</f>
        <v>8760</v>
      </c>
      <c r="AJ3" s="8">
        <f>30*Umrechnungsfaktoren!$B$15/Umrechnungsfaktoren!$B$10</f>
        <v>31.614213197969544</v>
      </c>
      <c r="AK3" s="8">
        <f>130*Umrechnungsfaktoren!$B$15/Umrechnungsfaktoren!$B$10</f>
        <v>136.99492385786803</v>
      </c>
      <c r="AM3" s="8">
        <f>0*Umrechnungsfaktoren!$B$15/Umrechnungsfaktoren!$B$10</f>
        <v>0</v>
      </c>
      <c r="AN3" s="8">
        <f>0*Umrechnungsfaktoren!$B$15/Umrechnungsfaktoren!$B$10</f>
        <v>0</v>
      </c>
      <c r="AO3" s="8">
        <f>0*Umrechnungsfaktoren!$B$15/Umrechnungsfaktoren!$B$10</f>
        <v>0</v>
      </c>
      <c r="AP3" s="8">
        <f>2*Umrechnungsfaktoren!$B$15/Umrechnungsfaktoren!$B$10</f>
        <v>2.1076142131979694</v>
      </c>
      <c r="AQ3" s="8">
        <f>9*Umrechnungsfaktoren!$B$15/Umrechnungsfaktoren!$B$10</f>
        <v>9.484263959390864</v>
      </c>
      <c r="AR3" s="1">
        <f>AVERAGE(Tabelle58971117[[#This Row],[fixe Kosten min. €_2018/kW*a]:[fixe Kosten max. €_2018/kW*a]])</f>
        <v>5.7959390862944167</v>
      </c>
      <c r="AU3" s="1">
        <v>13</v>
      </c>
      <c r="AV3" s="1">
        <v>13</v>
      </c>
      <c r="AW3" s="13">
        <v>13</v>
      </c>
      <c r="AX3" s="1">
        <v>13</v>
      </c>
      <c r="AY3" s="13"/>
      <c r="AZ3" s="13"/>
      <c r="BA3" s="13">
        <v>13</v>
      </c>
      <c r="BB3" s="13">
        <v>13</v>
      </c>
      <c r="BC3" s="1">
        <v>13</v>
      </c>
      <c r="BD3" s="13"/>
      <c r="BE3" s="13"/>
      <c r="BG3" s="1">
        <v>13</v>
      </c>
      <c r="BI3" s="1">
        <v>13</v>
      </c>
      <c r="BJ3" s="1">
        <v>14</v>
      </c>
      <c r="BK3" s="1">
        <v>14</v>
      </c>
      <c r="BL3" s="1">
        <v>14</v>
      </c>
      <c r="BM3" s="1">
        <v>14</v>
      </c>
    </row>
    <row r="4" spans="1:68" x14ac:dyDescent="0.2">
      <c r="A4" s="6" t="s">
        <v>135</v>
      </c>
      <c r="B4" s="1" t="s">
        <v>142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19"/>
      <c r="N4" s="20"/>
      <c r="O4" s="9"/>
      <c r="P4" s="9">
        <f t="shared" si="0"/>
        <v>0.33333333333333331</v>
      </c>
      <c r="Q4" s="20">
        <v>1640</v>
      </c>
      <c r="R4" s="19">
        <v>4920</v>
      </c>
      <c r="S4" s="9"/>
      <c r="T4" s="19"/>
      <c r="AD4" s="1">
        <v>0.25</v>
      </c>
      <c r="AF4" s="1" t="s">
        <v>460</v>
      </c>
      <c r="AG4" s="1">
        <f t="shared" si="1"/>
        <v>168</v>
      </c>
      <c r="AH4" s="1">
        <f>Tabelle58971117[[#This Row],[max. Abrufhäufigkeit pro Woche]]*52.1428571428571</f>
        <v>8760</v>
      </c>
      <c r="AJ4" s="19"/>
      <c r="AK4" s="19"/>
      <c r="AL4" s="19"/>
      <c r="AM4" s="8"/>
      <c r="AN4" s="8"/>
      <c r="AO4" s="8"/>
      <c r="AP4" s="8"/>
      <c r="AQ4" s="8"/>
      <c r="AR4" s="8"/>
      <c r="AU4" s="1">
        <v>13</v>
      </c>
      <c r="AV4" s="1">
        <v>13</v>
      </c>
      <c r="AW4" s="13">
        <v>13</v>
      </c>
      <c r="AX4" s="1">
        <v>13</v>
      </c>
      <c r="AY4" s="13"/>
      <c r="AZ4" s="13"/>
      <c r="BA4" s="13">
        <v>13</v>
      </c>
      <c r="BB4" s="13">
        <v>13</v>
      </c>
      <c r="BC4" s="1">
        <v>13</v>
      </c>
      <c r="BD4" s="13"/>
      <c r="BE4" s="13"/>
      <c r="BG4" s="1">
        <v>13</v>
      </c>
      <c r="BI4" s="1">
        <v>13</v>
      </c>
      <c r="BJ4" s="1">
        <v>14</v>
      </c>
      <c r="BK4" s="1">
        <v>14</v>
      </c>
      <c r="BL4" s="1">
        <v>14</v>
      </c>
      <c r="BM4" s="1">
        <v>14</v>
      </c>
    </row>
    <row r="5" spans="1:68" x14ac:dyDescent="0.2">
      <c r="A5" s="1" t="s">
        <v>136</v>
      </c>
      <c r="B5" s="1" t="s">
        <v>142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19"/>
      <c r="N5" s="20"/>
      <c r="O5" s="9"/>
      <c r="P5" s="9">
        <f t="shared" si="0"/>
        <v>0.33333333333333331</v>
      </c>
      <c r="Q5" s="20">
        <v>1333</v>
      </c>
      <c r="R5" s="19">
        <v>4000</v>
      </c>
      <c r="S5" s="9"/>
      <c r="T5" s="19"/>
      <c r="AD5" s="1">
        <v>0.25</v>
      </c>
      <c r="AF5" s="1" t="s">
        <v>460</v>
      </c>
      <c r="AG5" s="1">
        <f t="shared" si="1"/>
        <v>168</v>
      </c>
      <c r="AH5" s="1">
        <f>Tabelle58971117[[#This Row],[max. Abrufhäufigkeit pro Woche]]*52.1428571428571</f>
        <v>8760</v>
      </c>
      <c r="AJ5" s="8"/>
      <c r="AK5" s="8"/>
      <c r="AM5" s="8"/>
      <c r="AN5" s="8"/>
      <c r="AO5" s="8"/>
      <c r="AP5" s="8"/>
      <c r="AQ5" s="8"/>
      <c r="AU5" s="1">
        <v>15</v>
      </c>
      <c r="AV5" s="1">
        <v>15</v>
      </c>
      <c r="AW5" s="13">
        <v>15</v>
      </c>
      <c r="AX5" s="1">
        <v>15</v>
      </c>
      <c r="AY5" s="13"/>
      <c r="AZ5" s="13"/>
      <c r="BA5" s="13">
        <v>15</v>
      </c>
      <c r="BB5" s="13">
        <v>15</v>
      </c>
      <c r="BC5" s="1">
        <v>15</v>
      </c>
      <c r="BD5" s="13"/>
      <c r="BE5" s="13"/>
      <c r="BG5" s="1">
        <v>15</v>
      </c>
      <c r="BI5" s="1">
        <v>15</v>
      </c>
      <c r="BJ5" s="1">
        <v>16</v>
      </c>
      <c r="BK5" s="1">
        <v>16</v>
      </c>
      <c r="BL5" s="1">
        <v>16</v>
      </c>
      <c r="BM5" s="1">
        <v>16</v>
      </c>
    </row>
    <row r="6" spans="1:68" x14ac:dyDescent="0.2">
      <c r="A6" s="1" t="s">
        <v>136</v>
      </c>
      <c r="B6" s="1" t="s">
        <v>142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19"/>
      <c r="N6" s="20"/>
      <c r="O6" s="9"/>
      <c r="P6" s="9">
        <f t="shared" si="0"/>
        <v>0.33333333333333331</v>
      </c>
      <c r="Q6" s="20">
        <v>1367</v>
      </c>
      <c r="R6" s="19">
        <v>4100</v>
      </c>
      <c r="S6" s="9"/>
      <c r="T6" s="19"/>
      <c r="AD6" s="1">
        <v>0.25</v>
      </c>
      <c r="AF6" s="1" t="s">
        <v>460</v>
      </c>
      <c r="AG6" s="1">
        <f t="shared" si="1"/>
        <v>168</v>
      </c>
      <c r="AH6" s="1">
        <f>Tabelle58971117[[#This Row],[max. Abrufhäufigkeit pro Woche]]*52.1428571428571</f>
        <v>8760</v>
      </c>
      <c r="AJ6" s="8">
        <f>30*Umrechnungsfaktoren!$B$15/Umrechnungsfaktoren!$B$10</f>
        <v>31.614213197969544</v>
      </c>
      <c r="AK6" s="8">
        <f>130*Umrechnungsfaktoren!$B$15/Umrechnungsfaktoren!$B$10</f>
        <v>136.99492385786803</v>
      </c>
      <c r="AM6" s="8">
        <f>0*Umrechnungsfaktoren!$B$15/Umrechnungsfaktoren!$B$10</f>
        <v>0</v>
      </c>
      <c r="AN6" s="8">
        <f>0*Umrechnungsfaktoren!$B$15/Umrechnungsfaktoren!$B$10</f>
        <v>0</v>
      </c>
      <c r="AO6" s="8">
        <f>0*Umrechnungsfaktoren!$B$15/Umrechnungsfaktoren!$B$10</f>
        <v>0</v>
      </c>
      <c r="AP6" s="8">
        <f>2*Umrechnungsfaktoren!$B$15/Umrechnungsfaktoren!$B$10</f>
        <v>2.1076142131979694</v>
      </c>
      <c r="AQ6" s="8">
        <f>9*Umrechnungsfaktoren!$B$15/Umrechnungsfaktoren!$B$10</f>
        <v>9.484263959390864</v>
      </c>
      <c r="AR6" s="1">
        <f>AVERAGE(Tabelle58971117[[#This Row],[fixe Kosten min. €_2018/kW*a]:[fixe Kosten max. €_2018/kW*a]])</f>
        <v>5.7959390862944167</v>
      </c>
      <c r="AU6" s="1">
        <v>15</v>
      </c>
      <c r="AV6" s="1">
        <v>15</v>
      </c>
      <c r="AW6" s="13">
        <v>15</v>
      </c>
      <c r="AX6" s="1">
        <v>15</v>
      </c>
      <c r="AY6" s="13"/>
      <c r="AZ6" s="13"/>
      <c r="BA6" s="13">
        <v>15</v>
      </c>
      <c r="BB6" s="13">
        <v>15</v>
      </c>
      <c r="BC6" s="1">
        <v>15</v>
      </c>
      <c r="BD6" s="13"/>
      <c r="BE6" s="13"/>
      <c r="BG6" s="1">
        <v>15</v>
      </c>
      <c r="BI6" s="1">
        <v>15</v>
      </c>
      <c r="BJ6" s="1">
        <v>16</v>
      </c>
      <c r="BK6" s="1">
        <v>16</v>
      </c>
      <c r="BL6" s="1">
        <v>16</v>
      </c>
      <c r="BM6" s="1">
        <v>16</v>
      </c>
    </row>
    <row r="7" spans="1:68" x14ac:dyDescent="0.2">
      <c r="A7" s="1" t="s">
        <v>136</v>
      </c>
      <c r="B7" s="1" t="s">
        <v>142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19"/>
      <c r="N7" s="20"/>
      <c r="O7" s="9"/>
      <c r="P7" s="9">
        <f t="shared" si="0"/>
        <v>0.33333333333333331</v>
      </c>
      <c r="Q7" s="20">
        <v>683</v>
      </c>
      <c r="R7" s="19">
        <v>2050</v>
      </c>
      <c r="S7" s="9"/>
      <c r="T7" s="19"/>
      <c r="AD7" s="1">
        <v>0.25</v>
      </c>
      <c r="AF7" s="1" t="s">
        <v>460</v>
      </c>
      <c r="AG7" s="1">
        <f t="shared" si="1"/>
        <v>168</v>
      </c>
      <c r="AH7" s="1">
        <f>Tabelle58971117[[#This Row],[max. Abrufhäufigkeit pro Woche]]*52.1428571428571</f>
        <v>8760</v>
      </c>
      <c r="AJ7" s="8"/>
      <c r="AK7" s="8"/>
      <c r="AM7" s="8"/>
      <c r="AN7" s="8"/>
      <c r="AO7" s="8"/>
      <c r="AP7" s="8"/>
      <c r="AQ7" s="8"/>
      <c r="AU7" s="1">
        <v>15</v>
      </c>
      <c r="AV7" s="1">
        <v>15</v>
      </c>
      <c r="AW7" s="13">
        <v>15</v>
      </c>
      <c r="AX7" s="1">
        <v>15</v>
      </c>
      <c r="AY7" s="13"/>
      <c r="AZ7" s="13"/>
      <c r="BA7" s="13">
        <v>15</v>
      </c>
      <c r="BB7" s="13">
        <v>15</v>
      </c>
      <c r="BC7" s="1">
        <v>15</v>
      </c>
      <c r="BD7" s="13"/>
      <c r="BE7" s="13"/>
      <c r="BG7" s="1">
        <v>15</v>
      </c>
      <c r="BI7" s="1">
        <v>15</v>
      </c>
      <c r="BJ7" s="1">
        <v>16</v>
      </c>
      <c r="BK7" s="1">
        <v>16</v>
      </c>
      <c r="BL7" s="1">
        <v>16</v>
      </c>
      <c r="BM7" s="1">
        <v>16</v>
      </c>
    </row>
    <row r="8" spans="1:68" x14ac:dyDescent="0.2">
      <c r="A8" s="1" t="s">
        <v>133</v>
      </c>
      <c r="B8" s="1" t="s">
        <v>142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19"/>
      <c r="N8" s="20"/>
      <c r="O8" s="9"/>
      <c r="P8" s="9">
        <f>114/8760</f>
        <v>1.3013698630136987E-2</v>
      </c>
      <c r="Q8" s="20">
        <v>1532</v>
      </c>
      <c r="R8" s="19">
        <v>40000</v>
      </c>
      <c r="S8" s="9"/>
      <c r="T8" s="19"/>
      <c r="AB8" s="1">
        <v>1</v>
      </c>
      <c r="AC8" s="1">
        <v>4</v>
      </c>
      <c r="AF8" s="1" t="s">
        <v>461</v>
      </c>
      <c r="AG8" s="1">
        <f>7</f>
        <v>7</v>
      </c>
      <c r="AH8" s="1">
        <f>Tabelle58971117[[#This Row],[max. Abrufhäufigkeit pro Woche]]*52.1428571428571</f>
        <v>365</v>
      </c>
      <c r="AJ8" s="8"/>
      <c r="AK8" s="8"/>
      <c r="AM8" s="8"/>
      <c r="AN8" s="8"/>
      <c r="AO8" s="8"/>
      <c r="AP8" s="8"/>
      <c r="AQ8" s="8"/>
      <c r="AU8" s="1">
        <v>17</v>
      </c>
      <c r="AV8" s="1">
        <v>17</v>
      </c>
      <c r="AW8" s="13">
        <v>17</v>
      </c>
      <c r="AX8" s="13">
        <v>17</v>
      </c>
      <c r="AY8" s="13"/>
      <c r="AZ8" s="13"/>
      <c r="BA8" s="13">
        <v>16</v>
      </c>
      <c r="BB8" s="13">
        <v>16</v>
      </c>
      <c r="BC8" s="13">
        <v>16</v>
      </c>
      <c r="BD8" s="13"/>
      <c r="BE8" s="13"/>
      <c r="BG8" s="13">
        <v>16</v>
      </c>
      <c r="BI8" s="13">
        <v>16</v>
      </c>
      <c r="BJ8" s="1">
        <v>17</v>
      </c>
      <c r="BK8" s="1">
        <v>17</v>
      </c>
      <c r="BL8" s="1">
        <v>17</v>
      </c>
      <c r="BM8" s="1">
        <v>17</v>
      </c>
    </row>
    <row r="9" spans="1:68" x14ac:dyDescent="0.2">
      <c r="A9" s="1" t="s">
        <v>133</v>
      </c>
      <c r="B9" s="1" t="s">
        <v>142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19"/>
      <c r="N9" s="20"/>
      <c r="O9" s="9"/>
      <c r="P9" s="9">
        <f>116/8760</f>
        <v>1.3242009132420091E-2</v>
      </c>
      <c r="Q9" s="20">
        <v>698</v>
      </c>
      <c r="R9" s="19">
        <v>30750</v>
      </c>
      <c r="S9" s="9"/>
      <c r="T9" s="19"/>
      <c r="AB9" s="1">
        <v>1</v>
      </c>
      <c r="AC9" s="1">
        <v>4</v>
      </c>
      <c r="AF9" s="1" t="s">
        <v>461</v>
      </c>
      <c r="AG9" s="1">
        <f>7</f>
        <v>7</v>
      </c>
      <c r="AH9" s="1">
        <f>Tabelle58971117[[#This Row],[max. Abrufhäufigkeit pro Woche]]*52.1428571428571</f>
        <v>365</v>
      </c>
      <c r="AJ9" s="8">
        <f>30*Umrechnungsfaktoren!$B$15/Umrechnungsfaktoren!$B$10</f>
        <v>31.614213197969544</v>
      </c>
      <c r="AK9" s="8">
        <f>130*Umrechnungsfaktoren!$B$15/Umrechnungsfaktoren!$B$10</f>
        <v>136.99492385786803</v>
      </c>
      <c r="AM9" s="8">
        <f>0*Umrechnungsfaktoren!$B$15/Umrechnungsfaktoren!$B$10</f>
        <v>0</v>
      </c>
      <c r="AN9" s="8">
        <f>0*Umrechnungsfaktoren!$B$15/Umrechnungsfaktoren!$B$10</f>
        <v>0</v>
      </c>
      <c r="AO9" s="8">
        <f>0*Umrechnungsfaktoren!$B$15/Umrechnungsfaktoren!$B$10</f>
        <v>0</v>
      </c>
      <c r="AP9" s="8">
        <f>2*Umrechnungsfaktoren!$B$15/Umrechnungsfaktoren!$B$10</f>
        <v>2.1076142131979694</v>
      </c>
      <c r="AQ9" s="8">
        <f>9*Umrechnungsfaktoren!$B$15/Umrechnungsfaktoren!$B$10</f>
        <v>9.484263959390864</v>
      </c>
      <c r="AR9" s="1">
        <f>AVERAGE(Tabelle58971117[[#This Row],[fixe Kosten min. €_2018/kW*a]:[fixe Kosten max. €_2018/kW*a]])</f>
        <v>5.7959390862944167</v>
      </c>
      <c r="AU9" s="1">
        <v>17</v>
      </c>
      <c r="AV9" s="1">
        <v>17</v>
      </c>
      <c r="AW9" s="13">
        <v>17</v>
      </c>
      <c r="AX9" s="13">
        <v>17</v>
      </c>
      <c r="AY9" s="13"/>
      <c r="AZ9" s="13"/>
      <c r="BA9" s="13">
        <v>16</v>
      </c>
      <c r="BB9" s="13">
        <v>16</v>
      </c>
      <c r="BC9" s="13">
        <v>16</v>
      </c>
      <c r="BD9" s="13"/>
      <c r="BE9" s="13"/>
      <c r="BG9" s="13">
        <v>16</v>
      </c>
      <c r="BI9" s="13">
        <v>16</v>
      </c>
      <c r="BJ9" s="1">
        <v>17</v>
      </c>
      <c r="BK9" s="1">
        <v>17</v>
      </c>
      <c r="BL9" s="1">
        <v>17</v>
      </c>
      <c r="BM9" s="1">
        <v>17</v>
      </c>
    </row>
    <row r="10" spans="1:68" x14ac:dyDescent="0.2">
      <c r="A10" s="1" t="s">
        <v>133</v>
      </c>
      <c r="B10" s="1" t="s">
        <v>142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19"/>
      <c r="N10" s="20"/>
      <c r="O10" s="9"/>
      <c r="P10" s="9">
        <f>139/8760</f>
        <v>1.5867579908675798E-2</v>
      </c>
      <c r="Q10" s="20">
        <v>326</v>
      </c>
      <c r="R10" s="19">
        <v>20500</v>
      </c>
      <c r="S10" s="9"/>
      <c r="T10" s="19"/>
      <c r="AB10" s="1">
        <v>1</v>
      </c>
      <c r="AC10" s="1">
        <v>4</v>
      </c>
      <c r="AF10" s="1" t="s">
        <v>460</v>
      </c>
      <c r="AG10" s="1">
        <f>7</f>
        <v>7</v>
      </c>
      <c r="AH10" s="1">
        <f>Tabelle58971117[[#This Row],[max. Abrufhäufigkeit pro Woche]]*52.1428571428571</f>
        <v>365</v>
      </c>
      <c r="AJ10" s="8"/>
      <c r="AK10" s="8"/>
      <c r="AM10" s="8"/>
      <c r="AN10" s="8"/>
      <c r="AO10" s="8"/>
      <c r="AP10" s="8"/>
      <c r="AQ10" s="8"/>
      <c r="AU10" s="1">
        <v>17</v>
      </c>
      <c r="AV10" s="1">
        <v>17</v>
      </c>
      <c r="AW10" s="13">
        <v>17</v>
      </c>
      <c r="AX10" s="13">
        <v>17</v>
      </c>
      <c r="AY10" s="13"/>
      <c r="AZ10" s="13"/>
      <c r="BA10" s="13">
        <v>16</v>
      </c>
      <c r="BB10" s="13">
        <v>16</v>
      </c>
      <c r="BC10" s="13">
        <v>16</v>
      </c>
      <c r="BD10" s="13"/>
      <c r="BE10" s="13"/>
      <c r="BG10" s="13">
        <v>16</v>
      </c>
      <c r="BI10" s="13">
        <v>16</v>
      </c>
      <c r="BJ10" s="1">
        <v>17</v>
      </c>
      <c r="BK10" s="1">
        <v>17</v>
      </c>
      <c r="BL10" s="1">
        <v>17</v>
      </c>
      <c r="BM10" s="1">
        <v>17</v>
      </c>
    </row>
    <row r="11" spans="1:68" x14ac:dyDescent="0.2">
      <c r="A11" s="1" t="s">
        <v>367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19"/>
      <c r="N11" s="20"/>
      <c r="O11" s="9"/>
      <c r="P11" s="9">
        <f>500/8760</f>
        <v>5.7077625570776253E-2</v>
      </c>
      <c r="Q11" s="20">
        <v>1644</v>
      </c>
      <c r="R11" s="19">
        <v>7400</v>
      </c>
      <c r="S11" s="9"/>
      <c r="T11" s="19"/>
      <c r="AD11" s="1">
        <v>0.25</v>
      </c>
      <c r="AF11" s="1" t="s">
        <v>462</v>
      </c>
      <c r="AG11" s="1">
        <f>7</f>
        <v>7</v>
      </c>
      <c r="AH11" s="1">
        <f>Tabelle58971117[[#This Row],[max. Abrufhäufigkeit pro Woche]]*52.1428571428571</f>
        <v>365</v>
      </c>
      <c r="AJ11" s="8"/>
      <c r="AK11" s="8"/>
      <c r="AM11" s="8"/>
      <c r="AN11" s="8"/>
      <c r="AO11" s="8"/>
      <c r="AP11" s="8"/>
      <c r="AQ11" s="8"/>
      <c r="AU11" s="1">
        <v>18</v>
      </c>
      <c r="AV11" s="1">
        <v>18</v>
      </c>
      <c r="AW11" s="13">
        <v>18</v>
      </c>
      <c r="AX11" s="13">
        <v>18</v>
      </c>
      <c r="AY11" s="13"/>
      <c r="AZ11" s="13"/>
      <c r="BA11" s="13">
        <v>18</v>
      </c>
      <c r="BB11" s="13">
        <v>18</v>
      </c>
      <c r="BC11" s="13">
        <v>18</v>
      </c>
      <c r="BD11" s="13"/>
      <c r="BE11" s="13"/>
      <c r="BG11" s="13">
        <v>18</v>
      </c>
      <c r="BI11" s="13">
        <v>18</v>
      </c>
      <c r="BJ11" s="1">
        <v>19</v>
      </c>
      <c r="BK11" s="1">
        <v>19</v>
      </c>
      <c r="BL11" s="1">
        <v>19</v>
      </c>
      <c r="BM11" s="1">
        <v>19</v>
      </c>
    </row>
    <row r="12" spans="1:68" x14ac:dyDescent="0.2">
      <c r="A12" s="1" t="s">
        <v>367</v>
      </c>
      <c r="B12" s="1" t="s">
        <v>142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19"/>
      <c r="N12" s="20"/>
      <c r="O12" s="9"/>
      <c r="P12" s="9">
        <f>500/8760</f>
        <v>5.7077625570776253E-2</v>
      </c>
      <c r="Q12" s="20">
        <v>3370</v>
      </c>
      <c r="R12" s="19">
        <v>14760</v>
      </c>
      <c r="S12" s="9"/>
      <c r="T12" s="19"/>
      <c r="AD12" s="1">
        <v>0.25</v>
      </c>
      <c r="AF12" s="1" t="s">
        <v>462</v>
      </c>
      <c r="AG12" s="1">
        <f>7</f>
        <v>7</v>
      </c>
      <c r="AH12" s="1">
        <f>Tabelle58971117[[#This Row],[max. Abrufhäufigkeit pro Woche]]*52.1428571428571</f>
        <v>365</v>
      </c>
      <c r="AJ12" s="8">
        <f>30*Umrechnungsfaktoren!$B$15/Umrechnungsfaktoren!$B$10</f>
        <v>31.614213197969544</v>
      </c>
      <c r="AK12" s="8">
        <f>130*Umrechnungsfaktoren!$B$15/Umrechnungsfaktoren!$B$10</f>
        <v>136.99492385786803</v>
      </c>
      <c r="AM12" s="8">
        <f>0*Umrechnungsfaktoren!$B$15/Umrechnungsfaktoren!$B$10</f>
        <v>0</v>
      </c>
      <c r="AN12" s="8">
        <f>0*Umrechnungsfaktoren!$B$15/Umrechnungsfaktoren!$B$10</f>
        <v>0</v>
      </c>
      <c r="AO12" s="8">
        <f>0*Umrechnungsfaktoren!$B$15/Umrechnungsfaktoren!$B$10</f>
        <v>0</v>
      </c>
      <c r="AP12" s="8">
        <f>2*Umrechnungsfaktoren!$B$15/Umrechnungsfaktoren!$B$10</f>
        <v>2.1076142131979694</v>
      </c>
      <c r="AQ12" s="8">
        <f>9*Umrechnungsfaktoren!$B$15/Umrechnungsfaktoren!$B$10</f>
        <v>9.484263959390864</v>
      </c>
      <c r="AR12" s="1">
        <f>AVERAGE(Tabelle58971117[[#This Row],[fixe Kosten min. €_2018/kW*a]:[fixe Kosten max. €_2018/kW*a]])</f>
        <v>5.7959390862944167</v>
      </c>
      <c r="AU12" s="1">
        <v>18</v>
      </c>
      <c r="AV12" s="1">
        <v>18</v>
      </c>
      <c r="AW12" s="13">
        <v>18</v>
      </c>
      <c r="AX12" s="13">
        <v>18</v>
      </c>
      <c r="AY12" s="13"/>
      <c r="AZ12" s="13"/>
      <c r="BA12" s="13">
        <v>18</v>
      </c>
      <c r="BB12" s="13">
        <v>18</v>
      </c>
      <c r="BC12" s="13">
        <v>18</v>
      </c>
      <c r="BD12" s="13"/>
      <c r="BE12" s="13"/>
      <c r="BG12" s="13">
        <v>18</v>
      </c>
      <c r="BI12" s="13">
        <v>18</v>
      </c>
      <c r="BJ12" s="1">
        <v>19</v>
      </c>
      <c r="BK12" s="1">
        <v>19</v>
      </c>
      <c r="BL12" s="1">
        <v>19</v>
      </c>
      <c r="BM12" s="1">
        <v>19</v>
      </c>
    </row>
    <row r="13" spans="1:68" x14ac:dyDescent="0.2">
      <c r="A13" s="1" t="s">
        <v>367</v>
      </c>
      <c r="B13" s="1" t="s">
        <v>142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19"/>
      <c r="N13" s="20"/>
      <c r="O13" s="9"/>
      <c r="P13" s="9">
        <f>500/8760</f>
        <v>5.7077625570776253E-2</v>
      </c>
      <c r="Q13" s="20">
        <v>8425</v>
      </c>
      <c r="R13" s="19">
        <v>36900</v>
      </c>
      <c r="S13" s="9"/>
      <c r="T13" s="19"/>
      <c r="AD13" s="1">
        <v>0.25</v>
      </c>
      <c r="AF13" s="1" t="s">
        <v>462</v>
      </c>
      <c r="AG13" s="1">
        <f>7</f>
        <v>7</v>
      </c>
      <c r="AH13" s="1">
        <f>Tabelle58971117[[#This Row],[max. Abrufhäufigkeit pro Woche]]*52.1428571428571</f>
        <v>365</v>
      </c>
      <c r="AJ13" s="8"/>
      <c r="AK13" s="8"/>
      <c r="AM13" s="8"/>
      <c r="AN13" s="8"/>
      <c r="AO13" s="8"/>
      <c r="AP13" s="8"/>
      <c r="AQ13" s="8"/>
      <c r="AU13" s="1">
        <v>18</v>
      </c>
      <c r="AV13" s="1">
        <v>18</v>
      </c>
      <c r="AW13" s="13">
        <v>18</v>
      </c>
      <c r="AX13" s="13">
        <v>18</v>
      </c>
      <c r="AY13" s="13"/>
      <c r="AZ13" s="13"/>
      <c r="BA13" s="13">
        <v>18</v>
      </c>
      <c r="BB13" s="13">
        <v>18</v>
      </c>
      <c r="BC13" s="13">
        <v>18</v>
      </c>
      <c r="BD13" s="13"/>
      <c r="BE13" s="13"/>
      <c r="BG13" s="13">
        <v>18</v>
      </c>
      <c r="BI13" s="13">
        <v>18</v>
      </c>
      <c r="BJ13" s="1">
        <v>19</v>
      </c>
      <c r="BK13" s="1">
        <v>19</v>
      </c>
      <c r="BL13" s="1">
        <v>19</v>
      </c>
      <c r="BM13" s="1">
        <v>19</v>
      </c>
    </row>
    <row r="14" spans="1:68" x14ac:dyDescent="0.2">
      <c r="A14" s="1" t="s">
        <v>153</v>
      </c>
      <c r="B14" s="1" t="s">
        <v>142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19"/>
      <c r="N14" s="20"/>
      <c r="O14" s="9"/>
      <c r="P14" s="9">
        <f>5400/8760</f>
        <v>0.61643835616438358</v>
      </c>
      <c r="Q14" s="20">
        <v>2250</v>
      </c>
      <c r="R14" s="19">
        <v>2500</v>
      </c>
      <c r="S14" s="9"/>
      <c r="T14" s="19"/>
      <c r="AD14" s="1">
        <v>0.25</v>
      </c>
      <c r="AF14" s="1" t="s">
        <v>465</v>
      </c>
      <c r="AG14" s="1">
        <f>7</f>
        <v>7</v>
      </c>
      <c r="AH14" s="68"/>
      <c r="AI14" s="1">
        <f>Tabelle58971117[[#This Row],[max. Abrufhäufigkeit pro Woche]]*52.1428571428571</f>
        <v>365</v>
      </c>
      <c r="AJ14" s="8"/>
      <c r="AK14" s="8"/>
      <c r="AM14" s="8"/>
      <c r="AN14" s="8"/>
      <c r="AO14" s="8"/>
      <c r="AP14" s="8"/>
      <c r="AQ14" s="8"/>
      <c r="AU14" s="1">
        <v>20</v>
      </c>
      <c r="AV14" s="1">
        <v>20</v>
      </c>
      <c r="AW14" s="1">
        <v>20</v>
      </c>
      <c r="AX14" s="1">
        <v>20</v>
      </c>
      <c r="AY14" s="13"/>
      <c r="AZ14" s="13"/>
      <c r="BA14" s="13">
        <v>19</v>
      </c>
      <c r="BB14" s="13">
        <v>19</v>
      </c>
      <c r="BC14" s="13">
        <v>19</v>
      </c>
      <c r="BD14" s="13"/>
      <c r="BE14" s="13"/>
      <c r="BG14" s="13">
        <v>19</v>
      </c>
      <c r="BI14" s="13">
        <v>19</v>
      </c>
      <c r="BJ14" s="1">
        <v>20</v>
      </c>
      <c r="BK14" s="1">
        <v>21</v>
      </c>
      <c r="BL14" s="1">
        <v>21</v>
      </c>
      <c r="BM14" s="1">
        <v>21</v>
      </c>
    </row>
    <row r="15" spans="1:68" x14ac:dyDescent="0.2">
      <c r="A15" s="1" t="s">
        <v>153</v>
      </c>
      <c r="B15" s="1" t="s">
        <v>142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19"/>
      <c r="N15" s="20"/>
      <c r="O15" s="9"/>
      <c r="P15" s="9">
        <f>6000/8760</f>
        <v>0.68493150684931503</v>
      </c>
      <c r="Q15" s="20">
        <v>2563</v>
      </c>
      <c r="R15" s="19">
        <v>2563</v>
      </c>
      <c r="S15" s="9"/>
      <c r="T15" s="19"/>
      <c r="AD15" s="1">
        <v>0.25</v>
      </c>
      <c r="AF15" s="1" t="s">
        <v>465</v>
      </c>
      <c r="AG15" s="1">
        <f>7</f>
        <v>7</v>
      </c>
      <c r="AH15" s="68"/>
      <c r="AI15" s="1">
        <f>Tabelle58971117[[#This Row],[max. Abrufhäufigkeit pro Woche]]*52.1428571428571</f>
        <v>365</v>
      </c>
      <c r="AJ15" s="8">
        <f>30*Umrechnungsfaktoren!$B$15/Umrechnungsfaktoren!$B$10</f>
        <v>31.614213197969544</v>
      </c>
      <c r="AK15" s="8">
        <f>130*Umrechnungsfaktoren!$B$15/Umrechnungsfaktoren!$B$10</f>
        <v>136.99492385786803</v>
      </c>
      <c r="AM15" s="8">
        <f>0*Umrechnungsfaktoren!$B$15/Umrechnungsfaktoren!$B$10</f>
        <v>0</v>
      </c>
      <c r="AN15" s="8">
        <f>0*Umrechnungsfaktoren!$B$15/Umrechnungsfaktoren!$B$10</f>
        <v>0</v>
      </c>
      <c r="AO15" s="8">
        <f>0*Umrechnungsfaktoren!$B$15/Umrechnungsfaktoren!$B$10</f>
        <v>0</v>
      </c>
      <c r="AP15" s="8">
        <f>2*Umrechnungsfaktoren!$B$15/Umrechnungsfaktoren!$B$10</f>
        <v>2.1076142131979694</v>
      </c>
      <c r="AQ15" s="8">
        <f>9*Umrechnungsfaktoren!$B$15/Umrechnungsfaktoren!$B$10</f>
        <v>9.484263959390864</v>
      </c>
      <c r="AR15" s="1">
        <f>AVERAGE(Tabelle58971117[[#This Row],[fixe Kosten min. €_2018/kW*a]:[fixe Kosten max. €_2018/kW*a]])</f>
        <v>5.7959390862944167</v>
      </c>
      <c r="AU15" s="1">
        <v>20</v>
      </c>
      <c r="AV15" s="1">
        <v>20</v>
      </c>
      <c r="AW15" s="1">
        <v>20</v>
      </c>
      <c r="AX15" s="1">
        <v>20</v>
      </c>
      <c r="AY15" s="13"/>
      <c r="AZ15" s="13"/>
      <c r="BA15" s="13">
        <v>19</v>
      </c>
      <c r="BB15" s="13">
        <v>19</v>
      </c>
      <c r="BC15" s="13">
        <v>19</v>
      </c>
      <c r="BD15" s="13"/>
      <c r="BE15" s="13"/>
      <c r="BG15" s="13">
        <v>19</v>
      </c>
      <c r="BI15" s="13">
        <v>19</v>
      </c>
      <c r="BJ15" s="1">
        <v>20</v>
      </c>
      <c r="BK15" s="1">
        <v>21</v>
      </c>
      <c r="BL15" s="1">
        <v>21</v>
      </c>
      <c r="BM15" s="1">
        <v>21</v>
      </c>
    </row>
    <row r="16" spans="1:68" x14ac:dyDescent="0.2">
      <c r="A16" s="1" t="s">
        <v>153</v>
      </c>
      <c r="B16" s="1" t="s">
        <v>142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19"/>
      <c r="N16" s="20"/>
      <c r="O16" s="9"/>
      <c r="P16" s="9">
        <f>6000/8760</f>
        <v>0.68493150684931503</v>
      </c>
      <c r="Q16" s="20">
        <v>1281</v>
      </c>
      <c r="R16" s="19">
        <v>1281</v>
      </c>
      <c r="S16" s="9"/>
      <c r="T16" s="19"/>
      <c r="AD16" s="1">
        <v>0.25</v>
      </c>
      <c r="AF16" s="1" t="s">
        <v>465</v>
      </c>
      <c r="AG16" s="1">
        <f>7</f>
        <v>7</v>
      </c>
      <c r="AH16" s="68"/>
      <c r="AI16" s="1">
        <f>Tabelle58971117[[#This Row],[max. Abrufhäufigkeit pro Woche]]*52.1428571428571</f>
        <v>365</v>
      </c>
      <c r="AJ16" s="8"/>
      <c r="AK16" s="8"/>
      <c r="AM16" s="8"/>
      <c r="AN16" s="8"/>
      <c r="AO16" s="8"/>
      <c r="AP16" s="8"/>
      <c r="AQ16" s="8"/>
      <c r="AU16" s="1">
        <v>20</v>
      </c>
      <c r="AV16" s="1">
        <v>20</v>
      </c>
      <c r="AW16" s="1">
        <v>20</v>
      </c>
      <c r="AX16" s="1">
        <v>20</v>
      </c>
      <c r="AY16" s="13"/>
      <c r="AZ16" s="13"/>
      <c r="BA16" s="13">
        <v>19</v>
      </c>
      <c r="BB16" s="13">
        <v>19</v>
      </c>
      <c r="BC16" s="13">
        <v>19</v>
      </c>
      <c r="BD16" s="13"/>
      <c r="BE16" s="13"/>
      <c r="BG16" s="13">
        <v>19</v>
      </c>
      <c r="BI16" s="13">
        <v>19</v>
      </c>
      <c r="BJ16" s="1">
        <v>20</v>
      </c>
      <c r="BK16" s="1">
        <v>21</v>
      </c>
      <c r="BL16" s="1">
        <v>21</v>
      </c>
      <c r="BM16" s="1">
        <v>21</v>
      </c>
    </row>
    <row r="17" spans="1:65" x14ac:dyDescent="0.2">
      <c r="A17" s="1" t="s">
        <v>138</v>
      </c>
      <c r="B17" s="1" t="s">
        <v>142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19"/>
      <c r="N17" s="20"/>
      <c r="O17" s="9"/>
      <c r="P17" s="9">
        <f>353/8760</f>
        <v>4.029680365296804E-2</v>
      </c>
      <c r="Q17" s="20">
        <v>5510</v>
      </c>
      <c r="R17" s="19">
        <v>45600</v>
      </c>
      <c r="S17" s="9"/>
      <c r="T17" s="19"/>
      <c r="AB17" s="1">
        <v>1</v>
      </c>
      <c r="AC17" s="1">
        <v>24</v>
      </c>
      <c r="AF17" s="1" t="s">
        <v>463</v>
      </c>
      <c r="AG17" s="1">
        <f>7</f>
        <v>7</v>
      </c>
      <c r="AH17" s="1">
        <f>Tabelle58971117[[#This Row],[max. Abrufhäufigkeit pro Woche]]*52.1428571428571</f>
        <v>365</v>
      </c>
      <c r="AJ17" s="8"/>
      <c r="AK17" s="8"/>
      <c r="AM17" s="8"/>
      <c r="AN17" s="8"/>
      <c r="AO17" s="8"/>
      <c r="AP17" s="8"/>
      <c r="AQ17" s="8"/>
      <c r="AU17" s="1">
        <v>22</v>
      </c>
      <c r="AV17" s="1">
        <v>22</v>
      </c>
      <c r="AW17" s="1">
        <v>22</v>
      </c>
      <c r="AX17" s="1">
        <v>22</v>
      </c>
      <c r="AY17" s="13"/>
      <c r="AZ17" s="13"/>
      <c r="BA17" s="1">
        <v>22</v>
      </c>
      <c r="BB17" s="1">
        <v>22</v>
      </c>
      <c r="BC17" s="1">
        <v>22</v>
      </c>
      <c r="BD17" s="13"/>
      <c r="BE17" s="13"/>
      <c r="BG17" s="1">
        <v>21</v>
      </c>
      <c r="BI17" s="1">
        <v>21</v>
      </c>
      <c r="BJ17" s="1">
        <v>22</v>
      </c>
      <c r="BK17" s="1" t="s">
        <v>464</v>
      </c>
      <c r="BL17" s="1" t="s">
        <v>464</v>
      </c>
      <c r="BM17" s="1" t="s">
        <v>464</v>
      </c>
    </row>
    <row r="18" spans="1:65" x14ac:dyDescent="0.2">
      <c r="A18" s="1" t="s">
        <v>138</v>
      </c>
      <c r="B18" s="1" t="s">
        <v>142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19"/>
      <c r="N18" s="20"/>
      <c r="O18" s="9"/>
      <c r="P18" s="9">
        <f>353/8760</f>
        <v>4.029680365296804E-2</v>
      </c>
      <c r="Q18" s="20">
        <v>5648</v>
      </c>
      <c r="R18" s="19">
        <v>46740</v>
      </c>
      <c r="S18" s="9"/>
      <c r="T18" s="19"/>
      <c r="AB18" s="1">
        <v>1</v>
      </c>
      <c r="AC18" s="1">
        <v>24</v>
      </c>
      <c r="AF18" s="1" t="s">
        <v>463</v>
      </c>
      <c r="AG18" s="1">
        <f>7</f>
        <v>7</v>
      </c>
      <c r="AH18" s="1">
        <f>Tabelle58971117[[#This Row],[max. Abrufhäufigkeit pro Woche]]*52.1428571428571</f>
        <v>365</v>
      </c>
      <c r="AJ18" s="8">
        <f>30*Umrechnungsfaktoren!$B$15/Umrechnungsfaktoren!$B$10</f>
        <v>31.614213197969544</v>
      </c>
      <c r="AK18" s="8">
        <f>130*Umrechnungsfaktoren!$B$15/Umrechnungsfaktoren!$B$10</f>
        <v>136.99492385786803</v>
      </c>
      <c r="AM18" s="8">
        <f>0*Umrechnungsfaktoren!$B$15/Umrechnungsfaktoren!$B$10</f>
        <v>0</v>
      </c>
      <c r="AN18" s="8">
        <f>0*Umrechnungsfaktoren!$B$15/Umrechnungsfaktoren!$B$10</f>
        <v>0</v>
      </c>
      <c r="AO18" s="8">
        <f>0*Umrechnungsfaktoren!$B$15/Umrechnungsfaktoren!$B$10</f>
        <v>0</v>
      </c>
      <c r="AP18" s="8">
        <f>2*Umrechnungsfaktoren!$B$15/Umrechnungsfaktoren!$B$10</f>
        <v>2.1076142131979694</v>
      </c>
      <c r="AQ18" s="8">
        <f>9*Umrechnungsfaktoren!$B$15/Umrechnungsfaktoren!$B$10</f>
        <v>9.484263959390864</v>
      </c>
      <c r="AR18" s="1">
        <f>AVERAGE(Tabelle58971117[[#This Row],[fixe Kosten min. €_2018/kW*a]:[fixe Kosten max. €_2018/kW*a]])</f>
        <v>5.7959390862944167</v>
      </c>
      <c r="AU18" s="1">
        <v>22</v>
      </c>
      <c r="AV18" s="1">
        <v>22</v>
      </c>
      <c r="AW18" s="1">
        <v>22</v>
      </c>
      <c r="AX18" s="1">
        <v>22</v>
      </c>
      <c r="AY18" s="13"/>
      <c r="AZ18" s="13"/>
      <c r="BA18" s="1">
        <v>22</v>
      </c>
      <c r="BB18" s="1">
        <v>22</v>
      </c>
      <c r="BC18" s="1">
        <v>22</v>
      </c>
      <c r="BD18" s="13"/>
      <c r="BE18" s="13"/>
      <c r="BG18" s="1">
        <v>21</v>
      </c>
      <c r="BI18" s="1">
        <v>21</v>
      </c>
      <c r="BJ18" s="1">
        <v>22</v>
      </c>
      <c r="BK18" s="1" t="s">
        <v>464</v>
      </c>
      <c r="BL18" s="1" t="s">
        <v>464</v>
      </c>
      <c r="BM18" s="1" t="s">
        <v>464</v>
      </c>
    </row>
    <row r="19" spans="1:65" x14ac:dyDescent="0.2">
      <c r="A19" s="1" t="s">
        <v>138</v>
      </c>
      <c r="B19" s="1" t="s">
        <v>142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19"/>
      <c r="N19" s="20"/>
      <c r="O19" s="9"/>
      <c r="P19" s="9">
        <f>353/8760</f>
        <v>4.029680365296804E-2</v>
      </c>
      <c r="Q19" s="20">
        <v>5648</v>
      </c>
      <c r="R19" s="19">
        <v>46740</v>
      </c>
      <c r="S19" s="9"/>
      <c r="T19" s="19"/>
      <c r="AB19" s="1">
        <v>1</v>
      </c>
      <c r="AC19" s="1">
        <v>24</v>
      </c>
      <c r="AF19" s="1" t="s">
        <v>463</v>
      </c>
      <c r="AG19" s="1">
        <f>7</f>
        <v>7</v>
      </c>
      <c r="AH19" s="1">
        <f>Tabelle58971117[[#This Row],[max. Abrufhäufigkeit pro Woche]]*52.1428571428571</f>
        <v>365</v>
      </c>
      <c r="AJ19" s="8"/>
      <c r="AK19" s="8"/>
      <c r="AM19" s="8"/>
      <c r="AN19" s="8"/>
      <c r="AO19" s="8"/>
      <c r="AP19" s="8"/>
      <c r="AQ19" s="8"/>
      <c r="AU19" s="1">
        <v>22</v>
      </c>
      <c r="AV19" s="1">
        <v>22</v>
      </c>
      <c r="AW19" s="1">
        <v>22</v>
      </c>
      <c r="AX19" s="1">
        <v>22</v>
      </c>
      <c r="AY19" s="13"/>
      <c r="AZ19" s="13"/>
      <c r="BA19" s="1">
        <v>22</v>
      </c>
      <c r="BB19" s="1">
        <v>22</v>
      </c>
      <c r="BC19" s="1">
        <v>22</v>
      </c>
      <c r="BD19" s="13"/>
      <c r="BE19" s="13"/>
      <c r="BG19" s="1">
        <v>21</v>
      </c>
      <c r="BI19" s="1">
        <v>21</v>
      </c>
      <c r="BJ19" s="1">
        <v>22</v>
      </c>
      <c r="BK19" s="1" t="s">
        <v>464</v>
      </c>
      <c r="BL19" s="1" t="s">
        <v>464</v>
      </c>
      <c r="BM19" s="1" t="s">
        <v>464</v>
      </c>
    </row>
    <row r="20" spans="1:65" x14ac:dyDescent="0.2">
      <c r="A20" s="1" t="s">
        <v>214</v>
      </c>
      <c r="B20" s="1" t="s">
        <v>130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19"/>
      <c r="N20" s="20"/>
      <c r="O20" s="9"/>
      <c r="P20" s="9">
        <f>421/8760</f>
        <v>4.8059360730593609E-2</v>
      </c>
      <c r="Q20" s="20">
        <v>868</v>
      </c>
      <c r="R20" s="19">
        <v>2700</v>
      </c>
      <c r="S20" s="9"/>
      <c r="T20" s="19"/>
      <c r="AD20" s="1">
        <v>0.25</v>
      </c>
      <c r="AF20" s="1" t="s">
        <v>462</v>
      </c>
      <c r="AJ20" s="8"/>
      <c r="AK20" s="8"/>
      <c r="AM20" s="8"/>
      <c r="AN20" s="8"/>
      <c r="AO20" s="8"/>
      <c r="AP20" s="8"/>
      <c r="AQ20" s="8"/>
      <c r="AU20" s="1">
        <v>31</v>
      </c>
      <c r="AV20" s="1">
        <v>31</v>
      </c>
      <c r="AW20" s="1">
        <v>31</v>
      </c>
      <c r="AX20" s="1">
        <v>31</v>
      </c>
      <c r="AY20" s="13"/>
      <c r="AZ20" s="13"/>
      <c r="BA20" s="1">
        <v>31</v>
      </c>
      <c r="BB20" s="1">
        <v>31</v>
      </c>
      <c r="BC20" s="1">
        <v>31</v>
      </c>
      <c r="BD20" s="13"/>
      <c r="BE20" s="13"/>
      <c r="BG20" s="1">
        <v>31</v>
      </c>
      <c r="BI20" s="1">
        <v>31</v>
      </c>
      <c r="BK20" s="1">
        <v>32</v>
      </c>
      <c r="BL20" s="1">
        <v>32</v>
      </c>
      <c r="BM20" s="1">
        <v>32</v>
      </c>
    </row>
    <row r="21" spans="1:65" x14ac:dyDescent="0.2">
      <c r="A21" s="1" t="s">
        <v>214</v>
      </c>
      <c r="B21" s="1" t="s">
        <v>130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19"/>
      <c r="N21" s="20"/>
      <c r="O21" s="9"/>
      <c r="P21" s="9">
        <f>421/8760</f>
        <v>4.8059360730593609E-2</v>
      </c>
      <c r="Q21" s="20">
        <v>1370</v>
      </c>
      <c r="R21" s="19">
        <v>5000</v>
      </c>
      <c r="S21" s="9"/>
      <c r="T21" s="19"/>
      <c r="AD21" s="1">
        <v>0.25</v>
      </c>
      <c r="AF21" s="1" t="s">
        <v>462</v>
      </c>
      <c r="AJ21" s="8"/>
      <c r="AK21" s="8"/>
      <c r="AM21" s="8"/>
      <c r="AN21" s="8"/>
      <c r="AO21" s="8"/>
      <c r="AP21" s="8"/>
      <c r="AQ21" s="8"/>
      <c r="AU21" s="1">
        <v>31</v>
      </c>
      <c r="AV21" s="1">
        <v>31</v>
      </c>
      <c r="AW21" s="1">
        <v>31</v>
      </c>
      <c r="AX21" s="1">
        <v>31</v>
      </c>
      <c r="AY21" s="13"/>
      <c r="AZ21" s="13"/>
      <c r="BA21" s="1">
        <v>31</v>
      </c>
      <c r="BB21" s="1">
        <v>31</v>
      </c>
      <c r="BC21" s="1">
        <v>31</v>
      </c>
      <c r="BD21" s="13"/>
      <c r="BE21" s="13"/>
      <c r="BG21" s="1">
        <v>31</v>
      </c>
      <c r="BI21" s="1">
        <v>31</v>
      </c>
      <c r="BK21" s="1">
        <v>32</v>
      </c>
      <c r="BL21" s="1">
        <v>32</v>
      </c>
      <c r="BM21" s="1">
        <v>32</v>
      </c>
    </row>
    <row r="22" spans="1:65" x14ac:dyDescent="0.2">
      <c r="A22" s="1" t="s">
        <v>214</v>
      </c>
      <c r="B22" s="1" t="s">
        <v>130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19"/>
      <c r="N22" s="20"/>
      <c r="O22" s="9"/>
      <c r="P22" s="9">
        <f>421/8760</f>
        <v>4.8059360730593609E-2</v>
      </c>
      <c r="Q22" s="20">
        <v>1735</v>
      </c>
      <c r="R22" s="19">
        <v>5400</v>
      </c>
      <c r="S22" s="9"/>
      <c r="T22" s="19"/>
      <c r="AD22" s="1">
        <v>0.25</v>
      </c>
      <c r="AF22" s="1" t="s">
        <v>462</v>
      </c>
      <c r="AJ22" s="8"/>
      <c r="AK22" s="8"/>
      <c r="AL22" s="8">
        <f>25*Umrechnungsfaktoren!$B$15/Umrechnungsfaktoren!$B$10</f>
        <v>26.345177664974621</v>
      </c>
      <c r="AM22" s="8"/>
      <c r="AN22" s="8"/>
      <c r="AO22" s="8">
        <f>0*Umrechnungsfaktoren!$B$15/Umrechnungsfaktoren!$B$10</f>
        <v>0</v>
      </c>
      <c r="AP22" s="8"/>
      <c r="AQ22" s="8"/>
      <c r="AR22" s="8">
        <f>10*Umrechnungsfaktoren!$B$15/Umrechnungsfaktoren!$B$10</f>
        <v>10.538071065989849</v>
      </c>
      <c r="AU22" s="1">
        <v>31</v>
      </c>
      <c r="AV22" s="1">
        <v>31</v>
      </c>
      <c r="AW22" s="1">
        <v>31</v>
      </c>
      <c r="AX22" s="1">
        <v>31</v>
      </c>
      <c r="AY22" s="13"/>
      <c r="AZ22" s="13"/>
      <c r="BA22" s="1">
        <v>31</v>
      </c>
      <c r="BB22" s="1">
        <v>31</v>
      </c>
      <c r="BC22" s="1">
        <v>31</v>
      </c>
      <c r="BD22" s="13"/>
      <c r="BE22" s="13"/>
      <c r="BG22" s="1">
        <v>31</v>
      </c>
      <c r="BI22" s="1">
        <v>31</v>
      </c>
      <c r="BK22" s="1">
        <v>32</v>
      </c>
      <c r="BL22" s="1">
        <v>32</v>
      </c>
      <c r="BM22" s="1">
        <v>32</v>
      </c>
    </row>
    <row r="23" spans="1:65" x14ac:dyDescent="0.2">
      <c r="A23" s="1" t="s">
        <v>1088</v>
      </c>
      <c r="B23" s="1" t="s">
        <v>130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19"/>
      <c r="N23" s="20"/>
      <c r="O23" s="9"/>
      <c r="P23" s="9">
        <f>1130/8760</f>
        <v>0.12899543378995434</v>
      </c>
      <c r="Q23" s="20">
        <v>3002</v>
      </c>
      <c r="R23" s="19">
        <v>23274</v>
      </c>
      <c r="S23" s="9"/>
      <c r="T23" s="19"/>
      <c r="AD23" s="1">
        <v>0.25</v>
      </c>
      <c r="AF23" s="1" t="s">
        <v>460</v>
      </c>
      <c r="AJ23" s="8"/>
      <c r="AK23" s="8"/>
      <c r="AM23" s="8"/>
      <c r="AN23" s="8"/>
      <c r="AO23" s="8"/>
      <c r="AP23" s="8"/>
      <c r="AQ23" s="8"/>
      <c r="AU23" s="1">
        <v>33</v>
      </c>
      <c r="AV23" s="1">
        <v>33</v>
      </c>
      <c r="AW23" s="1">
        <v>33</v>
      </c>
      <c r="AX23" s="1">
        <v>33</v>
      </c>
      <c r="AY23" s="13"/>
      <c r="AZ23" s="13"/>
      <c r="BA23" s="1">
        <v>32</v>
      </c>
      <c r="BB23" s="1">
        <v>32</v>
      </c>
      <c r="BC23" s="1">
        <v>32</v>
      </c>
      <c r="BD23" s="13"/>
      <c r="BE23" s="13"/>
      <c r="BG23" s="1">
        <v>32</v>
      </c>
      <c r="BI23" s="1">
        <v>32</v>
      </c>
      <c r="BK23" s="1">
        <v>33</v>
      </c>
      <c r="BL23" s="1">
        <v>33</v>
      </c>
      <c r="BM23" s="1">
        <v>33</v>
      </c>
    </row>
    <row r="24" spans="1:65" x14ac:dyDescent="0.2">
      <c r="A24" s="1" t="s">
        <v>1088</v>
      </c>
      <c r="B24" s="1" t="s">
        <v>130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19"/>
      <c r="N24" s="20"/>
      <c r="O24" s="9"/>
      <c r="P24" s="9">
        <f>1130/8760</f>
        <v>0.12899543378995434</v>
      </c>
      <c r="Q24" s="20">
        <v>2950</v>
      </c>
      <c r="R24" s="19">
        <v>22867</v>
      </c>
      <c r="S24" s="9"/>
      <c r="T24" s="19"/>
      <c r="AD24" s="1">
        <v>0.25</v>
      </c>
      <c r="AF24" s="1" t="s">
        <v>460</v>
      </c>
      <c r="AJ24" s="8"/>
      <c r="AK24" s="8"/>
      <c r="AM24" s="8"/>
      <c r="AN24" s="8"/>
      <c r="AO24" s="8"/>
      <c r="AP24" s="8"/>
      <c r="AQ24" s="8"/>
      <c r="AU24" s="1">
        <v>33</v>
      </c>
      <c r="AV24" s="1">
        <v>33</v>
      </c>
      <c r="AW24" s="1">
        <v>33</v>
      </c>
      <c r="AX24" s="1">
        <v>33</v>
      </c>
      <c r="AY24" s="13"/>
      <c r="AZ24" s="13"/>
      <c r="BA24" s="1">
        <v>32</v>
      </c>
      <c r="BB24" s="1">
        <v>32</v>
      </c>
      <c r="BC24" s="1">
        <v>32</v>
      </c>
      <c r="BD24" s="13"/>
      <c r="BE24" s="13"/>
      <c r="BG24" s="1">
        <v>32</v>
      </c>
      <c r="BI24" s="1">
        <v>32</v>
      </c>
      <c r="BK24" s="1">
        <v>33</v>
      </c>
      <c r="BL24" s="1">
        <v>33</v>
      </c>
      <c r="BM24" s="1">
        <v>33</v>
      </c>
    </row>
    <row r="25" spans="1:65" x14ac:dyDescent="0.2">
      <c r="A25" s="1" t="s">
        <v>1088</v>
      </c>
      <c r="B25" s="1" t="s">
        <v>130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19"/>
      <c r="N25" s="20"/>
      <c r="O25" s="9"/>
      <c r="P25" s="9">
        <f>1130/8760</f>
        <v>0.12899543378995434</v>
      </c>
      <c r="Q25" s="20">
        <v>2847</v>
      </c>
      <c r="R25" s="19">
        <v>22067</v>
      </c>
      <c r="S25" s="9"/>
      <c r="T25" s="19"/>
      <c r="AD25" s="1">
        <v>0.25</v>
      </c>
      <c r="AF25" s="1" t="s">
        <v>460</v>
      </c>
      <c r="AJ25" s="8"/>
      <c r="AK25" s="8"/>
      <c r="AL25" s="8">
        <f>25*Umrechnungsfaktoren!$B$15/Umrechnungsfaktoren!$B$10</f>
        <v>26.345177664974621</v>
      </c>
      <c r="AM25" s="8"/>
      <c r="AN25" s="8"/>
      <c r="AO25" s="8">
        <f>0*Umrechnungsfaktoren!$B$15/Umrechnungsfaktoren!$B$10</f>
        <v>0</v>
      </c>
      <c r="AP25" s="8"/>
      <c r="AQ25" s="8"/>
      <c r="AR25" s="8">
        <f>10*Umrechnungsfaktoren!$B$15/Umrechnungsfaktoren!$B$10</f>
        <v>10.538071065989849</v>
      </c>
      <c r="AU25" s="1">
        <v>33</v>
      </c>
      <c r="AV25" s="1">
        <v>33</v>
      </c>
      <c r="AW25" s="1">
        <v>33</v>
      </c>
      <c r="AX25" s="1">
        <v>33</v>
      </c>
      <c r="AY25" s="13"/>
      <c r="AZ25" s="13"/>
      <c r="BA25" s="1">
        <v>32</v>
      </c>
      <c r="BB25" s="1">
        <v>32</v>
      </c>
      <c r="BC25" s="1">
        <v>32</v>
      </c>
      <c r="BD25" s="13"/>
      <c r="BE25" s="13"/>
      <c r="BG25" s="1">
        <v>32</v>
      </c>
      <c r="BI25" s="1">
        <v>32</v>
      </c>
      <c r="BK25" s="1">
        <v>33</v>
      </c>
      <c r="BL25" s="1">
        <v>33</v>
      </c>
      <c r="BM25" s="1">
        <v>33</v>
      </c>
    </row>
    <row r="26" spans="1:65" x14ac:dyDescent="0.2">
      <c r="A26" s="1" t="s">
        <v>211</v>
      </c>
      <c r="B26" s="1" t="s">
        <v>130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19"/>
      <c r="N26" s="20"/>
      <c r="O26" s="9"/>
      <c r="P26" s="9">
        <f>5840/8760</f>
        <v>0.66666666666666663</v>
      </c>
      <c r="Q26" s="20">
        <v>913</v>
      </c>
      <c r="R26" s="19">
        <v>1370</v>
      </c>
      <c r="S26" s="9"/>
      <c r="T26" s="19"/>
      <c r="AD26" s="1">
        <v>0.25</v>
      </c>
      <c r="AF26" s="1" t="s">
        <v>466</v>
      </c>
      <c r="AJ26" s="8"/>
      <c r="AK26" s="8"/>
      <c r="AM26" s="8"/>
      <c r="AN26" s="8"/>
      <c r="AO26" s="8"/>
      <c r="AP26" s="8"/>
      <c r="AQ26" s="8"/>
      <c r="AU26" s="1">
        <v>34</v>
      </c>
      <c r="AV26" s="1">
        <v>34</v>
      </c>
      <c r="AW26" s="1">
        <v>34</v>
      </c>
      <c r="AX26" s="1">
        <v>34</v>
      </c>
      <c r="AY26" s="13"/>
      <c r="AZ26" s="13"/>
      <c r="BA26" s="1">
        <v>34</v>
      </c>
      <c r="BB26" s="1">
        <v>34</v>
      </c>
      <c r="BC26" s="1">
        <v>34</v>
      </c>
      <c r="BD26" s="13"/>
      <c r="BE26" s="13"/>
      <c r="BG26" s="1">
        <v>34</v>
      </c>
      <c r="BI26" s="1">
        <v>33</v>
      </c>
      <c r="BK26" s="1">
        <v>34</v>
      </c>
      <c r="BL26" s="1">
        <v>34</v>
      </c>
      <c r="BM26" s="1">
        <v>34</v>
      </c>
    </row>
    <row r="27" spans="1:65" x14ac:dyDescent="0.2">
      <c r="A27" s="1" t="s">
        <v>211</v>
      </c>
      <c r="B27" s="1" t="s">
        <v>130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19"/>
      <c r="N27" s="20"/>
      <c r="O27" s="9"/>
      <c r="P27" s="9">
        <f>5840/8760</f>
        <v>0.66666666666666663</v>
      </c>
      <c r="Q27" s="20">
        <v>913</v>
      </c>
      <c r="R27" s="19">
        <v>1370</v>
      </c>
      <c r="S27" s="9"/>
      <c r="T27" s="19"/>
      <c r="AD27" s="1">
        <v>0.25</v>
      </c>
      <c r="AF27" s="1" t="s">
        <v>466</v>
      </c>
      <c r="AJ27" s="8"/>
      <c r="AK27" s="8"/>
      <c r="AM27" s="8"/>
      <c r="AN27" s="8"/>
      <c r="AO27" s="8"/>
      <c r="AP27" s="8"/>
      <c r="AQ27" s="8"/>
      <c r="AU27" s="1">
        <v>34</v>
      </c>
      <c r="AV27" s="1">
        <v>34</v>
      </c>
      <c r="AW27" s="1">
        <v>34</v>
      </c>
      <c r="AX27" s="1">
        <v>34</v>
      </c>
      <c r="AY27" s="13"/>
      <c r="AZ27" s="13"/>
      <c r="BA27" s="1">
        <v>34</v>
      </c>
      <c r="BB27" s="1">
        <v>34</v>
      </c>
      <c r="BC27" s="1">
        <v>34</v>
      </c>
      <c r="BD27" s="13"/>
      <c r="BE27" s="13"/>
      <c r="BG27" s="1">
        <v>34</v>
      </c>
      <c r="BI27" s="1">
        <v>33</v>
      </c>
      <c r="BK27" s="1">
        <v>34</v>
      </c>
      <c r="BL27" s="1">
        <v>34</v>
      </c>
      <c r="BM27" s="1">
        <v>34</v>
      </c>
    </row>
    <row r="28" spans="1:65" x14ac:dyDescent="0.2">
      <c r="A28" s="1" t="s">
        <v>211</v>
      </c>
      <c r="B28" s="1" t="s">
        <v>130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19"/>
      <c r="N28" s="20"/>
      <c r="O28" s="9"/>
      <c r="P28" s="9">
        <f>5840/8760</f>
        <v>0.66666666666666663</v>
      </c>
      <c r="Q28" s="20">
        <v>913</v>
      </c>
      <c r="R28" s="19">
        <v>1370</v>
      </c>
      <c r="S28" s="9"/>
      <c r="T28" s="19"/>
      <c r="AD28" s="1">
        <v>0.25</v>
      </c>
      <c r="AF28" s="1" t="s">
        <v>466</v>
      </c>
      <c r="AJ28" s="8"/>
      <c r="AK28" s="8"/>
      <c r="AL28" s="8">
        <f>25*Umrechnungsfaktoren!$B$15/Umrechnungsfaktoren!$B$10</f>
        <v>26.345177664974621</v>
      </c>
      <c r="AM28" s="8"/>
      <c r="AN28" s="8"/>
      <c r="AO28" s="8">
        <f>0*Umrechnungsfaktoren!$B$15/Umrechnungsfaktoren!$B$10</f>
        <v>0</v>
      </c>
      <c r="AP28" s="8"/>
      <c r="AQ28" s="8"/>
      <c r="AR28" s="8">
        <f>10*Umrechnungsfaktoren!$B$15/Umrechnungsfaktoren!$B$10</f>
        <v>10.538071065989849</v>
      </c>
      <c r="AU28" s="1">
        <v>34</v>
      </c>
      <c r="AV28" s="1">
        <v>34</v>
      </c>
      <c r="AW28" s="1">
        <v>34</v>
      </c>
      <c r="AX28" s="1">
        <v>34</v>
      </c>
      <c r="AY28" s="13"/>
      <c r="AZ28" s="13"/>
      <c r="BA28" s="1">
        <v>34</v>
      </c>
      <c r="BB28" s="1">
        <v>34</v>
      </c>
      <c r="BC28" s="1">
        <v>34</v>
      </c>
      <c r="BD28" s="13"/>
      <c r="BE28" s="13"/>
      <c r="BG28" s="1">
        <v>34</v>
      </c>
      <c r="BI28" s="1">
        <v>33</v>
      </c>
      <c r="BK28" s="1">
        <v>34</v>
      </c>
      <c r="BL28" s="1">
        <v>34</v>
      </c>
      <c r="BM28" s="1">
        <v>34</v>
      </c>
    </row>
    <row r="29" spans="1:65" x14ac:dyDescent="0.2">
      <c r="A29" s="1" t="s">
        <v>212</v>
      </c>
      <c r="B29" s="1" t="s">
        <v>130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19"/>
      <c r="N29" s="20"/>
      <c r="O29" s="9"/>
      <c r="P29" s="9">
        <f>2920/8760</f>
        <v>0.33333333333333331</v>
      </c>
      <c r="Q29" s="20">
        <v>1027</v>
      </c>
      <c r="R29" s="19">
        <v>3082</v>
      </c>
      <c r="S29" s="9"/>
      <c r="T29" s="19"/>
      <c r="AD29" s="1">
        <v>0</v>
      </c>
      <c r="AF29" s="1" t="s">
        <v>460</v>
      </c>
      <c r="AJ29" s="8"/>
      <c r="AK29" s="8"/>
      <c r="AM29" s="8"/>
      <c r="AN29" s="8"/>
      <c r="AO29" s="8"/>
      <c r="AP29" s="8"/>
      <c r="AQ29" s="8"/>
      <c r="AU29" s="1">
        <v>35</v>
      </c>
      <c r="AV29" s="1">
        <v>35</v>
      </c>
      <c r="AW29" s="1">
        <v>35</v>
      </c>
      <c r="AX29" s="1">
        <v>35</v>
      </c>
      <c r="AY29" s="13"/>
      <c r="AZ29" s="13"/>
      <c r="BA29" s="1">
        <v>35</v>
      </c>
      <c r="BB29" s="1">
        <v>35</v>
      </c>
      <c r="BC29" s="1">
        <v>35</v>
      </c>
      <c r="BD29" s="13"/>
      <c r="BE29" s="13"/>
      <c r="BG29" s="1">
        <v>35</v>
      </c>
      <c r="BI29" s="1">
        <v>35</v>
      </c>
      <c r="BK29" s="1">
        <v>36</v>
      </c>
      <c r="BL29" s="1">
        <v>36</v>
      </c>
      <c r="BM29" s="1">
        <v>36</v>
      </c>
    </row>
    <row r="30" spans="1:65" x14ac:dyDescent="0.2">
      <c r="A30" s="1" t="s">
        <v>212</v>
      </c>
      <c r="B30" s="1" t="s">
        <v>130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19"/>
      <c r="N30" s="20"/>
      <c r="O30" s="9"/>
      <c r="P30" s="9">
        <f>2920/8760</f>
        <v>0.33333333333333331</v>
      </c>
      <c r="Q30" s="20">
        <v>1027</v>
      </c>
      <c r="R30" s="19">
        <v>3082</v>
      </c>
      <c r="S30" s="9"/>
      <c r="T30" s="19"/>
      <c r="AD30" s="1">
        <v>1</v>
      </c>
      <c r="AF30" s="1" t="s">
        <v>460</v>
      </c>
      <c r="AJ30" s="8"/>
      <c r="AK30" s="8"/>
      <c r="AM30" s="8"/>
      <c r="AN30" s="8"/>
      <c r="AO30" s="8"/>
      <c r="AP30" s="8"/>
      <c r="AQ30" s="8"/>
      <c r="AU30" s="1">
        <v>35</v>
      </c>
      <c r="AV30" s="1">
        <v>35</v>
      </c>
      <c r="AW30" s="1">
        <v>35</v>
      </c>
      <c r="AX30" s="1">
        <v>35</v>
      </c>
      <c r="AY30" s="13"/>
      <c r="AZ30" s="13"/>
      <c r="BA30" s="1">
        <v>35</v>
      </c>
      <c r="BB30" s="1">
        <v>35</v>
      </c>
      <c r="BC30" s="1">
        <v>35</v>
      </c>
      <c r="BD30" s="13"/>
      <c r="BE30" s="13"/>
      <c r="BG30" s="1">
        <v>35</v>
      </c>
      <c r="BI30" s="1">
        <v>35</v>
      </c>
      <c r="BK30" s="1">
        <v>36</v>
      </c>
      <c r="BL30" s="1">
        <v>36</v>
      </c>
      <c r="BM30" s="1">
        <v>36</v>
      </c>
    </row>
    <row r="31" spans="1:65" x14ac:dyDescent="0.2">
      <c r="A31" s="1" t="s">
        <v>212</v>
      </c>
      <c r="B31" s="1" t="s">
        <v>130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19"/>
      <c r="N31" s="20"/>
      <c r="O31" s="9"/>
      <c r="P31" s="9">
        <f>2920/8760</f>
        <v>0.33333333333333331</v>
      </c>
      <c r="Q31" s="20">
        <v>1027</v>
      </c>
      <c r="R31" s="19">
        <v>3082</v>
      </c>
      <c r="S31" s="9"/>
      <c r="T31" s="19"/>
      <c r="AD31" s="1">
        <v>1</v>
      </c>
      <c r="AF31" s="1" t="s">
        <v>460</v>
      </c>
      <c r="AJ31" s="8"/>
      <c r="AK31" s="8"/>
      <c r="AL31" s="8">
        <f>25*Umrechnungsfaktoren!$B$15/Umrechnungsfaktoren!$B$10</f>
        <v>26.345177664974621</v>
      </c>
      <c r="AM31" s="8"/>
      <c r="AN31" s="8"/>
      <c r="AO31" s="8">
        <f>0*Umrechnungsfaktoren!$B$15/Umrechnungsfaktoren!$B$10</f>
        <v>0</v>
      </c>
      <c r="AP31" s="8"/>
      <c r="AQ31" s="8"/>
      <c r="AR31" s="8">
        <f>10*Umrechnungsfaktoren!$B$15/Umrechnungsfaktoren!$B$10</f>
        <v>10.538071065989849</v>
      </c>
      <c r="AU31" s="1">
        <v>35</v>
      </c>
      <c r="AV31" s="1">
        <v>35</v>
      </c>
      <c r="AW31" s="1">
        <v>35</v>
      </c>
      <c r="AX31" s="1">
        <v>35</v>
      </c>
      <c r="AY31" s="13"/>
      <c r="AZ31" s="13"/>
      <c r="BA31" s="1">
        <v>35</v>
      </c>
      <c r="BB31" s="1">
        <v>35</v>
      </c>
      <c r="BC31" s="1">
        <v>35</v>
      </c>
      <c r="BD31" s="13"/>
      <c r="BE31" s="13"/>
      <c r="BG31" s="1">
        <v>35</v>
      </c>
      <c r="BI31" s="1">
        <v>35</v>
      </c>
      <c r="BK31" s="1">
        <v>36</v>
      </c>
      <c r="BL31" s="1">
        <v>36</v>
      </c>
      <c r="BM31" s="1">
        <v>36</v>
      </c>
    </row>
    <row r="32" spans="1:65" x14ac:dyDescent="0.2">
      <c r="A32" s="1" t="s">
        <v>215</v>
      </c>
      <c r="B32" s="1" t="s">
        <v>130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19"/>
      <c r="N32" s="20"/>
      <c r="O32" s="9"/>
      <c r="P32" s="9">
        <f>640/8760</f>
        <v>7.3059360730593603E-2</v>
      </c>
      <c r="Q32" s="20">
        <v>1918</v>
      </c>
      <c r="R32" s="19">
        <v>13125</v>
      </c>
      <c r="S32" s="9"/>
      <c r="T32" s="19"/>
      <c r="AB32" s="1">
        <v>0.25</v>
      </c>
      <c r="AC32" s="1">
        <v>1</v>
      </c>
      <c r="AF32" s="1" t="s">
        <v>467</v>
      </c>
      <c r="AJ32" s="8"/>
      <c r="AK32" s="8"/>
      <c r="AM32" s="8"/>
      <c r="AN32" s="8"/>
      <c r="AO32" s="8"/>
      <c r="AP32" s="8"/>
      <c r="AQ32" s="8"/>
      <c r="AU32" s="1">
        <v>36</v>
      </c>
      <c r="AV32" s="1">
        <v>36</v>
      </c>
      <c r="AW32" s="1">
        <v>36</v>
      </c>
      <c r="AX32" s="1">
        <v>36</v>
      </c>
      <c r="AY32" s="13"/>
      <c r="AZ32" s="13"/>
      <c r="BA32" s="1">
        <v>36</v>
      </c>
      <c r="BB32" s="1">
        <v>36</v>
      </c>
      <c r="BC32" s="1">
        <v>36</v>
      </c>
      <c r="BD32" s="13"/>
      <c r="BE32" s="13"/>
      <c r="BG32" s="1">
        <v>36</v>
      </c>
      <c r="BI32" s="1">
        <v>36</v>
      </c>
      <c r="BK32" s="1">
        <v>37</v>
      </c>
      <c r="BL32" s="1">
        <v>37</v>
      </c>
      <c r="BM32" s="1">
        <v>37</v>
      </c>
    </row>
    <row r="33" spans="1:65" x14ac:dyDescent="0.2">
      <c r="A33" s="1" t="s">
        <v>215</v>
      </c>
      <c r="B33" s="1" t="s">
        <v>130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19"/>
      <c r="N33" s="20"/>
      <c r="O33" s="9"/>
      <c r="P33" s="9">
        <f>640/8760</f>
        <v>7.3059360730593603E-2</v>
      </c>
      <c r="Q33" s="20">
        <v>1918</v>
      </c>
      <c r="R33" s="19">
        <v>13125</v>
      </c>
      <c r="S33" s="9"/>
      <c r="T33" s="19"/>
      <c r="AB33" s="1">
        <v>0.25</v>
      </c>
      <c r="AC33" s="1">
        <v>1</v>
      </c>
      <c r="AF33" s="1" t="s">
        <v>467</v>
      </c>
      <c r="AJ33" s="8"/>
      <c r="AK33" s="8"/>
      <c r="AM33" s="8"/>
      <c r="AN33" s="8"/>
      <c r="AO33" s="8"/>
      <c r="AP33" s="8"/>
      <c r="AQ33" s="8"/>
      <c r="AU33" s="1">
        <v>36</v>
      </c>
      <c r="AV33" s="1">
        <v>36</v>
      </c>
      <c r="AW33" s="1">
        <v>36</v>
      </c>
      <c r="AX33" s="1">
        <v>36</v>
      </c>
      <c r="AY33" s="13"/>
      <c r="AZ33" s="13"/>
      <c r="BA33" s="1">
        <v>36</v>
      </c>
      <c r="BB33" s="1">
        <v>36</v>
      </c>
      <c r="BC33" s="1">
        <v>36</v>
      </c>
      <c r="BD33" s="13"/>
      <c r="BE33" s="13"/>
      <c r="BG33" s="1">
        <v>36</v>
      </c>
      <c r="BI33" s="1">
        <v>36</v>
      </c>
      <c r="BK33" s="1">
        <v>37</v>
      </c>
      <c r="BL33" s="1">
        <v>37</v>
      </c>
      <c r="BM33" s="1">
        <v>37</v>
      </c>
    </row>
    <row r="34" spans="1:65" x14ac:dyDescent="0.2">
      <c r="A34" s="1" t="s">
        <v>215</v>
      </c>
      <c r="B34" s="1" t="s">
        <v>130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19"/>
      <c r="N34" s="20"/>
      <c r="O34" s="9"/>
      <c r="P34" s="9">
        <f>640/8760</f>
        <v>7.3059360730593603E-2</v>
      </c>
      <c r="Q34" s="20">
        <v>1918</v>
      </c>
      <c r="R34" s="19">
        <v>13125</v>
      </c>
      <c r="S34" s="9"/>
      <c r="T34" s="19"/>
      <c r="AB34" s="1">
        <v>0.25</v>
      </c>
      <c r="AC34" s="1">
        <v>1</v>
      </c>
      <c r="AF34" s="1" t="s">
        <v>467</v>
      </c>
      <c r="AJ34" s="8"/>
      <c r="AK34" s="8"/>
      <c r="AL34" s="8">
        <f>25*Umrechnungsfaktoren!$B$15/Umrechnungsfaktoren!$B$10</f>
        <v>26.345177664974621</v>
      </c>
      <c r="AM34" s="8"/>
      <c r="AN34" s="8"/>
      <c r="AO34" s="8">
        <f>0*Umrechnungsfaktoren!$B$15/Umrechnungsfaktoren!$B$10</f>
        <v>0</v>
      </c>
      <c r="AP34" s="8"/>
      <c r="AQ34" s="8"/>
      <c r="AR34" s="8">
        <f>10*Umrechnungsfaktoren!$B$15/Umrechnungsfaktoren!$B$10</f>
        <v>10.538071065989849</v>
      </c>
      <c r="AU34" s="1">
        <v>36</v>
      </c>
      <c r="AV34" s="1">
        <v>36</v>
      </c>
      <c r="AW34" s="1">
        <v>36</v>
      </c>
      <c r="AX34" s="1">
        <v>36</v>
      </c>
      <c r="AY34" s="13"/>
      <c r="AZ34" s="13"/>
      <c r="BA34" s="1">
        <v>36</v>
      </c>
      <c r="BB34" s="1">
        <v>36</v>
      </c>
      <c r="BC34" s="1">
        <v>36</v>
      </c>
      <c r="BD34" s="13"/>
      <c r="BE34" s="13"/>
      <c r="BG34" s="1">
        <v>36</v>
      </c>
      <c r="BI34" s="1">
        <v>36</v>
      </c>
      <c r="BK34" s="1">
        <v>37</v>
      </c>
      <c r="BL34" s="1">
        <v>37</v>
      </c>
      <c r="BM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131</v>
      </c>
      <c r="C1" s="2" t="s">
        <v>8</v>
      </c>
      <c r="D1" s="2" t="s">
        <v>540</v>
      </c>
      <c r="E1" s="2" t="s">
        <v>539</v>
      </c>
      <c r="F1" s="2" t="s">
        <v>513</v>
      </c>
      <c r="G1" s="1" t="s">
        <v>159</v>
      </c>
      <c r="H1" s="1" t="s">
        <v>28</v>
      </c>
    </row>
    <row r="2" spans="1:8" x14ac:dyDescent="0.2">
      <c r="A2" s="1" t="s">
        <v>141</v>
      </c>
      <c r="B2" s="33" t="s">
        <v>142</v>
      </c>
      <c r="C2" s="6"/>
      <c r="D2" s="16"/>
      <c r="E2" s="6"/>
      <c r="F2" s="6">
        <v>-10</v>
      </c>
      <c r="G2" s="30">
        <v>2</v>
      </c>
      <c r="H2" s="1" t="s">
        <v>514</v>
      </c>
    </row>
    <row r="3" spans="1:8" x14ac:dyDescent="0.2">
      <c r="A3" s="1" t="s">
        <v>141</v>
      </c>
      <c r="B3" s="33" t="s">
        <v>142</v>
      </c>
      <c r="D3" s="9"/>
      <c r="F3" s="1">
        <v>-5</v>
      </c>
      <c r="G3" s="30">
        <v>2</v>
      </c>
      <c r="H3" s="1" t="s">
        <v>514</v>
      </c>
    </row>
    <row r="4" spans="1:8" x14ac:dyDescent="0.2">
      <c r="A4" s="1" t="s">
        <v>141</v>
      </c>
      <c r="B4" s="33" t="s">
        <v>142</v>
      </c>
      <c r="C4" s="6"/>
      <c r="D4" s="16"/>
      <c r="E4" s="6"/>
      <c r="F4" s="6">
        <v>0</v>
      </c>
      <c r="G4" s="30">
        <v>3</v>
      </c>
      <c r="H4" s="1" t="s">
        <v>514</v>
      </c>
    </row>
    <row r="5" spans="1:8" x14ac:dyDescent="0.2">
      <c r="A5" s="1" t="s">
        <v>141</v>
      </c>
      <c r="B5" s="33" t="s">
        <v>142</v>
      </c>
      <c r="D5" s="9"/>
      <c r="F5" s="1">
        <v>5</v>
      </c>
      <c r="G5" s="30">
        <v>5</v>
      </c>
      <c r="H5" s="1" t="s">
        <v>514</v>
      </c>
    </row>
    <row r="6" spans="1:8" x14ac:dyDescent="0.2">
      <c r="A6" s="1" t="s">
        <v>141</v>
      </c>
      <c r="B6" s="33" t="s">
        <v>142</v>
      </c>
      <c r="C6" s="6"/>
      <c r="D6" s="16"/>
      <c r="E6" s="6"/>
      <c r="F6" s="6">
        <v>10</v>
      </c>
      <c r="G6" s="30">
        <v>10</v>
      </c>
      <c r="H6" s="1" t="s">
        <v>514</v>
      </c>
    </row>
    <row r="7" spans="1:8" x14ac:dyDescent="0.2">
      <c r="A7" s="1" t="s">
        <v>141</v>
      </c>
      <c r="B7" s="33" t="s">
        <v>142</v>
      </c>
      <c r="D7" s="9"/>
      <c r="F7" s="1">
        <v>15</v>
      </c>
      <c r="G7" s="30">
        <v>30</v>
      </c>
      <c r="H7" s="1" t="s">
        <v>514</v>
      </c>
    </row>
    <row r="8" spans="1:8" x14ac:dyDescent="0.2">
      <c r="A8" s="1" t="s">
        <v>224</v>
      </c>
      <c r="B8" s="33" t="s">
        <v>129</v>
      </c>
      <c r="C8" s="6">
        <v>2020</v>
      </c>
      <c r="D8" s="16">
        <v>0.73</v>
      </c>
      <c r="E8" s="16">
        <v>1.45</v>
      </c>
      <c r="F8" s="6"/>
      <c r="G8" s="30"/>
      <c r="H8" s="1" t="s">
        <v>541</v>
      </c>
    </row>
    <row r="9" spans="1:8" x14ac:dyDescent="0.2">
      <c r="A9" s="1" t="s">
        <v>224</v>
      </c>
      <c r="B9" s="33" t="s">
        <v>129</v>
      </c>
      <c r="C9" s="1">
        <v>2025</v>
      </c>
      <c r="D9" s="9">
        <v>0.69</v>
      </c>
      <c r="E9" s="9">
        <v>1.52</v>
      </c>
      <c r="G9" s="30"/>
      <c r="H9" s="1" t="s">
        <v>541</v>
      </c>
    </row>
    <row r="10" spans="1:8" x14ac:dyDescent="0.2">
      <c r="A10" s="1" t="s">
        <v>224</v>
      </c>
      <c r="B10" s="33" t="s">
        <v>129</v>
      </c>
      <c r="C10" s="6">
        <v>2030</v>
      </c>
      <c r="D10" s="16">
        <v>0.65</v>
      </c>
      <c r="E10" s="16">
        <v>1.58</v>
      </c>
      <c r="F10" s="6"/>
      <c r="G10" s="30"/>
      <c r="H10" s="1" t="s">
        <v>541</v>
      </c>
    </row>
    <row r="11" spans="1:8" x14ac:dyDescent="0.2">
      <c r="A11" s="1" t="s">
        <v>542</v>
      </c>
      <c r="B11" s="33" t="s">
        <v>129</v>
      </c>
      <c r="C11" s="1">
        <v>2020</v>
      </c>
      <c r="D11" s="9">
        <v>1.01</v>
      </c>
      <c r="E11" s="9">
        <v>1.28</v>
      </c>
      <c r="G11" s="30"/>
      <c r="H11" s="1" t="s">
        <v>541</v>
      </c>
    </row>
    <row r="12" spans="1:8" x14ac:dyDescent="0.2">
      <c r="A12" s="1" t="s">
        <v>542</v>
      </c>
      <c r="B12" s="33" t="s">
        <v>129</v>
      </c>
      <c r="C12" s="6">
        <v>2025</v>
      </c>
      <c r="D12" s="16">
        <v>1.01</v>
      </c>
      <c r="E12" s="16">
        <v>1.32</v>
      </c>
      <c r="F12" s="6"/>
      <c r="G12" s="30"/>
      <c r="H12" s="1" t="s">
        <v>541</v>
      </c>
    </row>
    <row r="13" spans="1:8" x14ac:dyDescent="0.2">
      <c r="A13" s="1" t="s">
        <v>542</v>
      </c>
      <c r="B13" s="33" t="s">
        <v>129</v>
      </c>
      <c r="C13" s="1">
        <v>2030</v>
      </c>
      <c r="D13" s="9">
        <v>1.01</v>
      </c>
      <c r="E13" s="9">
        <v>1.37</v>
      </c>
      <c r="G13" s="30"/>
      <c r="H13" s="1" t="s">
        <v>541</v>
      </c>
    </row>
    <row r="14" spans="1:8" x14ac:dyDescent="0.2">
      <c r="A14" s="1" t="s">
        <v>543</v>
      </c>
      <c r="B14" s="33" t="s">
        <v>129</v>
      </c>
      <c r="C14" s="6">
        <v>2020</v>
      </c>
      <c r="D14" s="16">
        <v>0.76</v>
      </c>
      <c r="E14" s="16">
        <v>0.95</v>
      </c>
      <c r="F14" s="6"/>
      <c r="G14" s="30"/>
      <c r="H14" s="1" t="s">
        <v>541</v>
      </c>
    </row>
    <row r="15" spans="1:8" x14ac:dyDescent="0.2">
      <c r="A15" s="1" t="s">
        <v>543</v>
      </c>
      <c r="B15" s="33" t="s">
        <v>129</v>
      </c>
      <c r="C15" s="1">
        <v>2025</v>
      </c>
      <c r="D15" s="9">
        <v>0.71</v>
      </c>
      <c r="E15" s="9">
        <v>0.94</v>
      </c>
      <c r="G15" s="30"/>
      <c r="H15" s="1" t="s">
        <v>541</v>
      </c>
    </row>
    <row r="16" spans="1:8" x14ac:dyDescent="0.2">
      <c r="A16" s="1" t="s">
        <v>543</v>
      </c>
      <c r="B16" s="33" t="s">
        <v>129</v>
      </c>
      <c r="C16" s="6">
        <v>2030</v>
      </c>
      <c r="D16" s="16">
        <v>0.67</v>
      </c>
      <c r="E16" s="16">
        <v>0.93</v>
      </c>
      <c r="F16" s="6"/>
      <c r="G16" s="30"/>
      <c r="H16" s="1" t="s">
        <v>541</v>
      </c>
    </row>
    <row r="17" spans="1:8" x14ac:dyDescent="0.2">
      <c r="A17" s="1" t="s">
        <v>213</v>
      </c>
      <c r="B17" s="33" t="s">
        <v>129</v>
      </c>
      <c r="C17" s="1">
        <v>2020</v>
      </c>
      <c r="D17" s="9">
        <v>0.85</v>
      </c>
      <c r="E17" s="9">
        <v>1.2</v>
      </c>
      <c r="G17" s="30"/>
      <c r="H17" s="1" t="s">
        <v>541</v>
      </c>
    </row>
    <row r="18" spans="1:8" x14ac:dyDescent="0.2">
      <c r="A18" s="1" t="s">
        <v>213</v>
      </c>
      <c r="B18" s="33" t="s">
        <v>129</v>
      </c>
      <c r="C18" s="6">
        <v>2025</v>
      </c>
      <c r="D18" s="16">
        <v>0.82</v>
      </c>
      <c r="E18" s="16">
        <v>1.25</v>
      </c>
      <c r="F18" s="6"/>
      <c r="G18" s="30"/>
      <c r="H18" s="1" t="s">
        <v>541</v>
      </c>
    </row>
    <row r="19" spans="1:8" x14ac:dyDescent="0.2">
      <c r="A19" s="1" t="s">
        <v>213</v>
      </c>
      <c r="B19" s="33" t="s">
        <v>129</v>
      </c>
      <c r="C19" s="1">
        <v>2030</v>
      </c>
      <c r="D19" s="9">
        <v>0.78</v>
      </c>
      <c r="E19" s="9">
        <v>1.29</v>
      </c>
      <c r="G19" s="30"/>
      <c r="H19" s="1" t="s">
        <v>541</v>
      </c>
    </row>
    <row r="20" spans="1:8" x14ac:dyDescent="0.2">
      <c r="A20" s="1" t="s">
        <v>544</v>
      </c>
      <c r="B20" s="33" t="s">
        <v>129</v>
      </c>
      <c r="C20" s="6">
        <v>2020</v>
      </c>
      <c r="D20" s="16">
        <v>0.83</v>
      </c>
      <c r="E20" s="16">
        <v>1.03</v>
      </c>
      <c r="F20" s="6"/>
      <c r="G20" s="30"/>
      <c r="H20" s="1" t="s">
        <v>541</v>
      </c>
    </row>
    <row r="21" spans="1:8" x14ac:dyDescent="0.2">
      <c r="A21" s="1" t="s">
        <v>544</v>
      </c>
      <c r="B21" s="33" t="s">
        <v>129</v>
      </c>
      <c r="C21" s="1">
        <v>2025</v>
      </c>
      <c r="D21" s="9">
        <v>0.79</v>
      </c>
      <c r="E21" s="9">
        <v>1.03</v>
      </c>
      <c r="G21" s="30"/>
      <c r="H21" s="1" t="s">
        <v>541</v>
      </c>
    </row>
    <row r="22" spans="1:8" x14ac:dyDescent="0.2">
      <c r="A22" s="1" t="s">
        <v>544</v>
      </c>
      <c r="B22" s="33" t="s">
        <v>129</v>
      </c>
      <c r="C22" s="6">
        <v>2030</v>
      </c>
      <c r="D22" s="16">
        <v>0.76</v>
      </c>
      <c r="E22" s="16">
        <v>1.04</v>
      </c>
      <c r="F22" s="6"/>
      <c r="G22" s="30"/>
      <c r="H22" s="1" t="s">
        <v>541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751</v>
      </c>
      <c r="C1" s="2" t="s">
        <v>659</v>
      </c>
      <c r="D1" s="2" t="s">
        <v>240</v>
      </c>
      <c r="E1" s="2" t="s">
        <v>131</v>
      </c>
      <c r="F1" s="2" t="s">
        <v>750</v>
      </c>
      <c r="G1" s="2" t="s">
        <v>8</v>
      </c>
      <c r="H1" s="2" t="s">
        <v>161</v>
      </c>
      <c r="I1" s="2" t="s">
        <v>162</v>
      </c>
      <c r="J1" s="2" t="s">
        <v>315</v>
      </c>
      <c r="K1" s="2" t="s">
        <v>594</v>
      </c>
      <c r="L1" s="2" t="s">
        <v>149</v>
      </c>
      <c r="M1" s="2" t="s">
        <v>595</v>
      </c>
      <c r="N1" s="2" t="s">
        <v>760</v>
      </c>
      <c r="O1" s="2" t="s">
        <v>761</v>
      </c>
      <c r="P1" s="2" t="s">
        <v>762</v>
      </c>
      <c r="Q1" s="2" t="s">
        <v>763</v>
      </c>
      <c r="R1" s="2" t="s">
        <v>764</v>
      </c>
      <c r="S1" s="2" t="s">
        <v>765</v>
      </c>
      <c r="T1" s="2" t="s">
        <v>766</v>
      </c>
      <c r="U1" s="2" t="s">
        <v>767</v>
      </c>
      <c r="V1" s="2" t="s">
        <v>768</v>
      </c>
      <c r="W1" s="2" t="s">
        <v>769</v>
      </c>
      <c r="X1" s="2" t="s">
        <v>770</v>
      </c>
      <c r="Y1" s="2" t="s">
        <v>771</v>
      </c>
      <c r="Z1" s="2" t="s">
        <v>772</v>
      </c>
      <c r="AA1" s="2" t="s">
        <v>773</v>
      </c>
      <c r="AB1" s="2" t="s">
        <v>774</v>
      </c>
      <c r="AC1" s="2" t="s">
        <v>775</v>
      </c>
      <c r="AD1" s="2" t="s">
        <v>776</v>
      </c>
      <c r="AE1" s="2" t="s">
        <v>777</v>
      </c>
      <c r="AF1" s="2" t="s">
        <v>778</v>
      </c>
      <c r="AG1" s="2" t="s">
        <v>779</v>
      </c>
      <c r="AH1" s="2" t="s">
        <v>780</v>
      </c>
      <c r="AI1" s="2" t="s">
        <v>781</v>
      </c>
      <c r="AJ1" s="2" t="s">
        <v>782</v>
      </c>
      <c r="AK1" s="2" t="s">
        <v>783</v>
      </c>
      <c r="AL1" s="2" t="s">
        <v>784</v>
      </c>
      <c r="AM1" s="2" t="s">
        <v>785</v>
      </c>
      <c r="AN1" s="2" t="s">
        <v>786</v>
      </c>
      <c r="AO1" s="2" t="s">
        <v>787</v>
      </c>
      <c r="AP1" s="2" t="s">
        <v>788</v>
      </c>
      <c r="AQ1" s="2" t="s">
        <v>789</v>
      </c>
      <c r="AR1" s="2" t="s">
        <v>790</v>
      </c>
      <c r="AS1" s="2" t="s">
        <v>791</v>
      </c>
      <c r="AT1" s="2" t="s">
        <v>792</v>
      </c>
      <c r="AU1" s="2" t="s">
        <v>793</v>
      </c>
      <c r="AV1" s="2" t="s">
        <v>794</v>
      </c>
      <c r="AW1" s="2" t="s">
        <v>795</v>
      </c>
      <c r="AX1" s="2" t="s">
        <v>796</v>
      </c>
      <c r="AY1" s="2" t="s">
        <v>797</v>
      </c>
      <c r="AZ1" s="2" t="s">
        <v>798</v>
      </c>
      <c r="BA1" s="2" t="s">
        <v>799</v>
      </c>
      <c r="BB1" s="2" t="s">
        <v>800</v>
      </c>
      <c r="BC1" s="2" t="s">
        <v>801</v>
      </c>
      <c r="BD1" s="2" t="s">
        <v>802</v>
      </c>
      <c r="BE1" s="2" t="s">
        <v>803</v>
      </c>
      <c r="BF1" s="2" t="s">
        <v>804</v>
      </c>
      <c r="BG1" s="2" t="s">
        <v>805</v>
      </c>
      <c r="BH1" s="2" t="s">
        <v>806</v>
      </c>
      <c r="BI1" s="2" t="s">
        <v>807</v>
      </c>
      <c r="BJ1" s="2" t="s">
        <v>808</v>
      </c>
      <c r="BK1" s="2" t="s">
        <v>809</v>
      </c>
      <c r="BL1" s="2" t="s">
        <v>810</v>
      </c>
      <c r="BM1" s="2" t="s">
        <v>811</v>
      </c>
      <c r="BN1" s="2" t="s">
        <v>812</v>
      </c>
      <c r="BO1" s="2" t="s">
        <v>813</v>
      </c>
      <c r="BP1" s="2" t="s">
        <v>97</v>
      </c>
      <c r="BQ1" s="2" t="s">
        <v>596</v>
      </c>
      <c r="BR1" s="2" t="s">
        <v>158</v>
      </c>
      <c r="BS1" s="2" t="s">
        <v>597</v>
      </c>
      <c r="BT1" s="2" t="s">
        <v>609</v>
      </c>
      <c r="BU1" s="2" t="s">
        <v>610</v>
      </c>
      <c r="BV1" s="2" t="s">
        <v>611</v>
      </c>
      <c r="BW1" s="2" t="s">
        <v>598</v>
      </c>
      <c r="BX1" s="2" t="s">
        <v>612</v>
      </c>
      <c r="BY1" s="2" t="s">
        <v>599</v>
      </c>
      <c r="BZ1" s="2" t="s">
        <v>87</v>
      </c>
      <c r="CA1" s="56" t="s">
        <v>722</v>
      </c>
      <c r="CB1" s="56" t="s">
        <v>723</v>
      </c>
      <c r="CC1" s="56" t="s">
        <v>724</v>
      </c>
      <c r="CD1" s="56" t="s">
        <v>725</v>
      </c>
      <c r="CE1" s="56" t="s">
        <v>726</v>
      </c>
      <c r="CF1" s="56" t="s">
        <v>727</v>
      </c>
      <c r="CG1" s="56" t="s">
        <v>728</v>
      </c>
      <c r="CH1" s="56" t="s">
        <v>729</v>
      </c>
      <c r="CI1" s="56" t="s">
        <v>730</v>
      </c>
      <c r="CJ1" s="56" t="s">
        <v>731</v>
      </c>
      <c r="CK1" s="56" t="s">
        <v>732</v>
      </c>
      <c r="CL1" s="56" t="s">
        <v>733</v>
      </c>
      <c r="CM1" s="56" t="s">
        <v>734</v>
      </c>
      <c r="CN1" s="56" t="s">
        <v>735</v>
      </c>
      <c r="CO1" s="56" t="s">
        <v>736</v>
      </c>
      <c r="CP1" s="56" t="s">
        <v>737</v>
      </c>
      <c r="CQ1" s="56" t="s">
        <v>738</v>
      </c>
      <c r="CR1" s="56" t="s">
        <v>739</v>
      </c>
      <c r="CS1" s="56" t="s">
        <v>740</v>
      </c>
      <c r="CT1" s="56" t="s">
        <v>741</v>
      </c>
      <c r="CU1" s="56" t="s">
        <v>742</v>
      </c>
      <c r="CV1" s="56" t="s">
        <v>743</v>
      </c>
      <c r="CW1" s="56" t="s">
        <v>744</v>
      </c>
      <c r="CX1" s="56" t="s">
        <v>745</v>
      </c>
      <c r="CY1" s="56" t="s">
        <v>746</v>
      </c>
      <c r="CZ1" s="56" t="s">
        <v>747</v>
      </c>
      <c r="DA1" s="56" t="s">
        <v>748</v>
      </c>
      <c r="DB1" s="2" t="s">
        <v>600</v>
      </c>
      <c r="DC1" s="2" t="s">
        <v>605</v>
      </c>
      <c r="DD1" s="2" t="s">
        <v>601</v>
      </c>
      <c r="DE1" s="2" t="s">
        <v>613</v>
      </c>
      <c r="DF1" s="2" t="s">
        <v>614</v>
      </c>
      <c r="DG1" s="2" t="s">
        <v>615</v>
      </c>
      <c r="DH1" s="2" t="s">
        <v>616</v>
      </c>
      <c r="DI1" s="2" t="s">
        <v>617</v>
      </c>
      <c r="DJ1" s="2" t="s">
        <v>618</v>
      </c>
      <c r="DK1" s="2" t="s">
        <v>606</v>
      </c>
      <c r="DL1" s="2" t="s">
        <v>607</v>
      </c>
      <c r="DM1" s="2" t="s">
        <v>608</v>
      </c>
      <c r="DN1" s="2" t="s">
        <v>602</v>
      </c>
      <c r="DO1" s="2" t="s">
        <v>603</v>
      </c>
      <c r="DP1" s="2" t="s">
        <v>604</v>
      </c>
      <c r="DQ1" s="2" t="s">
        <v>619</v>
      </c>
      <c r="DR1" s="2" t="s">
        <v>620</v>
      </c>
      <c r="DS1" s="2" t="s">
        <v>621</v>
      </c>
      <c r="DT1" s="2" t="s">
        <v>622</v>
      </c>
      <c r="DU1" s="2" t="s">
        <v>623</v>
      </c>
      <c r="DV1" s="2" t="s">
        <v>624</v>
      </c>
      <c r="DW1" s="2" t="s">
        <v>159</v>
      </c>
      <c r="DX1" s="2" t="s">
        <v>431</v>
      </c>
      <c r="DY1" s="2" t="s">
        <v>227</v>
      </c>
      <c r="DZ1" s="2" t="s">
        <v>160</v>
      </c>
      <c r="EA1" s="2" t="s">
        <v>229</v>
      </c>
      <c r="EB1" s="2" t="s">
        <v>230</v>
      </c>
      <c r="EC1" s="2" t="s">
        <v>3</v>
      </c>
      <c r="ED1" s="2" t="s">
        <v>216</v>
      </c>
      <c r="EE1" s="2" t="s">
        <v>217</v>
      </c>
      <c r="EF1" s="2" t="s">
        <v>625</v>
      </c>
      <c r="EG1" s="2" t="s">
        <v>626</v>
      </c>
      <c r="EH1" s="2" t="s">
        <v>627</v>
      </c>
      <c r="EI1" s="2" t="s">
        <v>10</v>
      </c>
      <c r="EJ1" s="2" t="s">
        <v>16</v>
      </c>
      <c r="EK1" s="2" t="s">
        <v>4</v>
      </c>
      <c r="EL1" s="2" t="s">
        <v>628</v>
      </c>
      <c r="EM1" s="2" t="s">
        <v>629</v>
      </c>
      <c r="EN1" s="2" t="s">
        <v>630</v>
      </c>
      <c r="EO1" s="2" t="s">
        <v>631</v>
      </c>
      <c r="EP1" s="2" t="s">
        <v>632</v>
      </c>
      <c r="EQ1" s="2" t="s">
        <v>633</v>
      </c>
      <c r="ER1" s="2" t="s">
        <v>634</v>
      </c>
      <c r="ES1" s="2" t="s">
        <v>635</v>
      </c>
      <c r="ET1" s="2" t="s">
        <v>636</v>
      </c>
      <c r="EU1" s="2" t="s">
        <v>12</v>
      </c>
      <c r="EV1" s="2" t="s">
        <v>185</v>
      </c>
      <c r="EW1" s="2" t="s">
        <v>184</v>
      </c>
      <c r="EX1" s="2" t="s">
        <v>639</v>
      </c>
      <c r="EY1" s="2" t="s">
        <v>640</v>
      </c>
      <c r="EZ1" s="2" t="s">
        <v>641</v>
      </c>
      <c r="FA1" s="2" t="s">
        <v>642</v>
      </c>
      <c r="FB1" s="2" t="s">
        <v>643</v>
      </c>
      <c r="FC1" s="2" t="s">
        <v>644</v>
      </c>
      <c r="FD1" s="2" t="s">
        <v>645</v>
      </c>
      <c r="FE1" s="2" t="s">
        <v>646</v>
      </c>
      <c r="FF1" s="2" t="s">
        <v>647</v>
      </c>
      <c r="FG1" s="2" t="s">
        <v>648</v>
      </c>
      <c r="FH1" s="2" t="s">
        <v>649</v>
      </c>
      <c r="FI1" s="2" t="s">
        <v>650</v>
      </c>
      <c r="FJ1" s="2" t="s">
        <v>335</v>
      </c>
      <c r="FK1" s="2" t="s">
        <v>638</v>
      </c>
      <c r="FL1" s="2" t="s">
        <v>637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749</v>
      </c>
      <c r="FR1" s="2" t="s">
        <v>1</v>
      </c>
      <c r="FS1" s="2" t="s">
        <v>2</v>
      </c>
      <c r="FT1" s="2" t="s">
        <v>59</v>
      </c>
      <c r="FU1" s="2" t="s">
        <v>1161</v>
      </c>
      <c r="FV1" s="2" t="s">
        <v>238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ht="15" customHeight="1" x14ac:dyDescent="0.2">
      <c r="A2" s="1" t="s">
        <v>367</v>
      </c>
      <c r="B2" s="1" t="s">
        <v>660</v>
      </c>
      <c r="C2" s="1" t="s">
        <v>665</v>
      </c>
      <c r="D2" s="1" t="s">
        <v>679</v>
      </c>
      <c r="E2" s="1" t="s">
        <v>130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816</v>
      </c>
      <c r="FS2" s="13" t="s">
        <v>816</v>
      </c>
      <c r="FT2" s="13" t="s">
        <v>816</v>
      </c>
      <c r="FU2" s="13"/>
      <c r="FV2" s="13" t="s">
        <v>816</v>
      </c>
      <c r="FW2" s="13" t="s">
        <v>816</v>
      </c>
      <c r="FX2" s="13" t="s">
        <v>816</v>
      </c>
      <c r="FY2" s="13" t="s">
        <v>816</v>
      </c>
      <c r="FZ2" s="13" t="s">
        <v>816</v>
      </c>
      <c r="GA2" s="13" t="s">
        <v>816</v>
      </c>
      <c r="GB2" s="13" t="s">
        <v>816</v>
      </c>
      <c r="GE2" s="13" t="s">
        <v>816</v>
      </c>
      <c r="GF2" s="13" t="s">
        <v>816</v>
      </c>
      <c r="GH2" s="13" t="s">
        <v>816</v>
      </c>
    </row>
    <row r="3" spans="1:193" ht="15" customHeight="1" x14ac:dyDescent="0.2">
      <c r="A3" s="1" t="s">
        <v>367</v>
      </c>
      <c r="B3" s="1" t="s">
        <v>660</v>
      </c>
      <c r="C3" s="1" t="s">
        <v>665</v>
      </c>
      <c r="D3" s="1" t="s">
        <v>679</v>
      </c>
      <c r="E3" s="1" t="s">
        <v>130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816</v>
      </c>
      <c r="FS3" s="13" t="s">
        <v>816</v>
      </c>
      <c r="FT3" s="13" t="s">
        <v>816</v>
      </c>
      <c r="FU3" s="13"/>
      <c r="FV3" s="13" t="s">
        <v>816</v>
      </c>
      <c r="FW3" s="13" t="s">
        <v>816</v>
      </c>
      <c r="FX3" s="13" t="s">
        <v>816</v>
      </c>
      <c r="FY3" s="13" t="s">
        <v>816</v>
      </c>
      <c r="FZ3" s="13" t="s">
        <v>816</v>
      </c>
      <c r="GA3" s="13" t="s">
        <v>816</v>
      </c>
      <c r="GB3" s="13" t="s">
        <v>816</v>
      </c>
      <c r="GE3" s="13" t="s">
        <v>816</v>
      </c>
      <c r="GF3" s="13" t="s">
        <v>816</v>
      </c>
      <c r="GH3" s="13" t="s">
        <v>816</v>
      </c>
    </row>
    <row r="4" spans="1:193" ht="15" customHeight="1" x14ac:dyDescent="0.2">
      <c r="A4" s="1" t="s">
        <v>367</v>
      </c>
      <c r="B4" s="1" t="s">
        <v>660</v>
      </c>
      <c r="C4" s="1" t="s">
        <v>665</v>
      </c>
      <c r="D4" s="1" t="s">
        <v>679</v>
      </c>
      <c r="E4" s="1" t="s">
        <v>130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816</v>
      </c>
      <c r="FS4" s="13" t="s">
        <v>816</v>
      </c>
      <c r="FT4" s="13" t="s">
        <v>816</v>
      </c>
      <c r="FU4" s="13"/>
      <c r="FV4" s="13" t="s">
        <v>816</v>
      </c>
      <c r="FW4" s="13" t="s">
        <v>816</v>
      </c>
      <c r="FX4" s="13" t="s">
        <v>816</v>
      </c>
      <c r="FY4" s="13" t="s">
        <v>816</v>
      </c>
      <c r="FZ4" s="13" t="s">
        <v>816</v>
      </c>
      <c r="GA4" s="13" t="s">
        <v>816</v>
      </c>
      <c r="GB4" s="13" t="s">
        <v>816</v>
      </c>
      <c r="GE4" s="13" t="s">
        <v>816</v>
      </c>
      <c r="GF4" s="13" t="s">
        <v>816</v>
      </c>
      <c r="GH4" s="13" t="s">
        <v>816</v>
      </c>
    </row>
    <row r="5" spans="1:193" ht="15" customHeight="1" x14ac:dyDescent="0.2">
      <c r="A5" s="1" t="s">
        <v>367</v>
      </c>
      <c r="B5" s="1" t="s">
        <v>660</v>
      </c>
      <c r="C5" s="1" t="s">
        <v>665</v>
      </c>
      <c r="D5" s="1" t="s">
        <v>679</v>
      </c>
      <c r="E5" s="1" t="s">
        <v>130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816</v>
      </c>
      <c r="FS5" s="13" t="s">
        <v>816</v>
      </c>
      <c r="FT5" s="13" t="s">
        <v>816</v>
      </c>
      <c r="FU5" s="13"/>
      <c r="FV5" s="13" t="s">
        <v>816</v>
      </c>
      <c r="FW5" s="13" t="s">
        <v>816</v>
      </c>
      <c r="FX5" s="13" t="s">
        <v>816</v>
      </c>
      <c r="FY5" s="13" t="s">
        <v>816</v>
      </c>
      <c r="FZ5" s="13" t="s">
        <v>816</v>
      </c>
      <c r="GA5" s="13" t="s">
        <v>816</v>
      </c>
      <c r="GB5" s="13" t="s">
        <v>816</v>
      </c>
      <c r="GE5" s="13" t="s">
        <v>816</v>
      </c>
      <c r="GF5" s="13" t="s">
        <v>816</v>
      </c>
      <c r="GH5" s="13" t="s">
        <v>816</v>
      </c>
    </row>
    <row r="6" spans="1:193" ht="15" customHeight="1" x14ac:dyDescent="0.2">
      <c r="A6" s="1" t="s">
        <v>367</v>
      </c>
      <c r="B6" s="1" t="s">
        <v>660</v>
      </c>
      <c r="C6" s="1" t="s">
        <v>665</v>
      </c>
      <c r="D6" s="1" t="s">
        <v>679</v>
      </c>
      <c r="E6" s="1" t="s">
        <v>130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816</v>
      </c>
      <c r="FS6" s="13" t="s">
        <v>816</v>
      </c>
      <c r="FT6" s="13" t="s">
        <v>816</v>
      </c>
      <c r="FU6" s="13"/>
      <c r="FV6" s="13" t="s">
        <v>816</v>
      </c>
      <c r="FW6" s="13" t="s">
        <v>816</v>
      </c>
      <c r="FX6" s="13" t="s">
        <v>816</v>
      </c>
      <c r="FY6" s="13" t="s">
        <v>816</v>
      </c>
      <c r="FZ6" s="13" t="s">
        <v>816</v>
      </c>
      <c r="GA6" s="13" t="s">
        <v>816</v>
      </c>
      <c r="GB6" s="13" t="s">
        <v>816</v>
      </c>
      <c r="GE6" s="13" t="s">
        <v>816</v>
      </c>
      <c r="GF6" s="13" t="s">
        <v>816</v>
      </c>
      <c r="GH6" s="13" t="s">
        <v>816</v>
      </c>
    </row>
    <row r="7" spans="1:193" ht="15" customHeight="1" x14ac:dyDescent="0.2">
      <c r="A7" s="1" t="s">
        <v>367</v>
      </c>
      <c r="B7" s="1" t="s">
        <v>660</v>
      </c>
      <c r="C7" s="1" t="s">
        <v>665</v>
      </c>
      <c r="D7" s="1" t="s">
        <v>679</v>
      </c>
      <c r="E7" s="1" t="s">
        <v>130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816</v>
      </c>
      <c r="FS7" s="13" t="s">
        <v>816</v>
      </c>
      <c r="FT7" s="13" t="s">
        <v>816</v>
      </c>
      <c r="FU7" s="13"/>
      <c r="FV7" s="13" t="s">
        <v>816</v>
      </c>
      <c r="FW7" s="13" t="s">
        <v>816</v>
      </c>
      <c r="FX7" s="13" t="s">
        <v>816</v>
      </c>
      <c r="FY7" s="13" t="s">
        <v>816</v>
      </c>
      <c r="FZ7" s="13" t="s">
        <v>816</v>
      </c>
      <c r="GA7" s="13" t="s">
        <v>816</v>
      </c>
      <c r="GB7" s="13" t="s">
        <v>816</v>
      </c>
      <c r="GE7" s="13" t="s">
        <v>816</v>
      </c>
      <c r="GF7" s="13" t="s">
        <v>816</v>
      </c>
      <c r="GH7" s="13" t="s">
        <v>816</v>
      </c>
    </row>
    <row r="8" spans="1:193" ht="15" customHeight="1" x14ac:dyDescent="0.2">
      <c r="A8" s="1" t="s">
        <v>367</v>
      </c>
      <c r="B8" s="1" t="s">
        <v>660</v>
      </c>
      <c r="C8" s="1" t="s">
        <v>665</v>
      </c>
      <c r="D8" s="1" t="s">
        <v>679</v>
      </c>
      <c r="E8" s="1" t="s">
        <v>130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816</v>
      </c>
      <c r="FS8" s="13" t="s">
        <v>816</v>
      </c>
      <c r="FT8" s="13" t="s">
        <v>816</v>
      </c>
      <c r="FU8" s="13"/>
      <c r="FV8" s="13" t="s">
        <v>816</v>
      </c>
      <c r="FW8" s="13" t="s">
        <v>816</v>
      </c>
      <c r="FX8" s="13" t="s">
        <v>816</v>
      </c>
      <c r="FY8" s="13" t="s">
        <v>816</v>
      </c>
      <c r="FZ8" s="13" t="s">
        <v>816</v>
      </c>
      <c r="GA8" s="13" t="s">
        <v>816</v>
      </c>
      <c r="GB8" s="13" t="s">
        <v>816</v>
      </c>
      <c r="GE8" s="13" t="s">
        <v>816</v>
      </c>
      <c r="GF8" s="13" t="s">
        <v>816</v>
      </c>
      <c r="GH8" s="13" t="s">
        <v>816</v>
      </c>
    </row>
    <row r="9" spans="1:193" ht="15" customHeight="1" x14ac:dyDescent="0.2">
      <c r="A9" s="1" t="s">
        <v>367</v>
      </c>
      <c r="B9" s="1" t="s">
        <v>660</v>
      </c>
      <c r="C9" s="1" t="s">
        <v>665</v>
      </c>
      <c r="D9" s="1" t="s">
        <v>679</v>
      </c>
      <c r="E9" s="1" t="s">
        <v>130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816</v>
      </c>
      <c r="FS9" s="13" t="s">
        <v>816</v>
      </c>
      <c r="FT9" s="13" t="s">
        <v>816</v>
      </c>
      <c r="FU9" s="13"/>
      <c r="FV9" s="13" t="s">
        <v>816</v>
      </c>
      <c r="FW9" s="13" t="s">
        <v>816</v>
      </c>
      <c r="FX9" s="13" t="s">
        <v>816</v>
      </c>
      <c r="FY9" s="13" t="s">
        <v>816</v>
      </c>
      <c r="FZ9" s="13" t="s">
        <v>816</v>
      </c>
      <c r="GA9" s="13" t="s">
        <v>816</v>
      </c>
      <c r="GB9" s="13" t="s">
        <v>816</v>
      </c>
      <c r="GE9" s="13" t="s">
        <v>816</v>
      </c>
      <c r="GF9" s="13" t="s">
        <v>816</v>
      </c>
      <c r="GH9" s="13" t="s">
        <v>816</v>
      </c>
    </row>
    <row r="10" spans="1:193" ht="15" customHeight="1" x14ac:dyDescent="0.2">
      <c r="A10" s="1" t="s">
        <v>211</v>
      </c>
      <c r="B10" s="1" t="s">
        <v>757</v>
      </c>
      <c r="C10" s="1" t="s">
        <v>665</v>
      </c>
      <c r="D10" s="1" t="s">
        <v>680</v>
      </c>
      <c r="E10" s="1" t="s">
        <v>130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816</v>
      </c>
      <c r="FS10" s="13" t="s">
        <v>816</v>
      </c>
      <c r="FT10" s="13" t="s">
        <v>816</v>
      </c>
      <c r="FU10" s="13"/>
      <c r="FV10" s="13" t="s">
        <v>816</v>
      </c>
      <c r="FW10" s="13" t="s">
        <v>816</v>
      </c>
      <c r="FX10" s="13" t="s">
        <v>816</v>
      </c>
      <c r="FY10" s="13" t="s">
        <v>816</v>
      </c>
      <c r="FZ10" s="13" t="s">
        <v>816</v>
      </c>
      <c r="GA10" s="13" t="s">
        <v>816</v>
      </c>
      <c r="GB10" s="13" t="s">
        <v>816</v>
      </c>
      <c r="GE10" s="13" t="s">
        <v>816</v>
      </c>
      <c r="GF10" s="13" t="s">
        <v>816</v>
      </c>
      <c r="GH10" s="13" t="s">
        <v>816</v>
      </c>
    </row>
    <row r="11" spans="1:193" ht="15" customHeight="1" x14ac:dyDescent="0.2">
      <c r="A11" s="1" t="s">
        <v>211</v>
      </c>
      <c r="B11" s="1" t="s">
        <v>757</v>
      </c>
      <c r="C11" s="1" t="s">
        <v>665</v>
      </c>
      <c r="D11" s="1" t="s">
        <v>680</v>
      </c>
      <c r="E11" s="1" t="s">
        <v>130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816</v>
      </c>
      <c r="FS11" s="13" t="s">
        <v>816</v>
      </c>
      <c r="FT11" s="13" t="s">
        <v>816</v>
      </c>
      <c r="FU11" s="13"/>
      <c r="FV11" s="13" t="s">
        <v>816</v>
      </c>
      <c r="FW11" s="13" t="s">
        <v>816</v>
      </c>
      <c r="FX11" s="13" t="s">
        <v>816</v>
      </c>
      <c r="FY11" s="13" t="s">
        <v>816</v>
      </c>
      <c r="FZ11" s="13" t="s">
        <v>816</v>
      </c>
      <c r="GA11" s="13" t="s">
        <v>816</v>
      </c>
      <c r="GB11" s="13" t="s">
        <v>816</v>
      </c>
      <c r="GE11" s="13" t="s">
        <v>816</v>
      </c>
      <c r="GF11" s="13" t="s">
        <v>816</v>
      </c>
      <c r="GH11" s="13" t="s">
        <v>816</v>
      </c>
    </row>
    <row r="12" spans="1:193" ht="15" customHeight="1" x14ac:dyDescent="0.2">
      <c r="A12" s="1" t="s">
        <v>211</v>
      </c>
      <c r="B12" s="1" t="s">
        <v>757</v>
      </c>
      <c r="C12" s="1" t="s">
        <v>665</v>
      </c>
      <c r="D12" s="1" t="s">
        <v>680</v>
      </c>
      <c r="E12" s="1" t="s">
        <v>130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816</v>
      </c>
      <c r="FS12" s="13" t="s">
        <v>816</v>
      </c>
      <c r="FT12" s="13" t="s">
        <v>816</v>
      </c>
      <c r="FU12" s="13"/>
      <c r="FV12" s="13" t="s">
        <v>816</v>
      </c>
      <c r="FW12" s="13" t="s">
        <v>816</v>
      </c>
      <c r="FX12" s="13" t="s">
        <v>816</v>
      </c>
      <c r="FY12" s="13" t="s">
        <v>816</v>
      </c>
      <c r="FZ12" s="13" t="s">
        <v>816</v>
      </c>
      <c r="GA12" s="13" t="s">
        <v>816</v>
      </c>
      <c r="GB12" s="13" t="s">
        <v>816</v>
      </c>
      <c r="GE12" s="13" t="s">
        <v>816</v>
      </c>
      <c r="GF12" s="13" t="s">
        <v>816</v>
      </c>
      <c r="GH12" s="13" t="s">
        <v>816</v>
      </c>
    </row>
    <row r="13" spans="1:193" ht="15" customHeight="1" x14ac:dyDescent="0.2">
      <c r="A13" s="1" t="s">
        <v>211</v>
      </c>
      <c r="B13" s="1" t="s">
        <v>757</v>
      </c>
      <c r="C13" s="1" t="s">
        <v>665</v>
      </c>
      <c r="D13" s="1" t="s">
        <v>680</v>
      </c>
      <c r="E13" s="1" t="s">
        <v>130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816</v>
      </c>
      <c r="FS13" s="13" t="s">
        <v>816</v>
      </c>
      <c r="FT13" s="13" t="s">
        <v>816</v>
      </c>
      <c r="FU13" s="13"/>
      <c r="FV13" s="13" t="s">
        <v>816</v>
      </c>
      <c r="FW13" s="13" t="s">
        <v>816</v>
      </c>
      <c r="FX13" s="13" t="s">
        <v>816</v>
      </c>
      <c r="FY13" s="13" t="s">
        <v>816</v>
      </c>
      <c r="FZ13" s="13" t="s">
        <v>816</v>
      </c>
      <c r="GA13" s="13" t="s">
        <v>816</v>
      </c>
      <c r="GB13" s="13" t="s">
        <v>816</v>
      </c>
      <c r="GE13" s="13" t="s">
        <v>816</v>
      </c>
      <c r="GF13" s="13" t="s">
        <v>816</v>
      </c>
      <c r="GH13" s="13" t="s">
        <v>816</v>
      </c>
    </row>
    <row r="14" spans="1:193" ht="15" customHeight="1" x14ac:dyDescent="0.2">
      <c r="A14" s="1" t="s">
        <v>211</v>
      </c>
      <c r="B14" s="1" t="s">
        <v>757</v>
      </c>
      <c r="C14" s="1" t="s">
        <v>665</v>
      </c>
      <c r="D14" s="1" t="s">
        <v>680</v>
      </c>
      <c r="E14" s="1" t="s">
        <v>130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816</v>
      </c>
      <c r="FS14" s="13" t="s">
        <v>816</v>
      </c>
      <c r="FT14" s="13" t="s">
        <v>816</v>
      </c>
      <c r="FU14" s="13"/>
      <c r="FV14" s="13" t="s">
        <v>816</v>
      </c>
      <c r="FW14" s="13" t="s">
        <v>816</v>
      </c>
      <c r="FX14" s="13" t="s">
        <v>816</v>
      </c>
      <c r="FY14" s="13" t="s">
        <v>816</v>
      </c>
      <c r="FZ14" s="13" t="s">
        <v>816</v>
      </c>
      <c r="GA14" s="13" t="s">
        <v>816</v>
      </c>
      <c r="GB14" s="13" t="s">
        <v>816</v>
      </c>
      <c r="GE14" s="13" t="s">
        <v>816</v>
      </c>
      <c r="GF14" s="13" t="s">
        <v>816</v>
      </c>
      <c r="GH14" s="13" t="s">
        <v>816</v>
      </c>
    </row>
    <row r="15" spans="1:193" ht="15" customHeight="1" x14ac:dyDescent="0.2">
      <c r="A15" s="1" t="s">
        <v>211</v>
      </c>
      <c r="B15" s="1" t="s">
        <v>757</v>
      </c>
      <c r="C15" s="1" t="s">
        <v>665</v>
      </c>
      <c r="D15" s="1" t="s">
        <v>680</v>
      </c>
      <c r="E15" s="1" t="s">
        <v>130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816</v>
      </c>
      <c r="FS15" s="13" t="s">
        <v>816</v>
      </c>
      <c r="FT15" s="13" t="s">
        <v>816</v>
      </c>
      <c r="FU15" s="13"/>
      <c r="FV15" s="13" t="s">
        <v>816</v>
      </c>
      <c r="FW15" s="13" t="s">
        <v>816</v>
      </c>
      <c r="FX15" s="13" t="s">
        <v>816</v>
      </c>
      <c r="FY15" s="13" t="s">
        <v>816</v>
      </c>
      <c r="FZ15" s="13" t="s">
        <v>816</v>
      </c>
      <c r="GA15" s="13" t="s">
        <v>816</v>
      </c>
      <c r="GB15" s="13" t="s">
        <v>816</v>
      </c>
      <c r="GE15" s="13" t="s">
        <v>816</v>
      </c>
      <c r="GF15" s="13" t="s">
        <v>816</v>
      </c>
      <c r="GH15" s="13" t="s">
        <v>816</v>
      </c>
    </row>
    <row r="16" spans="1:193" ht="15" customHeight="1" x14ac:dyDescent="0.2">
      <c r="A16" s="1" t="s">
        <v>211</v>
      </c>
      <c r="B16" s="1" t="s">
        <v>757</v>
      </c>
      <c r="C16" s="1" t="s">
        <v>665</v>
      </c>
      <c r="D16" s="1" t="s">
        <v>680</v>
      </c>
      <c r="E16" s="1" t="s">
        <v>130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816</v>
      </c>
      <c r="FS16" s="13" t="s">
        <v>816</v>
      </c>
      <c r="FT16" s="13" t="s">
        <v>816</v>
      </c>
      <c r="FU16" s="13"/>
      <c r="FV16" s="13" t="s">
        <v>816</v>
      </c>
      <c r="FW16" s="13" t="s">
        <v>816</v>
      </c>
      <c r="FX16" s="13" t="s">
        <v>816</v>
      </c>
      <c r="FY16" s="13" t="s">
        <v>816</v>
      </c>
      <c r="FZ16" s="13" t="s">
        <v>816</v>
      </c>
      <c r="GA16" s="13" t="s">
        <v>816</v>
      </c>
      <c r="GB16" s="13" t="s">
        <v>816</v>
      </c>
      <c r="GE16" s="13" t="s">
        <v>816</v>
      </c>
      <c r="GF16" s="13" t="s">
        <v>816</v>
      </c>
      <c r="GH16" s="13" t="s">
        <v>816</v>
      </c>
    </row>
    <row r="17" spans="1:190" ht="15" customHeight="1" x14ac:dyDescent="0.2">
      <c r="A17" s="1" t="s">
        <v>211</v>
      </c>
      <c r="B17" s="1" t="s">
        <v>757</v>
      </c>
      <c r="C17" s="1" t="s">
        <v>665</v>
      </c>
      <c r="D17" s="1" t="s">
        <v>680</v>
      </c>
      <c r="E17" s="1" t="s">
        <v>130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816</v>
      </c>
      <c r="FS17" s="13" t="s">
        <v>816</v>
      </c>
      <c r="FT17" s="13" t="s">
        <v>816</v>
      </c>
      <c r="FU17" s="13"/>
      <c r="FV17" s="13" t="s">
        <v>816</v>
      </c>
      <c r="FW17" s="13" t="s">
        <v>816</v>
      </c>
      <c r="FX17" s="13" t="s">
        <v>816</v>
      </c>
      <c r="FY17" s="13" t="s">
        <v>816</v>
      </c>
      <c r="FZ17" s="13" t="s">
        <v>816</v>
      </c>
      <c r="GA17" s="13" t="s">
        <v>816</v>
      </c>
      <c r="GB17" s="13" t="s">
        <v>816</v>
      </c>
      <c r="GE17" s="13" t="s">
        <v>816</v>
      </c>
      <c r="GF17" s="13" t="s">
        <v>816</v>
      </c>
      <c r="GH17" s="13" t="s">
        <v>816</v>
      </c>
    </row>
    <row r="18" spans="1:190" ht="15" customHeight="1" x14ac:dyDescent="0.2">
      <c r="A18" s="1" t="s">
        <v>213</v>
      </c>
      <c r="B18" s="1" t="s">
        <v>661</v>
      </c>
      <c r="C18" s="1" t="s">
        <v>665</v>
      </c>
      <c r="D18" s="1" t="s">
        <v>681</v>
      </c>
      <c r="E18" s="1" t="s">
        <v>130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816</v>
      </c>
      <c r="FS18" s="13" t="s">
        <v>816</v>
      </c>
      <c r="FT18" s="13" t="s">
        <v>816</v>
      </c>
      <c r="FU18" s="13"/>
      <c r="FV18" s="13" t="s">
        <v>816</v>
      </c>
      <c r="FW18" s="13" t="s">
        <v>816</v>
      </c>
      <c r="FX18" s="13" t="s">
        <v>816</v>
      </c>
      <c r="FY18" s="13" t="s">
        <v>816</v>
      </c>
      <c r="FZ18" s="13" t="s">
        <v>816</v>
      </c>
      <c r="GA18" s="13" t="s">
        <v>816</v>
      </c>
      <c r="GB18" s="13" t="s">
        <v>816</v>
      </c>
      <c r="GE18" s="13" t="s">
        <v>816</v>
      </c>
      <c r="GF18" s="13" t="s">
        <v>816</v>
      </c>
      <c r="GH18" s="13" t="s">
        <v>816</v>
      </c>
    </row>
    <row r="19" spans="1:190" ht="15" customHeight="1" x14ac:dyDescent="0.2">
      <c r="A19" s="1" t="s">
        <v>213</v>
      </c>
      <c r="B19" s="1" t="s">
        <v>661</v>
      </c>
      <c r="C19" s="1" t="s">
        <v>665</v>
      </c>
      <c r="D19" s="1" t="s">
        <v>681</v>
      </c>
      <c r="E19" s="1" t="s">
        <v>130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816</v>
      </c>
      <c r="FS19" s="13" t="s">
        <v>816</v>
      </c>
      <c r="FT19" s="13" t="s">
        <v>816</v>
      </c>
      <c r="FU19" s="13"/>
      <c r="FV19" s="13" t="s">
        <v>816</v>
      </c>
      <c r="FW19" s="13" t="s">
        <v>816</v>
      </c>
      <c r="FX19" s="13" t="s">
        <v>816</v>
      </c>
      <c r="FY19" s="13" t="s">
        <v>816</v>
      </c>
      <c r="FZ19" s="13" t="s">
        <v>816</v>
      </c>
      <c r="GA19" s="13" t="s">
        <v>816</v>
      </c>
      <c r="GB19" s="13" t="s">
        <v>816</v>
      </c>
      <c r="GE19" s="13" t="s">
        <v>816</v>
      </c>
      <c r="GF19" s="13" t="s">
        <v>816</v>
      </c>
      <c r="GH19" s="13" t="s">
        <v>816</v>
      </c>
    </row>
    <row r="20" spans="1:190" ht="15" customHeight="1" x14ac:dyDescent="0.2">
      <c r="A20" s="1" t="s">
        <v>213</v>
      </c>
      <c r="B20" s="1" t="s">
        <v>661</v>
      </c>
      <c r="C20" s="1" t="s">
        <v>665</v>
      </c>
      <c r="D20" s="1" t="s">
        <v>681</v>
      </c>
      <c r="E20" s="1" t="s">
        <v>130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816</v>
      </c>
      <c r="FS20" s="13" t="s">
        <v>816</v>
      </c>
      <c r="FT20" s="13" t="s">
        <v>816</v>
      </c>
      <c r="FU20" s="13"/>
      <c r="FV20" s="13" t="s">
        <v>816</v>
      </c>
      <c r="FW20" s="13" t="s">
        <v>816</v>
      </c>
      <c r="FX20" s="13" t="s">
        <v>816</v>
      </c>
      <c r="FY20" s="13" t="s">
        <v>816</v>
      </c>
      <c r="FZ20" s="13" t="s">
        <v>816</v>
      </c>
      <c r="GA20" s="13" t="s">
        <v>816</v>
      </c>
      <c r="GB20" s="13" t="s">
        <v>816</v>
      </c>
      <c r="GE20" s="13" t="s">
        <v>816</v>
      </c>
      <c r="GF20" s="13" t="s">
        <v>816</v>
      </c>
      <c r="GH20" s="13" t="s">
        <v>816</v>
      </c>
    </row>
    <row r="21" spans="1:190" ht="15" customHeight="1" x14ac:dyDescent="0.2">
      <c r="A21" s="1" t="s">
        <v>213</v>
      </c>
      <c r="B21" s="1" t="s">
        <v>661</v>
      </c>
      <c r="C21" s="1" t="s">
        <v>665</v>
      </c>
      <c r="D21" s="1" t="s">
        <v>681</v>
      </c>
      <c r="E21" s="1" t="s">
        <v>130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816</v>
      </c>
      <c r="FS21" s="13" t="s">
        <v>816</v>
      </c>
      <c r="FT21" s="13" t="s">
        <v>816</v>
      </c>
      <c r="FU21" s="13"/>
      <c r="FV21" s="13" t="s">
        <v>816</v>
      </c>
      <c r="FW21" s="13" t="s">
        <v>816</v>
      </c>
      <c r="FX21" s="13" t="s">
        <v>816</v>
      </c>
      <c r="FY21" s="13" t="s">
        <v>816</v>
      </c>
      <c r="FZ21" s="13" t="s">
        <v>816</v>
      </c>
      <c r="GA21" s="13" t="s">
        <v>816</v>
      </c>
      <c r="GB21" s="13" t="s">
        <v>816</v>
      </c>
      <c r="GE21" s="13" t="s">
        <v>816</v>
      </c>
      <c r="GF21" s="13" t="s">
        <v>816</v>
      </c>
      <c r="GH21" s="13" t="s">
        <v>816</v>
      </c>
    </row>
    <row r="22" spans="1:190" ht="15" customHeight="1" x14ac:dyDescent="0.2">
      <c r="A22" s="1" t="s">
        <v>213</v>
      </c>
      <c r="B22" s="1" t="s">
        <v>661</v>
      </c>
      <c r="C22" s="1" t="s">
        <v>665</v>
      </c>
      <c r="D22" s="1" t="s">
        <v>681</v>
      </c>
      <c r="E22" s="1" t="s">
        <v>130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816</v>
      </c>
      <c r="FS22" s="13" t="s">
        <v>816</v>
      </c>
      <c r="FT22" s="13" t="s">
        <v>816</v>
      </c>
      <c r="FU22" s="13"/>
      <c r="FV22" s="13" t="s">
        <v>816</v>
      </c>
      <c r="FW22" s="13" t="s">
        <v>816</v>
      </c>
      <c r="FX22" s="13" t="s">
        <v>816</v>
      </c>
      <c r="FY22" s="13" t="s">
        <v>816</v>
      </c>
      <c r="FZ22" s="13" t="s">
        <v>816</v>
      </c>
      <c r="GA22" s="13" t="s">
        <v>816</v>
      </c>
      <c r="GB22" s="13" t="s">
        <v>816</v>
      </c>
      <c r="GE22" s="13" t="s">
        <v>816</v>
      </c>
      <c r="GF22" s="13" t="s">
        <v>816</v>
      </c>
      <c r="GH22" s="13" t="s">
        <v>816</v>
      </c>
    </row>
    <row r="23" spans="1:190" ht="15" customHeight="1" x14ac:dyDescent="0.2">
      <c r="A23" s="1" t="s">
        <v>213</v>
      </c>
      <c r="B23" s="1" t="s">
        <v>661</v>
      </c>
      <c r="C23" s="1" t="s">
        <v>665</v>
      </c>
      <c r="D23" s="1" t="s">
        <v>681</v>
      </c>
      <c r="E23" s="1" t="s">
        <v>130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816</v>
      </c>
      <c r="FS23" s="13" t="s">
        <v>816</v>
      </c>
      <c r="FT23" s="13" t="s">
        <v>816</v>
      </c>
      <c r="FU23" s="13"/>
      <c r="FV23" s="13" t="s">
        <v>816</v>
      </c>
      <c r="FW23" s="13" t="s">
        <v>816</v>
      </c>
      <c r="FX23" s="13" t="s">
        <v>816</v>
      </c>
      <c r="FY23" s="13" t="s">
        <v>816</v>
      </c>
      <c r="FZ23" s="13" t="s">
        <v>816</v>
      </c>
      <c r="GA23" s="13" t="s">
        <v>816</v>
      </c>
      <c r="GB23" s="13" t="s">
        <v>816</v>
      </c>
      <c r="GE23" s="13" t="s">
        <v>816</v>
      </c>
      <c r="GF23" s="13" t="s">
        <v>816</v>
      </c>
      <c r="GH23" s="13" t="s">
        <v>816</v>
      </c>
    </row>
    <row r="24" spans="1:190" ht="15" customHeight="1" x14ac:dyDescent="0.2">
      <c r="A24" s="1" t="s">
        <v>213</v>
      </c>
      <c r="B24" s="1" t="s">
        <v>661</v>
      </c>
      <c r="C24" s="1" t="s">
        <v>665</v>
      </c>
      <c r="D24" s="1" t="s">
        <v>681</v>
      </c>
      <c r="E24" s="1" t="s">
        <v>130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816</v>
      </c>
      <c r="FS24" s="13" t="s">
        <v>816</v>
      </c>
      <c r="FT24" s="13" t="s">
        <v>816</v>
      </c>
      <c r="FU24" s="13"/>
      <c r="FV24" s="13" t="s">
        <v>816</v>
      </c>
      <c r="FW24" s="13" t="s">
        <v>816</v>
      </c>
      <c r="FX24" s="13" t="s">
        <v>816</v>
      </c>
      <c r="FY24" s="13" t="s">
        <v>816</v>
      </c>
      <c r="FZ24" s="13" t="s">
        <v>816</v>
      </c>
      <c r="GA24" s="13" t="s">
        <v>816</v>
      </c>
      <c r="GB24" s="13" t="s">
        <v>816</v>
      </c>
      <c r="GE24" s="13" t="s">
        <v>816</v>
      </c>
      <c r="GF24" s="13" t="s">
        <v>816</v>
      </c>
      <c r="GH24" s="13" t="s">
        <v>816</v>
      </c>
    </row>
    <row r="25" spans="1:190" ht="15" customHeight="1" x14ac:dyDescent="0.2">
      <c r="A25" s="1" t="s">
        <v>213</v>
      </c>
      <c r="B25" s="1" t="s">
        <v>661</v>
      </c>
      <c r="C25" s="1" t="s">
        <v>665</v>
      </c>
      <c r="D25" s="1" t="s">
        <v>681</v>
      </c>
      <c r="E25" s="1" t="s">
        <v>130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816</v>
      </c>
      <c r="FS25" s="13" t="s">
        <v>816</v>
      </c>
      <c r="FT25" s="13" t="s">
        <v>816</v>
      </c>
      <c r="FU25" s="13"/>
      <c r="FV25" s="13" t="s">
        <v>816</v>
      </c>
      <c r="FW25" s="13" t="s">
        <v>816</v>
      </c>
      <c r="FX25" s="13" t="s">
        <v>816</v>
      </c>
      <c r="FY25" s="13" t="s">
        <v>816</v>
      </c>
      <c r="FZ25" s="13" t="s">
        <v>816</v>
      </c>
      <c r="GA25" s="13" t="s">
        <v>816</v>
      </c>
      <c r="GB25" s="13" t="s">
        <v>816</v>
      </c>
      <c r="GE25" s="13" t="s">
        <v>816</v>
      </c>
      <c r="GF25" s="13" t="s">
        <v>816</v>
      </c>
      <c r="GH25" s="13" t="s">
        <v>816</v>
      </c>
    </row>
    <row r="26" spans="1:190" ht="15" customHeight="1" x14ac:dyDescent="0.2">
      <c r="A26" s="1" t="s">
        <v>367</v>
      </c>
      <c r="B26" s="1" t="s">
        <v>660</v>
      </c>
      <c r="C26" s="1" t="s">
        <v>666</v>
      </c>
      <c r="D26" s="1" t="s">
        <v>682</v>
      </c>
      <c r="E26" s="1" t="s">
        <v>130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816</v>
      </c>
      <c r="FS26" s="13" t="s">
        <v>816</v>
      </c>
      <c r="FT26" s="13" t="s">
        <v>816</v>
      </c>
      <c r="FU26" s="13"/>
      <c r="FV26" s="13" t="s">
        <v>816</v>
      </c>
      <c r="FW26" s="13" t="s">
        <v>816</v>
      </c>
      <c r="FX26" s="13" t="s">
        <v>816</v>
      </c>
      <c r="FY26" s="13" t="s">
        <v>816</v>
      </c>
      <c r="FZ26" s="13" t="s">
        <v>816</v>
      </c>
      <c r="GA26" s="13" t="s">
        <v>816</v>
      </c>
      <c r="GB26" s="13" t="s">
        <v>816</v>
      </c>
      <c r="GE26" s="13" t="s">
        <v>816</v>
      </c>
      <c r="GF26" s="13" t="s">
        <v>816</v>
      </c>
      <c r="GH26" s="13" t="s">
        <v>816</v>
      </c>
    </row>
    <row r="27" spans="1:190" ht="15" customHeight="1" x14ac:dyDescent="0.2">
      <c r="A27" s="1" t="s">
        <v>367</v>
      </c>
      <c r="B27" s="1" t="s">
        <v>660</v>
      </c>
      <c r="C27" s="1" t="s">
        <v>666</v>
      </c>
      <c r="D27" s="1" t="s">
        <v>682</v>
      </c>
      <c r="E27" s="1" t="s">
        <v>130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816</v>
      </c>
      <c r="FS27" s="13" t="s">
        <v>816</v>
      </c>
      <c r="FT27" s="13" t="s">
        <v>816</v>
      </c>
      <c r="FU27" s="13"/>
      <c r="FV27" s="13" t="s">
        <v>816</v>
      </c>
      <c r="FW27" s="13" t="s">
        <v>816</v>
      </c>
      <c r="FX27" s="13" t="s">
        <v>816</v>
      </c>
      <c r="FY27" s="13" t="s">
        <v>816</v>
      </c>
      <c r="FZ27" s="13" t="s">
        <v>816</v>
      </c>
      <c r="GA27" s="13" t="s">
        <v>816</v>
      </c>
      <c r="GB27" s="13" t="s">
        <v>816</v>
      </c>
      <c r="GE27" s="13" t="s">
        <v>816</v>
      </c>
      <c r="GF27" s="13" t="s">
        <v>816</v>
      </c>
      <c r="GH27" s="13" t="s">
        <v>816</v>
      </c>
    </row>
    <row r="28" spans="1:190" ht="15" customHeight="1" x14ac:dyDescent="0.2">
      <c r="A28" s="1" t="s">
        <v>367</v>
      </c>
      <c r="B28" s="1" t="s">
        <v>660</v>
      </c>
      <c r="C28" s="1" t="s">
        <v>666</v>
      </c>
      <c r="D28" s="1" t="s">
        <v>682</v>
      </c>
      <c r="E28" s="1" t="s">
        <v>130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816</v>
      </c>
      <c r="FS28" s="13" t="s">
        <v>816</v>
      </c>
      <c r="FT28" s="13" t="s">
        <v>816</v>
      </c>
      <c r="FU28" s="13"/>
      <c r="FV28" s="13" t="s">
        <v>816</v>
      </c>
      <c r="FW28" s="13" t="s">
        <v>816</v>
      </c>
      <c r="FX28" s="13" t="s">
        <v>816</v>
      </c>
      <c r="FY28" s="13" t="s">
        <v>816</v>
      </c>
      <c r="FZ28" s="13" t="s">
        <v>816</v>
      </c>
      <c r="GA28" s="13" t="s">
        <v>816</v>
      </c>
      <c r="GB28" s="13" t="s">
        <v>816</v>
      </c>
      <c r="GE28" s="13" t="s">
        <v>816</v>
      </c>
      <c r="GF28" s="13" t="s">
        <v>816</v>
      </c>
      <c r="GH28" s="13" t="s">
        <v>816</v>
      </c>
    </row>
    <row r="29" spans="1:190" ht="15" customHeight="1" x14ac:dyDescent="0.2">
      <c r="A29" s="1" t="s">
        <v>367</v>
      </c>
      <c r="B29" s="1" t="s">
        <v>660</v>
      </c>
      <c r="C29" s="1" t="s">
        <v>666</v>
      </c>
      <c r="D29" s="1" t="s">
        <v>682</v>
      </c>
      <c r="E29" s="1" t="s">
        <v>130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816</v>
      </c>
      <c r="FS29" s="13" t="s">
        <v>816</v>
      </c>
      <c r="FT29" s="13" t="s">
        <v>816</v>
      </c>
      <c r="FU29" s="13"/>
      <c r="FV29" s="13" t="s">
        <v>816</v>
      </c>
      <c r="FW29" s="13" t="s">
        <v>816</v>
      </c>
      <c r="FX29" s="13" t="s">
        <v>816</v>
      </c>
      <c r="FY29" s="13" t="s">
        <v>816</v>
      </c>
      <c r="FZ29" s="13" t="s">
        <v>816</v>
      </c>
      <c r="GA29" s="13" t="s">
        <v>816</v>
      </c>
      <c r="GB29" s="13" t="s">
        <v>816</v>
      </c>
      <c r="GE29" s="13" t="s">
        <v>816</v>
      </c>
      <c r="GF29" s="13" t="s">
        <v>816</v>
      </c>
      <c r="GH29" s="13" t="s">
        <v>816</v>
      </c>
    </row>
    <row r="30" spans="1:190" ht="15" customHeight="1" x14ac:dyDescent="0.2">
      <c r="A30" s="1" t="s">
        <v>367</v>
      </c>
      <c r="B30" s="1" t="s">
        <v>660</v>
      </c>
      <c r="C30" s="1" t="s">
        <v>666</v>
      </c>
      <c r="D30" s="1" t="s">
        <v>682</v>
      </c>
      <c r="E30" s="1" t="s">
        <v>130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816</v>
      </c>
      <c r="FS30" s="13" t="s">
        <v>816</v>
      </c>
      <c r="FT30" s="13" t="s">
        <v>816</v>
      </c>
      <c r="FU30" s="13"/>
      <c r="FV30" s="13" t="s">
        <v>816</v>
      </c>
      <c r="FW30" s="13" t="s">
        <v>816</v>
      </c>
      <c r="FX30" s="13" t="s">
        <v>816</v>
      </c>
      <c r="FY30" s="13" t="s">
        <v>816</v>
      </c>
      <c r="FZ30" s="13" t="s">
        <v>816</v>
      </c>
      <c r="GA30" s="13" t="s">
        <v>816</v>
      </c>
      <c r="GB30" s="13" t="s">
        <v>816</v>
      </c>
      <c r="GE30" s="13" t="s">
        <v>816</v>
      </c>
      <c r="GF30" s="13" t="s">
        <v>816</v>
      </c>
      <c r="GH30" s="13" t="s">
        <v>816</v>
      </c>
    </row>
    <row r="31" spans="1:190" ht="15" customHeight="1" x14ac:dyDescent="0.2">
      <c r="A31" s="1" t="s">
        <v>367</v>
      </c>
      <c r="B31" s="1" t="s">
        <v>660</v>
      </c>
      <c r="C31" s="1" t="s">
        <v>666</v>
      </c>
      <c r="D31" s="1" t="s">
        <v>682</v>
      </c>
      <c r="E31" s="1" t="s">
        <v>130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816</v>
      </c>
      <c r="FS31" s="13" t="s">
        <v>816</v>
      </c>
      <c r="FT31" s="13" t="s">
        <v>816</v>
      </c>
      <c r="FU31" s="13"/>
      <c r="FV31" s="13" t="s">
        <v>816</v>
      </c>
      <c r="FW31" s="13" t="s">
        <v>816</v>
      </c>
      <c r="FX31" s="13" t="s">
        <v>816</v>
      </c>
      <c r="FY31" s="13" t="s">
        <v>816</v>
      </c>
      <c r="FZ31" s="13" t="s">
        <v>816</v>
      </c>
      <c r="GA31" s="13" t="s">
        <v>816</v>
      </c>
      <c r="GB31" s="13" t="s">
        <v>816</v>
      </c>
      <c r="GE31" s="13" t="s">
        <v>816</v>
      </c>
      <c r="GF31" s="13" t="s">
        <v>816</v>
      </c>
      <c r="GH31" s="13" t="s">
        <v>816</v>
      </c>
    </row>
    <row r="32" spans="1:190" ht="15" customHeight="1" x14ac:dyDescent="0.2">
      <c r="A32" s="1" t="s">
        <v>367</v>
      </c>
      <c r="B32" s="1" t="s">
        <v>660</v>
      </c>
      <c r="C32" s="1" t="s">
        <v>666</v>
      </c>
      <c r="D32" s="1" t="s">
        <v>682</v>
      </c>
      <c r="E32" s="1" t="s">
        <v>130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816</v>
      </c>
      <c r="FS32" s="13" t="s">
        <v>816</v>
      </c>
      <c r="FT32" s="13" t="s">
        <v>816</v>
      </c>
      <c r="FU32" s="13"/>
      <c r="FV32" s="13" t="s">
        <v>816</v>
      </c>
      <c r="FW32" s="13" t="s">
        <v>816</v>
      </c>
      <c r="FX32" s="13" t="s">
        <v>816</v>
      </c>
      <c r="FY32" s="13" t="s">
        <v>816</v>
      </c>
      <c r="FZ32" s="13" t="s">
        <v>816</v>
      </c>
      <c r="GA32" s="13" t="s">
        <v>816</v>
      </c>
      <c r="GB32" s="13" t="s">
        <v>816</v>
      </c>
      <c r="GE32" s="13" t="s">
        <v>816</v>
      </c>
      <c r="GF32" s="13" t="s">
        <v>816</v>
      </c>
      <c r="GH32" s="13" t="s">
        <v>816</v>
      </c>
    </row>
    <row r="33" spans="1:190" ht="15" customHeight="1" x14ac:dyDescent="0.2">
      <c r="A33" s="1" t="s">
        <v>367</v>
      </c>
      <c r="B33" s="1" t="s">
        <v>660</v>
      </c>
      <c r="C33" s="1" t="s">
        <v>666</v>
      </c>
      <c r="D33" s="1" t="s">
        <v>682</v>
      </c>
      <c r="E33" s="1" t="s">
        <v>130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816</v>
      </c>
      <c r="FS33" s="13" t="s">
        <v>816</v>
      </c>
      <c r="FT33" s="13" t="s">
        <v>816</v>
      </c>
      <c r="FU33" s="13"/>
      <c r="FV33" s="13" t="s">
        <v>816</v>
      </c>
      <c r="FW33" s="13" t="s">
        <v>816</v>
      </c>
      <c r="FX33" s="13" t="s">
        <v>816</v>
      </c>
      <c r="FY33" s="13" t="s">
        <v>816</v>
      </c>
      <c r="FZ33" s="13" t="s">
        <v>816</v>
      </c>
      <c r="GA33" s="13" t="s">
        <v>816</v>
      </c>
      <c r="GB33" s="13" t="s">
        <v>816</v>
      </c>
      <c r="GE33" s="13" t="s">
        <v>816</v>
      </c>
      <c r="GF33" s="13" t="s">
        <v>816</v>
      </c>
      <c r="GH33" s="13" t="s">
        <v>816</v>
      </c>
    </row>
    <row r="34" spans="1:190" ht="15" customHeight="1" x14ac:dyDescent="0.2">
      <c r="A34" s="1" t="s">
        <v>211</v>
      </c>
      <c r="B34" s="1" t="s">
        <v>757</v>
      </c>
      <c r="C34" s="1" t="s">
        <v>666</v>
      </c>
      <c r="D34" s="1" t="s">
        <v>683</v>
      </c>
      <c r="E34" s="1" t="s">
        <v>130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816</v>
      </c>
      <c r="FS34" s="13" t="s">
        <v>816</v>
      </c>
      <c r="FT34" s="13" t="s">
        <v>816</v>
      </c>
      <c r="FU34" s="13"/>
      <c r="FV34" s="13" t="s">
        <v>816</v>
      </c>
      <c r="FW34" s="13" t="s">
        <v>816</v>
      </c>
      <c r="FX34" s="13" t="s">
        <v>816</v>
      </c>
      <c r="FY34" s="13" t="s">
        <v>816</v>
      </c>
      <c r="FZ34" s="13" t="s">
        <v>816</v>
      </c>
      <c r="GA34" s="13" t="s">
        <v>816</v>
      </c>
      <c r="GB34" s="13" t="s">
        <v>816</v>
      </c>
      <c r="GE34" s="13" t="s">
        <v>816</v>
      </c>
      <c r="GF34" s="13" t="s">
        <v>816</v>
      </c>
      <c r="GH34" s="13" t="s">
        <v>816</v>
      </c>
    </row>
    <row r="35" spans="1:190" ht="15" customHeight="1" x14ac:dyDescent="0.2">
      <c r="A35" s="1" t="s">
        <v>211</v>
      </c>
      <c r="B35" s="1" t="s">
        <v>757</v>
      </c>
      <c r="C35" s="1" t="s">
        <v>666</v>
      </c>
      <c r="D35" s="1" t="s">
        <v>683</v>
      </c>
      <c r="E35" s="1" t="s">
        <v>130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816</v>
      </c>
      <c r="FS35" s="13" t="s">
        <v>816</v>
      </c>
      <c r="FT35" s="13" t="s">
        <v>816</v>
      </c>
      <c r="FU35" s="13"/>
      <c r="FV35" s="13" t="s">
        <v>816</v>
      </c>
      <c r="FW35" s="13" t="s">
        <v>816</v>
      </c>
      <c r="FX35" s="13" t="s">
        <v>816</v>
      </c>
      <c r="FY35" s="13" t="s">
        <v>816</v>
      </c>
      <c r="FZ35" s="13" t="s">
        <v>816</v>
      </c>
      <c r="GA35" s="13" t="s">
        <v>816</v>
      </c>
      <c r="GB35" s="13" t="s">
        <v>816</v>
      </c>
      <c r="GE35" s="13" t="s">
        <v>816</v>
      </c>
      <c r="GF35" s="13" t="s">
        <v>816</v>
      </c>
      <c r="GH35" s="13" t="s">
        <v>816</v>
      </c>
    </row>
    <row r="36" spans="1:190" ht="15" customHeight="1" x14ac:dyDescent="0.2">
      <c r="A36" s="1" t="s">
        <v>211</v>
      </c>
      <c r="B36" s="1" t="s">
        <v>757</v>
      </c>
      <c r="C36" s="1" t="s">
        <v>666</v>
      </c>
      <c r="D36" s="1" t="s">
        <v>683</v>
      </c>
      <c r="E36" s="1" t="s">
        <v>130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816</v>
      </c>
      <c r="FS36" s="13" t="s">
        <v>816</v>
      </c>
      <c r="FT36" s="13" t="s">
        <v>816</v>
      </c>
      <c r="FU36" s="13"/>
      <c r="FV36" s="13" t="s">
        <v>816</v>
      </c>
      <c r="FW36" s="13" t="s">
        <v>816</v>
      </c>
      <c r="FX36" s="13" t="s">
        <v>816</v>
      </c>
      <c r="FY36" s="13" t="s">
        <v>816</v>
      </c>
      <c r="FZ36" s="13" t="s">
        <v>816</v>
      </c>
      <c r="GA36" s="13" t="s">
        <v>816</v>
      </c>
      <c r="GB36" s="13" t="s">
        <v>816</v>
      </c>
      <c r="GE36" s="13" t="s">
        <v>816</v>
      </c>
      <c r="GF36" s="13" t="s">
        <v>816</v>
      </c>
      <c r="GH36" s="13" t="s">
        <v>816</v>
      </c>
    </row>
    <row r="37" spans="1:190" ht="15" customHeight="1" x14ac:dyDescent="0.2">
      <c r="A37" s="1" t="s">
        <v>211</v>
      </c>
      <c r="B37" s="1" t="s">
        <v>757</v>
      </c>
      <c r="C37" s="1" t="s">
        <v>666</v>
      </c>
      <c r="D37" s="1" t="s">
        <v>683</v>
      </c>
      <c r="E37" s="1" t="s">
        <v>130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816</v>
      </c>
      <c r="FS37" s="13" t="s">
        <v>816</v>
      </c>
      <c r="FT37" s="13" t="s">
        <v>816</v>
      </c>
      <c r="FU37" s="13"/>
      <c r="FV37" s="13" t="s">
        <v>816</v>
      </c>
      <c r="FW37" s="13" t="s">
        <v>816</v>
      </c>
      <c r="FX37" s="13" t="s">
        <v>816</v>
      </c>
      <c r="FY37" s="13" t="s">
        <v>816</v>
      </c>
      <c r="FZ37" s="13" t="s">
        <v>816</v>
      </c>
      <c r="GA37" s="13" t="s">
        <v>816</v>
      </c>
      <c r="GB37" s="13" t="s">
        <v>816</v>
      </c>
      <c r="GE37" s="13" t="s">
        <v>816</v>
      </c>
      <c r="GF37" s="13" t="s">
        <v>816</v>
      </c>
      <c r="GH37" s="13" t="s">
        <v>816</v>
      </c>
    </row>
    <row r="38" spans="1:190" ht="15" customHeight="1" x14ac:dyDescent="0.2">
      <c r="A38" s="1" t="s">
        <v>211</v>
      </c>
      <c r="B38" s="1" t="s">
        <v>757</v>
      </c>
      <c r="C38" s="1" t="s">
        <v>666</v>
      </c>
      <c r="D38" s="1" t="s">
        <v>683</v>
      </c>
      <c r="E38" s="1" t="s">
        <v>130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816</v>
      </c>
      <c r="FS38" s="13" t="s">
        <v>816</v>
      </c>
      <c r="FT38" s="13" t="s">
        <v>816</v>
      </c>
      <c r="FU38" s="13"/>
      <c r="FV38" s="13" t="s">
        <v>816</v>
      </c>
      <c r="FW38" s="13" t="s">
        <v>816</v>
      </c>
      <c r="FX38" s="13" t="s">
        <v>816</v>
      </c>
      <c r="FY38" s="13" t="s">
        <v>816</v>
      </c>
      <c r="FZ38" s="13" t="s">
        <v>816</v>
      </c>
      <c r="GA38" s="13" t="s">
        <v>816</v>
      </c>
      <c r="GB38" s="13" t="s">
        <v>816</v>
      </c>
      <c r="GE38" s="13" t="s">
        <v>816</v>
      </c>
      <c r="GF38" s="13" t="s">
        <v>816</v>
      </c>
      <c r="GH38" s="13" t="s">
        <v>816</v>
      </c>
    </row>
    <row r="39" spans="1:190" ht="15" customHeight="1" x14ac:dyDescent="0.2">
      <c r="A39" s="1" t="s">
        <v>211</v>
      </c>
      <c r="B39" s="1" t="s">
        <v>757</v>
      </c>
      <c r="C39" s="1" t="s">
        <v>666</v>
      </c>
      <c r="D39" s="1" t="s">
        <v>683</v>
      </c>
      <c r="E39" s="1" t="s">
        <v>130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816</v>
      </c>
      <c r="FS39" s="13" t="s">
        <v>816</v>
      </c>
      <c r="FT39" s="13" t="s">
        <v>816</v>
      </c>
      <c r="FU39" s="13"/>
      <c r="FV39" s="13" t="s">
        <v>816</v>
      </c>
      <c r="FW39" s="13" t="s">
        <v>816</v>
      </c>
      <c r="FX39" s="13" t="s">
        <v>816</v>
      </c>
      <c r="FY39" s="13" t="s">
        <v>816</v>
      </c>
      <c r="FZ39" s="13" t="s">
        <v>816</v>
      </c>
      <c r="GA39" s="13" t="s">
        <v>816</v>
      </c>
      <c r="GB39" s="13" t="s">
        <v>816</v>
      </c>
      <c r="GE39" s="13" t="s">
        <v>816</v>
      </c>
      <c r="GF39" s="13" t="s">
        <v>816</v>
      </c>
      <c r="GH39" s="13" t="s">
        <v>816</v>
      </c>
    </row>
    <row r="40" spans="1:190" ht="15" customHeight="1" x14ac:dyDescent="0.2">
      <c r="A40" s="1" t="s">
        <v>211</v>
      </c>
      <c r="B40" s="1" t="s">
        <v>757</v>
      </c>
      <c r="C40" s="1" t="s">
        <v>666</v>
      </c>
      <c r="D40" s="1" t="s">
        <v>683</v>
      </c>
      <c r="E40" s="1" t="s">
        <v>130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816</v>
      </c>
      <c r="FS40" s="13" t="s">
        <v>816</v>
      </c>
      <c r="FT40" s="13" t="s">
        <v>816</v>
      </c>
      <c r="FU40" s="13"/>
      <c r="FV40" s="13" t="s">
        <v>816</v>
      </c>
      <c r="FW40" s="13" t="s">
        <v>816</v>
      </c>
      <c r="FX40" s="13" t="s">
        <v>816</v>
      </c>
      <c r="FY40" s="13" t="s">
        <v>816</v>
      </c>
      <c r="FZ40" s="13" t="s">
        <v>816</v>
      </c>
      <c r="GA40" s="13" t="s">
        <v>816</v>
      </c>
      <c r="GB40" s="13" t="s">
        <v>816</v>
      </c>
      <c r="GE40" s="13" t="s">
        <v>816</v>
      </c>
      <c r="GF40" s="13" t="s">
        <v>816</v>
      </c>
      <c r="GH40" s="13" t="s">
        <v>816</v>
      </c>
    </row>
    <row r="41" spans="1:190" ht="15" customHeight="1" x14ac:dyDescent="0.2">
      <c r="A41" s="1" t="s">
        <v>211</v>
      </c>
      <c r="B41" s="1" t="s">
        <v>757</v>
      </c>
      <c r="C41" s="1" t="s">
        <v>666</v>
      </c>
      <c r="D41" s="1" t="s">
        <v>683</v>
      </c>
      <c r="E41" s="1" t="s">
        <v>130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816</v>
      </c>
      <c r="FS41" s="13" t="s">
        <v>816</v>
      </c>
      <c r="FT41" s="13" t="s">
        <v>816</v>
      </c>
      <c r="FU41" s="13"/>
      <c r="FV41" s="13" t="s">
        <v>816</v>
      </c>
      <c r="FW41" s="13" t="s">
        <v>816</v>
      </c>
      <c r="FX41" s="13" t="s">
        <v>816</v>
      </c>
      <c r="FY41" s="13" t="s">
        <v>816</v>
      </c>
      <c r="FZ41" s="13" t="s">
        <v>816</v>
      </c>
      <c r="GA41" s="13" t="s">
        <v>816</v>
      </c>
      <c r="GB41" s="13" t="s">
        <v>816</v>
      </c>
      <c r="GE41" s="13" t="s">
        <v>816</v>
      </c>
      <c r="GF41" s="13" t="s">
        <v>816</v>
      </c>
      <c r="GH41" s="13" t="s">
        <v>816</v>
      </c>
    </row>
    <row r="42" spans="1:190" ht="15" customHeight="1" x14ac:dyDescent="0.2">
      <c r="A42" s="1" t="s">
        <v>213</v>
      </c>
      <c r="B42" s="1" t="s">
        <v>661</v>
      </c>
      <c r="C42" s="1" t="s">
        <v>666</v>
      </c>
      <c r="D42" s="1" t="s">
        <v>684</v>
      </c>
      <c r="E42" s="1" t="s">
        <v>130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816</v>
      </c>
      <c r="FS42" s="13" t="s">
        <v>816</v>
      </c>
      <c r="FT42" s="13" t="s">
        <v>816</v>
      </c>
      <c r="FU42" s="13"/>
      <c r="FV42" s="13" t="s">
        <v>816</v>
      </c>
      <c r="FW42" s="13" t="s">
        <v>816</v>
      </c>
      <c r="FX42" s="13" t="s">
        <v>816</v>
      </c>
      <c r="FY42" s="13" t="s">
        <v>816</v>
      </c>
      <c r="FZ42" s="13" t="s">
        <v>816</v>
      </c>
      <c r="GA42" s="13" t="s">
        <v>816</v>
      </c>
      <c r="GB42" s="13" t="s">
        <v>816</v>
      </c>
      <c r="GE42" s="13" t="s">
        <v>816</v>
      </c>
      <c r="GF42" s="13" t="s">
        <v>816</v>
      </c>
      <c r="GH42" s="13" t="s">
        <v>816</v>
      </c>
    </row>
    <row r="43" spans="1:190" ht="15" customHeight="1" x14ac:dyDescent="0.2">
      <c r="A43" s="1" t="s">
        <v>213</v>
      </c>
      <c r="B43" s="1" t="s">
        <v>661</v>
      </c>
      <c r="C43" s="1" t="s">
        <v>666</v>
      </c>
      <c r="D43" s="1" t="s">
        <v>684</v>
      </c>
      <c r="E43" s="1" t="s">
        <v>130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816</v>
      </c>
      <c r="FS43" s="13" t="s">
        <v>816</v>
      </c>
      <c r="FT43" s="13" t="s">
        <v>816</v>
      </c>
      <c r="FU43" s="13"/>
      <c r="FV43" s="13" t="s">
        <v>816</v>
      </c>
      <c r="FW43" s="13" t="s">
        <v>816</v>
      </c>
      <c r="FX43" s="13" t="s">
        <v>816</v>
      </c>
      <c r="FY43" s="13" t="s">
        <v>816</v>
      </c>
      <c r="FZ43" s="13" t="s">
        <v>816</v>
      </c>
      <c r="GA43" s="13" t="s">
        <v>816</v>
      </c>
      <c r="GB43" s="13" t="s">
        <v>816</v>
      </c>
      <c r="GE43" s="13" t="s">
        <v>816</v>
      </c>
      <c r="GF43" s="13" t="s">
        <v>816</v>
      </c>
      <c r="GH43" s="13" t="s">
        <v>816</v>
      </c>
    </row>
    <row r="44" spans="1:190" ht="15" customHeight="1" x14ac:dyDescent="0.2">
      <c r="A44" s="1" t="s">
        <v>213</v>
      </c>
      <c r="B44" s="1" t="s">
        <v>661</v>
      </c>
      <c r="C44" s="1" t="s">
        <v>666</v>
      </c>
      <c r="D44" s="1" t="s">
        <v>684</v>
      </c>
      <c r="E44" s="1" t="s">
        <v>130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816</v>
      </c>
      <c r="FS44" s="13" t="s">
        <v>816</v>
      </c>
      <c r="FT44" s="13" t="s">
        <v>816</v>
      </c>
      <c r="FU44" s="13"/>
      <c r="FV44" s="13" t="s">
        <v>816</v>
      </c>
      <c r="FW44" s="13" t="s">
        <v>816</v>
      </c>
      <c r="FX44" s="13" t="s">
        <v>816</v>
      </c>
      <c r="FY44" s="13" t="s">
        <v>816</v>
      </c>
      <c r="FZ44" s="13" t="s">
        <v>816</v>
      </c>
      <c r="GA44" s="13" t="s">
        <v>816</v>
      </c>
      <c r="GB44" s="13" t="s">
        <v>816</v>
      </c>
      <c r="GE44" s="13" t="s">
        <v>816</v>
      </c>
      <c r="GF44" s="13" t="s">
        <v>816</v>
      </c>
      <c r="GH44" s="13" t="s">
        <v>816</v>
      </c>
    </row>
    <row r="45" spans="1:190" ht="15" customHeight="1" x14ac:dyDescent="0.2">
      <c r="A45" s="1" t="s">
        <v>213</v>
      </c>
      <c r="B45" s="1" t="s">
        <v>661</v>
      </c>
      <c r="C45" s="1" t="s">
        <v>666</v>
      </c>
      <c r="D45" s="1" t="s">
        <v>684</v>
      </c>
      <c r="E45" s="1" t="s">
        <v>130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816</v>
      </c>
      <c r="FS45" s="13" t="s">
        <v>816</v>
      </c>
      <c r="FT45" s="13" t="s">
        <v>816</v>
      </c>
      <c r="FU45" s="13"/>
      <c r="FV45" s="13" t="s">
        <v>816</v>
      </c>
      <c r="FW45" s="13" t="s">
        <v>816</v>
      </c>
      <c r="FX45" s="13" t="s">
        <v>816</v>
      </c>
      <c r="FY45" s="13" t="s">
        <v>816</v>
      </c>
      <c r="FZ45" s="13" t="s">
        <v>816</v>
      </c>
      <c r="GA45" s="13" t="s">
        <v>816</v>
      </c>
      <c r="GB45" s="13" t="s">
        <v>816</v>
      </c>
      <c r="GE45" s="13" t="s">
        <v>816</v>
      </c>
      <c r="GF45" s="13" t="s">
        <v>816</v>
      </c>
      <c r="GH45" s="13" t="s">
        <v>816</v>
      </c>
    </row>
    <row r="46" spans="1:190" ht="15" customHeight="1" x14ac:dyDescent="0.2">
      <c r="A46" s="1" t="s">
        <v>213</v>
      </c>
      <c r="B46" s="1" t="s">
        <v>661</v>
      </c>
      <c r="C46" s="1" t="s">
        <v>666</v>
      </c>
      <c r="D46" s="1" t="s">
        <v>684</v>
      </c>
      <c r="E46" s="1" t="s">
        <v>130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816</v>
      </c>
      <c r="FS46" s="13" t="s">
        <v>816</v>
      </c>
      <c r="FT46" s="13" t="s">
        <v>816</v>
      </c>
      <c r="FU46" s="13"/>
      <c r="FV46" s="13" t="s">
        <v>816</v>
      </c>
      <c r="FW46" s="13" t="s">
        <v>816</v>
      </c>
      <c r="FX46" s="13" t="s">
        <v>816</v>
      </c>
      <c r="FY46" s="13" t="s">
        <v>816</v>
      </c>
      <c r="FZ46" s="13" t="s">
        <v>816</v>
      </c>
      <c r="GA46" s="13" t="s">
        <v>816</v>
      </c>
      <c r="GB46" s="13" t="s">
        <v>816</v>
      </c>
      <c r="GE46" s="13" t="s">
        <v>816</v>
      </c>
      <c r="GF46" s="13" t="s">
        <v>816</v>
      </c>
      <c r="GH46" s="13" t="s">
        <v>816</v>
      </c>
    </row>
    <row r="47" spans="1:190" ht="15" customHeight="1" x14ac:dyDescent="0.2">
      <c r="A47" s="1" t="s">
        <v>213</v>
      </c>
      <c r="B47" s="1" t="s">
        <v>661</v>
      </c>
      <c r="C47" s="1" t="s">
        <v>666</v>
      </c>
      <c r="D47" s="1" t="s">
        <v>684</v>
      </c>
      <c r="E47" s="1" t="s">
        <v>130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816</v>
      </c>
      <c r="FS47" s="13" t="s">
        <v>816</v>
      </c>
      <c r="FT47" s="13" t="s">
        <v>816</v>
      </c>
      <c r="FU47" s="13"/>
      <c r="FV47" s="13" t="s">
        <v>816</v>
      </c>
      <c r="FW47" s="13" t="s">
        <v>816</v>
      </c>
      <c r="FX47" s="13" t="s">
        <v>816</v>
      </c>
      <c r="FY47" s="13" t="s">
        <v>816</v>
      </c>
      <c r="FZ47" s="13" t="s">
        <v>816</v>
      </c>
      <c r="GA47" s="13" t="s">
        <v>816</v>
      </c>
      <c r="GB47" s="13" t="s">
        <v>816</v>
      </c>
      <c r="GE47" s="13" t="s">
        <v>816</v>
      </c>
      <c r="GF47" s="13" t="s">
        <v>816</v>
      </c>
      <c r="GH47" s="13" t="s">
        <v>816</v>
      </c>
    </row>
    <row r="48" spans="1:190" ht="15" customHeight="1" x14ac:dyDescent="0.2">
      <c r="A48" s="1" t="s">
        <v>213</v>
      </c>
      <c r="B48" s="1" t="s">
        <v>661</v>
      </c>
      <c r="C48" s="1" t="s">
        <v>666</v>
      </c>
      <c r="D48" s="1" t="s">
        <v>684</v>
      </c>
      <c r="E48" s="1" t="s">
        <v>130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816</v>
      </c>
      <c r="FS48" s="13" t="s">
        <v>816</v>
      </c>
      <c r="FT48" s="13" t="s">
        <v>816</v>
      </c>
      <c r="FU48" s="13"/>
      <c r="FV48" s="13" t="s">
        <v>816</v>
      </c>
      <c r="FW48" s="13" t="s">
        <v>816</v>
      </c>
      <c r="FX48" s="13" t="s">
        <v>816</v>
      </c>
      <c r="FY48" s="13" t="s">
        <v>816</v>
      </c>
      <c r="FZ48" s="13" t="s">
        <v>816</v>
      </c>
      <c r="GA48" s="13" t="s">
        <v>816</v>
      </c>
      <c r="GB48" s="13" t="s">
        <v>816</v>
      </c>
      <c r="GE48" s="13" t="s">
        <v>816</v>
      </c>
      <c r="GF48" s="13" t="s">
        <v>816</v>
      </c>
      <c r="GH48" s="13" t="s">
        <v>816</v>
      </c>
    </row>
    <row r="49" spans="1:193" ht="15" customHeight="1" x14ac:dyDescent="0.2">
      <c r="A49" s="1" t="s">
        <v>213</v>
      </c>
      <c r="B49" s="1" t="s">
        <v>661</v>
      </c>
      <c r="C49" s="1" t="s">
        <v>666</v>
      </c>
      <c r="D49" s="1" t="s">
        <v>684</v>
      </c>
      <c r="E49" s="1" t="s">
        <v>130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816</v>
      </c>
      <c r="FS49" s="13" t="s">
        <v>816</v>
      </c>
      <c r="FT49" s="13" t="s">
        <v>816</v>
      </c>
      <c r="FU49" s="13"/>
      <c r="FV49" s="13" t="s">
        <v>816</v>
      </c>
      <c r="FW49" s="13" t="s">
        <v>816</v>
      </c>
      <c r="FX49" s="13" t="s">
        <v>816</v>
      </c>
      <c r="FY49" s="13" t="s">
        <v>816</v>
      </c>
      <c r="FZ49" s="13" t="s">
        <v>816</v>
      </c>
      <c r="GA49" s="13" t="s">
        <v>816</v>
      </c>
      <c r="GB49" s="13" t="s">
        <v>816</v>
      </c>
      <c r="GE49" s="13" t="s">
        <v>816</v>
      </c>
      <c r="GF49" s="13" t="s">
        <v>816</v>
      </c>
      <c r="GH49" s="13" t="s">
        <v>816</v>
      </c>
    </row>
    <row r="50" spans="1:193" ht="15" customHeight="1" x14ac:dyDescent="0.2">
      <c r="A50" s="1" t="s">
        <v>367</v>
      </c>
      <c r="B50" s="1" t="s">
        <v>660</v>
      </c>
      <c r="C50" s="1" t="s">
        <v>667</v>
      </c>
      <c r="D50" s="1" t="s">
        <v>685</v>
      </c>
      <c r="E50" s="1" t="s">
        <v>129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816</v>
      </c>
      <c r="FS50" s="13" t="s">
        <v>816</v>
      </c>
      <c r="FT50" s="13" t="s">
        <v>816</v>
      </c>
      <c r="FU50" s="13"/>
      <c r="FV50" s="13" t="s">
        <v>816</v>
      </c>
      <c r="FW50" s="13" t="s">
        <v>816</v>
      </c>
      <c r="FX50" s="13" t="s">
        <v>816</v>
      </c>
      <c r="FY50" s="13" t="s">
        <v>816</v>
      </c>
      <c r="FZ50" s="13" t="s">
        <v>816</v>
      </c>
      <c r="GA50" s="13" t="s">
        <v>816</v>
      </c>
      <c r="GB50" s="13" t="s">
        <v>816</v>
      </c>
      <c r="GE50" s="13" t="s">
        <v>816</v>
      </c>
      <c r="GF50" s="13" t="s">
        <v>816</v>
      </c>
      <c r="GH50" s="13" t="s">
        <v>816</v>
      </c>
    </row>
    <row r="51" spans="1:193" ht="15" customHeight="1" x14ac:dyDescent="0.2">
      <c r="A51" s="1" t="s">
        <v>367</v>
      </c>
      <c r="B51" s="1" t="s">
        <v>660</v>
      </c>
      <c r="C51" s="1" t="s">
        <v>667</v>
      </c>
      <c r="D51" s="1" t="s">
        <v>685</v>
      </c>
      <c r="E51" s="1" t="s">
        <v>129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816</v>
      </c>
      <c r="FS51" s="13" t="s">
        <v>816</v>
      </c>
      <c r="FT51" s="13" t="s">
        <v>816</v>
      </c>
      <c r="FU51" s="13"/>
      <c r="FV51" s="13" t="s">
        <v>816</v>
      </c>
      <c r="FW51" s="13" t="s">
        <v>816</v>
      </c>
      <c r="FX51" s="13" t="s">
        <v>816</v>
      </c>
      <c r="FY51" s="13" t="s">
        <v>816</v>
      </c>
      <c r="FZ51" s="13" t="s">
        <v>816</v>
      </c>
      <c r="GA51" s="13" t="s">
        <v>816</v>
      </c>
      <c r="GB51" s="13" t="s">
        <v>816</v>
      </c>
      <c r="GE51" s="13" t="s">
        <v>816</v>
      </c>
      <c r="GF51" s="13" t="s">
        <v>816</v>
      </c>
      <c r="GH51" s="13" t="s">
        <v>816</v>
      </c>
    </row>
    <row r="52" spans="1:193" ht="15" customHeight="1" x14ac:dyDescent="0.2">
      <c r="A52" s="1" t="s">
        <v>367</v>
      </c>
      <c r="B52" s="1" t="s">
        <v>660</v>
      </c>
      <c r="C52" s="1" t="s">
        <v>667</v>
      </c>
      <c r="D52" s="1" t="s">
        <v>685</v>
      </c>
      <c r="E52" s="1" t="s">
        <v>129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816</v>
      </c>
      <c r="FS52" s="13" t="s">
        <v>816</v>
      </c>
      <c r="FT52" s="13" t="s">
        <v>816</v>
      </c>
      <c r="FU52" s="13"/>
      <c r="FV52" s="13" t="s">
        <v>816</v>
      </c>
      <c r="FW52" s="13" t="s">
        <v>816</v>
      </c>
      <c r="FX52" s="13" t="s">
        <v>816</v>
      </c>
      <c r="FY52" s="13" t="s">
        <v>816</v>
      </c>
      <c r="FZ52" s="13" t="s">
        <v>816</v>
      </c>
      <c r="GA52" s="13" t="s">
        <v>816</v>
      </c>
      <c r="GB52" s="13" t="s">
        <v>816</v>
      </c>
      <c r="GE52" s="13" t="s">
        <v>816</v>
      </c>
      <c r="GF52" s="13" t="s">
        <v>816</v>
      </c>
      <c r="GH52" s="13" t="s">
        <v>816</v>
      </c>
    </row>
    <row r="53" spans="1:193" ht="15" customHeight="1" x14ac:dyDescent="0.2">
      <c r="A53" s="1" t="s">
        <v>367</v>
      </c>
      <c r="B53" s="1" t="s">
        <v>660</v>
      </c>
      <c r="C53" s="1" t="s">
        <v>667</v>
      </c>
      <c r="D53" s="1" t="s">
        <v>685</v>
      </c>
      <c r="E53" s="1" t="s">
        <v>129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816</v>
      </c>
      <c r="FS53" s="13" t="s">
        <v>816</v>
      </c>
      <c r="FT53" s="13" t="s">
        <v>816</v>
      </c>
      <c r="FU53" s="13"/>
      <c r="FV53" s="13" t="s">
        <v>816</v>
      </c>
      <c r="FW53" s="13" t="s">
        <v>816</v>
      </c>
      <c r="FX53" s="13" t="s">
        <v>816</v>
      </c>
      <c r="FY53" s="13" t="s">
        <v>816</v>
      </c>
      <c r="FZ53" s="13" t="s">
        <v>816</v>
      </c>
      <c r="GA53" s="13" t="s">
        <v>816</v>
      </c>
      <c r="GB53" s="13" t="s">
        <v>816</v>
      </c>
      <c r="GE53" s="13" t="s">
        <v>816</v>
      </c>
      <c r="GF53" s="13" t="s">
        <v>816</v>
      </c>
      <c r="GH53" s="13" t="s">
        <v>816</v>
      </c>
    </row>
    <row r="54" spans="1:193" ht="15" customHeight="1" x14ac:dyDescent="0.2">
      <c r="A54" s="1" t="s">
        <v>367</v>
      </c>
      <c r="B54" s="1" t="s">
        <v>660</v>
      </c>
      <c r="C54" s="1" t="s">
        <v>667</v>
      </c>
      <c r="D54" s="1" t="s">
        <v>685</v>
      </c>
      <c r="E54" s="1" t="s">
        <v>129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816</v>
      </c>
      <c r="FS54" s="13" t="s">
        <v>816</v>
      </c>
      <c r="FT54" s="13" t="s">
        <v>816</v>
      </c>
      <c r="FU54" s="13"/>
      <c r="FV54" s="13" t="s">
        <v>816</v>
      </c>
      <c r="FW54" s="13" t="s">
        <v>816</v>
      </c>
      <c r="FX54" s="13" t="s">
        <v>816</v>
      </c>
      <c r="FY54" s="13" t="s">
        <v>816</v>
      </c>
      <c r="FZ54" s="13" t="s">
        <v>816</v>
      </c>
      <c r="GA54" s="13" t="s">
        <v>816</v>
      </c>
      <c r="GB54" s="13" t="s">
        <v>816</v>
      </c>
      <c r="GE54" s="13" t="s">
        <v>816</v>
      </c>
      <c r="GF54" s="13" t="s">
        <v>816</v>
      </c>
      <c r="GH54" s="13" t="s">
        <v>816</v>
      </c>
    </row>
    <row r="55" spans="1:193" ht="15" customHeight="1" x14ac:dyDescent="0.2">
      <c r="A55" s="1" t="s">
        <v>367</v>
      </c>
      <c r="B55" s="1" t="s">
        <v>660</v>
      </c>
      <c r="C55" s="1" t="s">
        <v>667</v>
      </c>
      <c r="D55" s="1" t="s">
        <v>685</v>
      </c>
      <c r="E55" s="1" t="s">
        <v>129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816</v>
      </c>
      <c r="FS55" s="13" t="s">
        <v>816</v>
      </c>
      <c r="FT55" s="13" t="s">
        <v>816</v>
      </c>
      <c r="FU55" s="13"/>
      <c r="FV55" s="13" t="s">
        <v>816</v>
      </c>
      <c r="FW55" s="13" t="s">
        <v>816</v>
      </c>
      <c r="FX55" s="13" t="s">
        <v>816</v>
      </c>
      <c r="FY55" s="13" t="s">
        <v>816</v>
      </c>
      <c r="FZ55" s="13" t="s">
        <v>816</v>
      </c>
      <c r="GA55" s="13" t="s">
        <v>816</v>
      </c>
      <c r="GB55" s="13" t="s">
        <v>816</v>
      </c>
      <c r="GE55" s="13" t="s">
        <v>816</v>
      </c>
      <c r="GF55" s="13" t="s">
        <v>816</v>
      </c>
      <c r="GH55" s="13" t="s">
        <v>816</v>
      </c>
    </row>
    <row r="56" spans="1:193" s="55" customFormat="1" ht="15" customHeight="1" x14ac:dyDescent="0.2">
      <c r="A56" s="1" t="s">
        <v>367</v>
      </c>
      <c r="B56" s="1" t="s">
        <v>660</v>
      </c>
      <c r="C56" s="1" t="s">
        <v>667</v>
      </c>
      <c r="D56" s="1" t="s">
        <v>685</v>
      </c>
      <c r="E56" s="1" t="s">
        <v>129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816</v>
      </c>
      <c r="FS56" s="13" t="s">
        <v>816</v>
      </c>
      <c r="FT56" s="13" t="s">
        <v>816</v>
      </c>
      <c r="FU56" s="13"/>
      <c r="FV56" s="13" t="s">
        <v>816</v>
      </c>
      <c r="FW56" s="13" t="s">
        <v>816</v>
      </c>
      <c r="FX56" s="13" t="s">
        <v>816</v>
      </c>
      <c r="FY56" s="13" t="s">
        <v>816</v>
      </c>
      <c r="FZ56" s="13" t="s">
        <v>816</v>
      </c>
      <c r="GA56" s="13" t="s">
        <v>816</v>
      </c>
      <c r="GB56" s="13" t="s">
        <v>816</v>
      </c>
      <c r="GC56" s="1"/>
      <c r="GD56" s="1"/>
      <c r="GE56" s="13" t="s">
        <v>816</v>
      </c>
      <c r="GF56" s="13" t="s">
        <v>816</v>
      </c>
      <c r="GG56" s="1"/>
      <c r="GH56" s="13" t="s">
        <v>816</v>
      </c>
      <c r="GI56" s="1"/>
      <c r="GJ56" s="1"/>
      <c r="GK56" s="1"/>
    </row>
    <row r="57" spans="1:193" ht="15" customHeight="1" x14ac:dyDescent="0.2">
      <c r="A57" s="1" t="s">
        <v>367</v>
      </c>
      <c r="B57" s="1" t="s">
        <v>660</v>
      </c>
      <c r="C57" s="1" t="s">
        <v>667</v>
      </c>
      <c r="D57" s="1" t="s">
        <v>685</v>
      </c>
      <c r="E57" s="1" t="s">
        <v>129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816</v>
      </c>
      <c r="FS57" s="13" t="s">
        <v>816</v>
      </c>
      <c r="FT57" s="13" t="s">
        <v>816</v>
      </c>
      <c r="FU57" s="13"/>
      <c r="FV57" s="13" t="s">
        <v>816</v>
      </c>
      <c r="FW57" s="13" t="s">
        <v>816</v>
      </c>
      <c r="FX57" s="13" t="s">
        <v>816</v>
      </c>
      <c r="FY57" s="13" t="s">
        <v>816</v>
      </c>
      <c r="FZ57" s="13" t="s">
        <v>816</v>
      </c>
      <c r="GA57" s="13" t="s">
        <v>816</v>
      </c>
      <c r="GB57" s="13" t="s">
        <v>816</v>
      </c>
      <c r="GE57" s="13" t="s">
        <v>816</v>
      </c>
      <c r="GF57" s="13" t="s">
        <v>816</v>
      </c>
      <c r="GH57" s="13" t="s">
        <v>816</v>
      </c>
    </row>
    <row r="58" spans="1:193" ht="15" customHeight="1" x14ac:dyDescent="0.2">
      <c r="A58" s="1" t="s">
        <v>100</v>
      </c>
      <c r="B58" s="1" t="s">
        <v>757</v>
      </c>
      <c r="C58" s="1" t="s">
        <v>667</v>
      </c>
      <c r="D58" s="1" t="s">
        <v>686</v>
      </c>
      <c r="E58" s="1" t="s">
        <v>129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816</v>
      </c>
      <c r="FS58" s="13" t="s">
        <v>816</v>
      </c>
      <c r="FT58" s="13" t="s">
        <v>816</v>
      </c>
      <c r="FU58" s="13"/>
      <c r="FV58" s="13" t="s">
        <v>816</v>
      </c>
      <c r="FW58" s="13" t="s">
        <v>816</v>
      </c>
      <c r="FX58" s="13" t="s">
        <v>816</v>
      </c>
      <c r="FY58" s="13" t="s">
        <v>816</v>
      </c>
      <c r="FZ58" s="13" t="s">
        <v>816</v>
      </c>
      <c r="GA58" s="13" t="s">
        <v>816</v>
      </c>
      <c r="GB58" s="13" t="s">
        <v>816</v>
      </c>
      <c r="GE58" s="13" t="s">
        <v>816</v>
      </c>
      <c r="GF58" s="13" t="s">
        <v>816</v>
      </c>
      <c r="GH58" s="13" t="s">
        <v>816</v>
      </c>
    </row>
    <row r="59" spans="1:193" ht="15" customHeight="1" x14ac:dyDescent="0.2">
      <c r="A59" s="1" t="s">
        <v>100</v>
      </c>
      <c r="B59" s="1" t="s">
        <v>757</v>
      </c>
      <c r="C59" s="1" t="s">
        <v>667</v>
      </c>
      <c r="D59" s="1" t="s">
        <v>686</v>
      </c>
      <c r="E59" s="1" t="s">
        <v>129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816</v>
      </c>
      <c r="FS59" s="13" t="s">
        <v>816</v>
      </c>
      <c r="FT59" s="13" t="s">
        <v>816</v>
      </c>
      <c r="FU59" s="13"/>
      <c r="FV59" s="13" t="s">
        <v>816</v>
      </c>
      <c r="FW59" s="13" t="s">
        <v>816</v>
      </c>
      <c r="FX59" s="13" t="s">
        <v>816</v>
      </c>
      <c r="FY59" s="13" t="s">
        <v>816</v>
      </c>
      <c r="FZ59" s="13" t="s">
        <v>816</v>
      </c>
      <c r="GA59" s="13" t="s">
        <v>816</v>
      </c>
      <c r="GB59" s="13" t="s">
        <v>816</v>
      </c>
      <c r="GE59" s="13" t="s">
        <v>816</v>
      </c>
      <c r="GF59" s="13" t="s">
        <v>816</v>
      </c>
      <c r="GH59" s="13" t="s">
        <v>816</v>
      </c>
    </row>
    <row r="60" spans="1:193" ht="15" customHeight="1" x14ac:dyDescent="0.2">
      <c r="A60" s="1" t="s">
        <v>100</v>
      </c>
      <c r="B60" s="1" t="s">
        <v>757</v>
      </c>
      <c r="C60" s="1" t="s">
        <v>667</v>
      </c>
      <c r="D60" s="1" t="s">
        <v>686</v>
      </c>
      <c r="E60" s="1" t="s">
        <v>129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816</v>
      </c>
      <c r="FS60" s="13" t="s">
        <v>816</v>
      </c>
      <c r="FT60" s="13" t="s">
        <v>816</v>
      </c>
      <c r="FU60" s="13"/>
      <c r="FV60" s="13" t="s">
        <v>816</v>
      </c>
      <c r="FW60" s="13" t="s">
        <v>816</v>
      </c>
      <c r="FX60" s="13" t="s">
        <v>816</v>
      </c>
      <c r="FY60" s="13" t="s">
        <v>816</v>
      </c>
      <c r="FZ60" s="13" t="s">
        <v>816</v>
      </c>
      <c r="GA60" s="13" t="s">
        <v>816</v>
      </c>
      <c r="GB60" s="13" t="s">
        <v>816</v>
      </c>
      <c r="GE60" s="13" t="s">
        <v>816</v>
      </c>
      <c r="GF60" s="13" t="s">
        <v>816</v>
      </c>
      <c r="GH60" s="13" t="s">
        <v>816</v>
      </c>
    </row>
    <row r="61" spans="1:193" ht="15" customHeight="1" x14ac:dyDescent="0.2">
      <c r="A61" s="1" t="s">
        <v>100</v>
      </c>
      <c r="B61" s="1" t="s">
        <v>757</v>
      </c>
      <c r="C61" s="1" t="s">
        <v>667</v>
      </c>
      <c r="D61" s="1" t="s">
        <v>686</v>
      </c>
      <c r="E61" s="1" t="s">
        <v>129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816</v>
      </c>
      <c r="FS61" s="13" t="s">
        <v>816</v>
      </c>
      <c r="FT61" s="13" t="s">
        <v>816</v>
      </c>
      <c r="FU61" s="13"/>
      <c r="FV61" s="13" t="s">
        <v>816</v>
      </c>
      <c r="FW61" s="13" t="s">
        <v>816</v>
      </c>
      <c r="FX61" s="13" t="s">
        <v>816</v>
      </c>
      <c r="FY61" s="13" t="s">
        <v>816</v>
      </c>
      <c r="FZ61" s="13" t="s">
        <v>816</v>
      </c>
      <c r="GA61" s="13" t="s">
        <v>816</v>
      </c>
      <c r="GB61" s="13" t="s">
        <v>816</v>
      </c>
      <c r="GE61" s="13" t="s">
        <v>816</v>
      </c>
      <c r="GF61" s="13" t="s">
        <v>816</v>
      </c>
      <c r="GH61" s="13" t="s">
        <v>816</v>
      </c>
    </row>
    <row r="62" spans="1:193" ht="15" customHeight="1" x14ac:dyDescent="0.2">
      <c r="A62" s="1" t="s">
        <v>100</v>
      </c>
      <c r="B62" s="1" t="s">
        <v>757</v>
      </c>
      <c r="C62" s="1" t="s">
        <v>667</v>
      </c>
      <c r="D62" s="1" t="s">
        <v>686</v>
      </c>
      <c r="E62" s="1" t="s">
        <v>129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816</v>
      </c>
      <c r="FS62" s="13" t="s">
        <v>816</v>
      </c>
      <c r="FT62" s="13" t="s">
        <v>816</v>
      </c>
      <c r="FU62" s="13"/>
      <c r="FV62" s="13" t="s">
        <v>816</v>
      </c>
      <c r="FW62" s="13" t="s">
        <v>816</v>
      </c>
      <c r="FX62" s="13" t="s">
        <v>816</v>
      </c>
      <c r="FY62" s="13" t="s">
        <v>816</v>
      </c>
      <c r="FZ62" s="13" t="s">
        <v>816</v>
      </c>
      <c r="GA62" s="13" t="s">
        <v>816</v>
      </c>
      <c r="GB62" s="13" t="s">
        <v>816</v>
      </c>
      <c r="GE62" s="13" t="s">
        <v>816</v>
      </c>
      <c r="GF62" s="13" t="s">
        <v>816</v>
      </c>
      <c r="GH62" s="13" t="s">
        <v>816</v>
      </c>
    </row>
    <row r="63" spans="1:193" ht="15" customHeight="1" x14ac:dyDescent="0.2">
      <c r="A63" s="1" t="s">
        <v>100</v>
      </c>
      <c r="B63" s="1" t="s">
        <v>757</v>
      </c>
      <c r="C63" s="1" t="s">
        <v>667</v>
      </c>
      <c r="D63" s="1" t="s">
        <v>686</v>
      </c>
      <c r="E63" s="1" t="s">
        <v>129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816</v>
      </c>
      <c r="FS63" s="13" t="s">
        <v>816</v>
      </c>
      <c r="FT63" s="13" t="s">
        <v>816</v>
      </c>
      <c r="FU63" s="13"/>
      <c r="FV63" s="13" t="s">
        <v>816</v>
      </c>
      <c r="FW63" s="13" t="s">
        <v>816</v>
      </c>
      <c r="FX63" s="13" t="s">
        <v>816</v>
      </c>
      <c r="FY63" s="13" t="s">
        <v>816</v>
      </c>
      <c r="FZ63" s="13" t="s">
        <v>816</v>
      </c>
      <c r="GA63" s="13" t="s">
        <v>816</v>
      </c>
      <c r="GB63" s="13" t="s">
        <v>816</v>
      </c>
      <c r="GE63" s="13" t="s">
        <v>816</v>
      </c>
      <c r="GF63" s="13" t="s">
        <v>816</v>
      </c>
      <c r="GH63" s="13" t="s">
        <v>816</v>
      </c>
    </row>
    <row r="64" spans="1:193" ht="15" customHeight="1" x14ac:dyDescent="0.2">
      <c r="A64" s="1" t="s">
        <v>100</v>
      </c>
      <c r="B64" s="1" t="s">
        <v>757</v>
      </c>
      <c r="C64" s="1" t="s">
        <v>667</v>
      </c>
      <c r="D64" s="1" t="s">
        <v>686</v>
      </c>
      <c r="E64" s="1" t="s">
        <v>129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816</v>
      </c>
      <c r="FS64" s="13" t="s">
        <v>816</v>
      </c>
      <c r="FT64" s="13" t="s">
        <v>816</v>
      </c>
      <c r="FU64" s="13"/>
      <c r="FV64" s="13" t="s">
        <v>816</v>
      </c>
      <c r="FW64" s="13" t="s">
        <v>816</v>
      </c>
      <c r="FX64" s="13" t="s">
        <v>816</v>
      </c>
      <c r="FY64" s="13" t="s">
        <v>816</v>
      </c>
      <c r="FZ64" s="13" t="s">
        <v>816</v>
      </c>
      <c r="GA64" s="13" t="s">
        <v>816</v>
      </c>
      <c r="GB64" s="13" t="s">
        <v>816</v>
      </c>
      <c r="GE64" s="13" t="s">
        <v>816</v>
      </c>
      <c r="GF64" s="13" t="s">
        <v>816</v>
      </c>
      <c r="GH64" s="13" t="s">
        <v>816</v>
      </c>
    </row>
    <row r="65" spans="1:190" ht="15" customHeight="1" x14ac:dyDescent="0.2">
      <c r="A65" s="1" t="s">
        <v>100</v>
      </c>
      <c r="B65" s="1" t="s">
        <v>757</v>
      </c>
      <c r="C65" s="1" t="s">
        <v>667</v>
      </c>
      <c r="D65" s="1" t="s">
        <v>686</v>
      </c>
      <c r="E65" s="1" t="s">
        <v>129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816</v>
      </c>
      <c r="FS65" s="13" t="s">
        <v>816</v>
      </c>
      <c r="FT65" s="13" t="s">
        <v>816</v>
      </c>
      <c r="FU65" s="13"/>
      <c r="FV65" s="13" t="s">
        <v>816</v>
      </c>
      <c r="FW65" s="13" t="s">
        <v>816</v>
      </c>
      <c r="FX65" s="13" t="s">
        <v>816</v>
      </c>
      <c r="FY65" s="13" t="s">
        <v>816</v>
      </c>
      <c r="FZ65" s="13" t="s">
        <v>816</v>
      </c>
      <c r="GA65" s="13" t="s">
        <v>816</v>
      </c>
      <c r="GB65" s="13" t="s">
        <v>816</v>
      </c>
      <c r="GE65" s="13" t="s">
        <v>816</v>
      </c>
      <c r="GF65" s="13" t="s">
        <v>816</v>
      </c>
      <c r="GH65" s="13" t="s">
        <v>816</v>
      </c>
    </row>
    <row r="66" spans="1:190" ht="15" customHeight="1" x14ac:dyDescent="0.2">
      <c r="A66" s="1" t="s">
        <v>213</v>
      </c>
      <c r="B66" s="1" t="s">
        <v>661</v>
      </c>
      <c r="C66" s="1" t="s">
        <v>667</v>
      </c>
      <c r="D66" s="1" t="s">
        <v>687</v>
      </c>
      <c r="E66" s="1" t="s">
        <v>129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816</v>
      </c>
      <c r="FS66" s="13" t="s">
        <v>816</v>
      </c>
      <c r="FT66" s="13" t="s">
        <v>816</v>
      </c>
      <c r="FU66" s="13"/>
      <c r="FV66" s="13" t="s">
        <v>816</v>
      </c>
      <c r="FW66" s="13" t="s">
        <v>816</v>
      </c>
      <c r="FX66" s="13" t="s">
        <v>816</v>
      </c>
      <c r="FY66" s="13" t="s">
        <v>816</v>
      </c>
      <c r="FZ66" s="13" t="s">
        <v>816</v>
      </c>
      <c r="GA66" s="13" t="s">
        <v>816</v>
      </c>
      <c r="GB66" s="13" t="s">
        <v>816</v>
      </c>
      <c r="GE66" s="13" t="s">
        <v>816</v>
      </c>
      <c r="GF66" s="13" t="s">
        <v>816</v>
      </c>
      <c r="GH66" s="13" t="s">
        <v>816</v>
      </c>
    </row>
    <row r="67" spans="1:190" ht="15" customHeight="1" x14ac:dyDescent="0.2">
      <c r="A67" s="1" t="s">
        <v>213</v>
      </c>
      <c r="B67" s="1" t="s">
        <v>661</v>
      </c>
      <c r="C67" s="1" t="s">
        <v>667</v>
      </c>
      <c r="D67" s="1" t="s">
        <v>687</v>
      </c>
      <c r="E67" s="1" t="s">
        <v>129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816</v>
      </c>
      <c r="FS67" s="13" t="s">
        <v>816</v>
      </c>
      <c r="FT67" s="13" t="s">
        <v>816</v>
      </c>
      <c r="FU67" s="13"/>
      <c r="FV67" s="13" t="s">
        <v>816</v>
      </c>
      <c r="FW67" s="13" t="s">
        <v>816</v>
      </c>
      <c r="FX67" s="13" t="s">
        <v>816</v>
      </c>
      <c r="FY67" s="13" t="s">
        <v>816</v>
      </c>
      <c r="FZ67" s="13" t="s">
        <v>816</v>
      </c>
      <c r="GA67" s="13" t="s">
        <v>816</v>
      </c>
      <c r="GB67" s="13" t="s">
        <v>816</v>
      </c>
      <c r="GE67" s="13" t="s">
        <v>816</v>
      </c>
      <c r="GF67" s="13" t="s">
        <v>816</v>
      </c>
      <c r="GH67" s="13" t="s">
        <v>816</v>
      </c>
    </row>
    <row r="68" spans="1:190" ht="15" customHeight="1" x14ac:dyDescent="0.2">
      <c r="A68" s="1" t="s">
        <v>213</v>
      </c>
      <c r="B68" s="1" t="s">
        <v>661</v>
      </c>
      <c r="C68" s="1" t="s">
        <v>667</v>
      </c>
      <c r="D68" s="1" t="s">
        <v>687</v>
      </c>
      <c r="E68" s="1" t="s">
        <v>129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816</v>
      </c>
      <c r="FS68" s="13" t="s">
        <v>816</v>
      </c>
      <c r="FT68" s="13" t="s">
        <v>816</v>
      </c>
      <c r="FU68" s="13"/>
      <c r="FV68" s="13" t="s">
        <v>816</v>
      </c>
      <c r="FW68" s="13" t="s">
        <v>816</v>
      </c>
      <c r="FX68" s="13" t="s">
        <v>816</v>
      </c>
      <c r="FY68" s="13" t="s">
        <v>816</v>
      </c>
      <c r="FZ68" s="13" t="s">
        <v>816</v>
      </c>
      <c r="GA68" s="13" t="s">
        <v>816</v>
      </c>
      <c r="GB68" s="13" t="s">
        <v>816</v>
      </c>
      <c r="GE68" s="13" t="s">
        <v>816</v>
      </c>
      <c r="GF68" s="13" t="s">
        <v>816</v>
      </c>
      <c r="GH68" s="13" t="s">
        <v>816</v>
      </c>
    </row>
    <row r="69" spans="1:190" ht="15" customHeight="1" x14ac:dyDescent="0.2">
      <c r="A69" s="1" t="s">
        <v>213</v>
      </c>
      <c r="B69" s="1" t="s">
        <v>661</v>
      </c>
      <c r="C69" s="1" t="s">
        <v>667</v>
      </c>
      <c r="D69" s="1" t="s">
        <v>687</v>
      </c>
      <c r="E69" s="1" t="s">
        <v>129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816</v>
      </c>
      <c r="FS69" s="13" t="s">
        <v>816</v>
      </c>
      <c r="FT69" s="13" t="s">
        <v>816</v>
      </c>
      <c r="FU69" s="13"/>
      <c r="FV69" s="13" t="s">
        <v>816</v>
      </c>
      <c r="FW69" s="13" t="s">
        <v>816</v>
      </c>
      <c r="FX69" s="13" t="s">
        <v>816</v>
      </c>
      <c r="FY69" s="13" t="s">
        <v>816</v>
      </c>
      <c r="FZ69" s="13" t="s">
        <v>816</v>
      </c>
      <c r="GA69" s="13" t="s">
        <v>816</v>
      </c>
      <c r="GB69" s="13" t="s">
        <v>816</v>
      </c>
      <c r="GE69" s="13" t="s">
        <v>816</v>
      </c>
      <c r="GF69" s="13" t="s">
        <v>816</v>
      </c>
      <c r="GH69" s="13" t="s">
        <v>816</v>
      </c>
    </row>
    <row r="70" spans="1:190" ht="15" customHeight="1" x14ac:dyDescent="0.2">
      <c r="A70" s="1" t="s">
        <v>213</v>
      </c>
      <c r="B70" s="1" t="s">
        <v>661</v>
      </c>
      <c r="C70" s="1" t="s">
        <v>667</v>
      </c>
      <c r="D70" s="1" t="s">
        <v>687</v>
      </c>
      <c r="E70" s="1" t="s">
        <v>129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816</v>
      </c>
      <c r="FS70" s="13" t="s">
        <v>816</v>
      </c>
      <c r="FT70" s="13" t="s">
        <v>816</v>
      </c>
      <c r="FU70" s="13"/>
      <c r="FV70" s="13" t="s">
        <v>816</v>
      </c>
      <c r="FW70" s="13" t="s">
        <v>816</v>
      </c>
      <c r="FX70" s="13" t="s">
        <v>816</v>
      </c>
      <c r="FY70" s="13" t="s">
        <v>816</v>
      </c>
      <c r="FZ70" s="13" t="s">
        <v>816</v>
      </c>
      <c r="GA70" s="13" t="s">
        <v>816</v>
      </c>
      <c r="GB70" s="13" t="s">
        <v>816</v>
      </c>
      <c r="GE70" s="13" t="s">
        <v>816</v>
      </c>
      <c r="GF70" s="13" t="s">
        <v>816</v>
      </c>
      <c r="GH70" s="13" t="s">
        <v>816</v>
      </c>
    </row>
    <row r="71" spans="1:190" ht="15" customHeight="1" x14ac:dyDescent="0.2">
      <c r="A71" s="1" t="s">
        <v>213</v>
      </c>
      <c r="B71" s="1" t="s">
        <v>661</v>
      </c>
      <c r="C71" s="1" t="s">
        <v>667</v>
      </c>
      <c r="D71" s="1" t="s">
        <v>687</v>
      </c>
      <c r="E71" s="1" t="s">
        <v>129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816</v>
      </c>
      <c r="FS71" s="13" t="s">
        <v>816</v>
      </c>
      <c r="FT71" s="13" t="s">
        <v>816</v>
      </c>
      <c r="FU71" s="13"/>
      <c r="FV71" s="13" t="s">
        <v>816</v>
      </c>
      <c r="FW71" s="13" t="s">
        <v>816</v>
      </c>
      <c r="FX71" s="13" t="s">
        <v>816</v>
      </c>
      <c r="FY71" s="13" t="s">
        <v>816</v>
      </c>
      <c r="FZ71" s="13" t="s">
        <v>816</v>
      </c>
      <c r="GA71" s="13" t="s">
        <v>816</v>
      </c>
      <c r="GB71" s="13" t="s">
        <v>816</v>
      </c>
      <c r="GE71" s="13" t="s">
        <v>816</v>
      </c>
      <c r="GF71" s="13" t="s">
        <v>816</v>
      </c>
      <c r="GH71" s="13" t="s">
        <v>816</v>
      </c>
    </row>
    <row r="72" spans="1:190" ht="15" customHeight="1" x14ac:dyDescent="0.2">
      <c r="A72" s="1" t="s">
        <v>213</v>
      </c>
      <c r="B72" s="1" t="s">
        <v>661</v>
      </c>
      <c r="C72" s="1" t="s">
        <v>667</v>
      </c>
      <c r="D72" s="1" t="s">
        <v>687</v>
      </c>
      <c r="E72" s="1" t="s">
        <v>129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816</v>
      </c>
      <c r="FS72" s="13" t="s">
        <v>816</v>
      </c>
      <c r="FT72" s="13" t="s">
        <v>816</v>
      </c>
      <c r="FU72" s="13"/>
      <c r="FV72" s="13" t="s">
        <v>816</v>
      </c>
      <c r="FW72" s="13" t="s">
        <v>816</v>
      </c>
      <c r="FX72" s="13" t="s">
        <v>816</v>
      </c>
      <c r="FY72" s="13" t="s">
        <v>816</v>
      </c>
      <c r="FZ72" s="13" t="s">
        <v>816</v>
      </c>
      <c r="GA72" s="13" t="s">
        <v>816</v>
      </c>
      <c r="GB72" s="13" t="s">
        <v>816</v>
      </c>
      <c r="GE72" s="13" t="s">
        <v>816</v>
      </c>
      <c r="GF72" s="13" t="s">
        <v>816</v>
      </c>
      <c r="GH72" s="13" t="s">
        <v>816</v>
      </c>
    </row>
    <row r="73" spans="1:190" ht="15" customHeight="1" x14ac:dyDescent="0.2">
      <c r="A73" s="1" t="s">
        <v>213</v>
      </c>
      <c r="B73" s="1" t="s">
        <v>661</v>
      </c>
      <c r="C73" s="1" t="s">
        <v>667</v>
      </c>
      <c r="D73" s="1" t="s">
        <v>687</v>
      </c>
      <c r="E73" s="1" t="s">
        <v>129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816</v>
      </c>
      <c r="FS73" s="13" t="s">
        <v>816</v>
      </c>
      <c r="FT73" s="13" t="s">
        <v>816</v>
      </c>
      <c r="FU73" s="13"/>
      <c r="FV73" s="13" t="s">
        <v>816</v>
      </c>
      <c r="FW73" s="13" t="s">
        <v>816</v>
      </c>
      <c r="FX73" s="13" t="s">
        <v>816</v>
      </c>
      <c r="FY73" s="13" t="s">
        <v>816</v>
      </c>
      <c r="FZ73" s="13" t="s">
        <v>816</v>
      </c>
      <c r="GA73" s="13" t="s">
        <v>816</v>
      </c>
      <c r="GB73" s="13" t="s">
        <v>816</v>
      </c>
      <c r="GE73" s="13" t="s">
        <v>816</v>
      </c>
      <c r="GF73" s="13" t="s">
        <v>816</v>
      </c>
      <c r="GH73" s="13" t="s">
        <v>816</v>
      </c>
    </row>
    <row r="74" spans="1:190" ht="15" customHeight="1" x14ac:dyDescent="0.2">
      <c r="A74" s="1" t="s">
        <v>367</v>
      </c>
      <c r="B74" s="1" t="s">
        <v>660</v>
      </c>
      <c r="C74" s="1" t="s">
        <v>668</v>
      </c>
      <c r="D74" s="1" t="s">
        <v>689</v>
      </c>
      <c r="E74" s="1" t="s">
        <v>129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816</v>
      </c>
      <c r="FS74" s="13" t="s">
        <v>816</v>
      </c>
      <c r="FT74" s="13" t="s">
        <v>816</v>
      </c>
      <c r="FU74" s="13"/>
      <c r="FV74" s="13" t="s">
        <v>816</v>
      </c>
      <c r="FW74" s="13" t="s">
        <v>816</v>
      </c>
      <c r="FX74" s="13" t="s">
        <v>816</v>
      </c>
      <c r="FY74" s="13" t="s">
        <v>816</v>
      </c>
      <c r="FZ74" s="13" t="s">
        <v>816</v>
      </c>
      <c r="GA74" s="13" t="s">
        <v>816</v>
      </c>
      <c r="GB74" s="13" t="s">
        <v>816</v>
      </c>
      <c r="GE74" s="13" t="s">
        <v>816</v>
      </c>
      <c r="GF74" s="13" t="s">
        <v>816</v>
      </c>
      <c r="GH74" s="13" t="s">
        <v>816</v>
      </c>
    </row>
    <row r="75" spans="1:190" ht="15" customHeight="1" x14ac:dyDescent="0.2">
      <c r="A75" s="1" t="s">
        <v>367</v>
      </c>
      <c r="B75" s="1" t="s">
        <v>660</v>
      </c>
      <c r="C75" s="1" t="s">
        <v>668</v>
      </c>
      <c r="D75" s="1" t="s">
        <v>689</v>
      </c>
      <c r="E75" s="1" t="s">
        <v>129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816</v>
      </c>
      <c r="FS75" s="13" t="s">
        <v>816</v>
      </c>
      <c r="FT75" s="13" t="s">
        <v>816</v>
      </c>
      <c r="FU75" s="13"/>
      <c r="FV75" s="13" t="s">
        <v>816</v>
      </c>
      <c r="FW75" s="13" t="s">
        <v>816</v>
      </c>
      <c r="FX75" s="13" t="s">
        <v>816</v>
      </c>
      <c r="FY75" s="13" t="s">
        <v>816</v>
      </c>
      <c r="FZ75" s="13" t="s">
        <v>816</v>
      </c>
      <c r="GA75" s="13" t="s">
        <v>816</v>
      </c>
      <c r="GB75" s="13" t="s">
        <v>816</v>
      </c>
      <c r="GE75" s="13" t="s">
        <v>816</v>
      </c>
      <c r="GF75" s="13" t="s">
        <v>816</v>
      </c>
      <c r="GH75" s="13" t="s">
        <v>816</v>
      </c>
    </row>
    <row r="76" spans="1:190" ht="15" customHeight="1" x14ac:dyDescent="0.2">
      <c r="A76" s="1" t="s">
        <v>367</v>
      </c>
      <c r="B76" s="1" t="s">
        <v>660</v>
      </c>
      <c r="C76" s="1" t="s">
        <v>668</v>
      </c>
      <c r="D76" s="1" t="s">
        <v>689</v>
      </c>
      <c r="E76" s="1" t="s">
        <v>129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816</v>
      </c>
      <c r="FS76" s="13" t="s">
        <v>816</v>
      </c>
      <c r="FT76" s="13" t="s">
        <v>816</v>
      </c>
      <c r="FU76" s="13"/>
      <c r="FV76" s="13" t="s">
        <v>816</v>
      </c>
      <c r="FW76" s="13" t="s">
        <v>816</v>
      </c>
      <c r="FX76" s="13" t="s">
        <v>816</v>
      </c>
      <c r="FY76" s="13" t="s">
        <v>816</v>
      </c>
      <c r="FZ76" s="13" t="s">
        <v>816</v>
      </c>
      <c r="GA76" s="13" t="s">
        <v>816</v>
      </c>
      <c r="GB76" s="13" t="s">
        <v>816</v>
      </c>
      <c r="GE76" s="13" t="s">
        <v>816</v>
      </c>
      <c r="GF76" s="13" t="s">
        <v>816</v>
      </c>
      <c r="GH76" s="13" t="s">
        <v>816</v>
      </c>
    </row>
    <row r="77" spans="1:190" ht="15" customHeight="1" x14ac:dyDescent="0.2">
      <c r="A77" s="1" t="s">
        <v>367</v>
      </c>
      <c r="B77" s="1" t="s">
        <v>660</v>
      </c>
      <c r="C77" s="1" t="s">
        <v>668</v>
      </c>
      <c r="D77" s="1" t="s">
        <v>689</v>
      </c>
      <c r="E77" s="1" t="s">
        <v>129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816</v>
      </c>
      <c r="FS77" s="13" t="s">
        <v>816</v>
      </c>
      <c r="FT77" s="13" t="s">
        <v>816</v>
      </c>
      <c r="FU77" s="13"/>
      <c r="FV77" s="13" t="s">
        <v>816</v>
      </c>
      <c r="FW77" s="13" t="s">
        <v>816</v>
      </c>
      <c r="FX77" s="13" t="s">
        <v>816</v>
      </c>
      <c r="FY77" s="13" t="s">
        <v>816</v>
      </c>
      <c r="FZ77" s="13" t="s">
        <v>816</v>
      </c>
      <c r="GA77" s="13" t="s">
        <v>816</v>
      </c>
      <c r="GB77" s="13" t="s">
        <v>816</v>
      </c>
      <c r="GE77" s="13" t="s">
        <v>816</v>
      </c>
      <c r="GF77" s="13" t="s">
        <v>816</v>
      </c>
      <c r="GH77" s="13" t="s">
        <v>816</v>
      </c>
    </row>
    <row r="78" spans="1:190" ht="15" customHeight="1" x14ac:dyDescent="0.2">
      <c r="A78" s="1" t="s">
        <v>367</v>
      </c>
      <c r="B78" s="1" t="s">
        <v>660</v>
      </c>
      <c r="C78" s="1" t="s">
        <v>668</v>
      </c>
      <c r="D78" s="1" t="s">
        <v>689</v>
      </c>
      <c r="E78" s="1" t="s">
        <v>129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816</v>
      </c>
      <c r="FS78" s="13" t="s">
        <v>816</v>
      </c>
      <c r="FT78" s="13" t="s">
        <v>816</v>
      </c>
      <c r="FU78" s="13"/>
      <c r="FV78" s="13" t="s">
        <v>816</v>
      </c>
      <c r="FW78" s="13" t="s">
        <v>816</v>
      </c>
      <c r="FX78" s="13" t="s">
        <v>816</v>
      </c>
      <c r="FY78" s="13" t="s">
        <v>816</v>
      </c>
      <c r="FZ78" s="13" t="s">
        <v>816</v>
      </c>
      <c r="GA78" s="13" t="s">
        <v>816</v>
      </c>
      <c r="GB78" s="13" t="s">
        <v>816</v>
      </c>
      <c r="GE78" s="13" t="s">
        <v>816</v>
      </c>
      <c r="GF78" s="13" t="s">
        <v>816</v>
      </c>
      <c r="GH78" s="13" t="s">
        <v>816</v>
      </c>
    </row>
    <row r="79" spans="1:190" ht="15" customHeight="1" x14ac:dyDescent="0.2">
      <c r="A79" s="1" t="s">
        <v>367</v>
      </c>
      <c r="B79" s="1" t="s">
        <v>660</v>
      </c>
      <c r="C79" s="1" t="s">
        <v>668</v>
      </c>
      <c r="D79" s="1" t="s">
        <v>689</v>
      </c>
      <c r="E79" s="1" t="s">
        <v>129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816</v>
      </c>
      <c r="FS79" s="13" t="s">
        <v>816</v>
      </c>
      <c r="FT79" s="13" t="s">
        <v>816</v>
      </c>
      <c r="FU79" s="13"/>
      <c r="FV79" s="13" t="s">
        <v>816</v>
      </c>
      <c r="FW79" s="13" t="s">
        <v>816</v>
      </c>
      <c r="FX79" s="13" t="s">
        <v>816</v>
      </c>
      <c r="FY79" s="13" t="s">
        <v>816</v>
      </c>
      <c r="FZ79" s="13" t="s">
        <v>816</v>
      </c>
      <c r="GA79" s="13" t="s">
        <v>816</v>
      </c>
      <c r="GB79" s="13" t="s">
        <v>816</v>
      </c>
      <c r="GE79" s="13" t="s">
        <v>816</v>
      </c>
      <c r="GF79" s="13" t="s">
        <v>816</v>
      </c>
      <c r="GH79" s="13" t="s">
        <v>816</v>
      </c>
    </row>
    <row r="80" spans="1:190" ht="15" customHeight="1" x14ac:dyDescent="0.2">
      <c r="A80" s="1" t="s">
        <v>367</v>
      </c>
      <c r="B80" s="1" t="s">
        <v>660</v>
      </c>
      <c r="C80" s="1" t="s">
        <v>668</v>
      </c>
      <c r="D80" s="1" t="s">
        <v>689</v>
      </c>
      <c r="E80" s="1" t="s">
        <v>129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816</v>
      </c>
      <c r="FS80" s="13" t="s">
        <v>816</v>
      </c>
      <c r="FT80" s="13" t="s">
        <v>816</v>
      </c>
      <c r="FU80" s="13"/>
      <c r="FV80" s="13" t="s">
        <v>816</v>
      </c>
      <c r="FW80" s="13" t="s">
        <v>816</v>
      </c>
      <c r="FX80" s="13" t="s">
        <v>816</v>
      </c>
      <c r="FY80" s="13" t="s">
        <v>816</v>
      </c>
      <c r="FZ80" s="13" t="s">
        <v>816</v>
      </c>
      <c r="GA80" s="13" t="s">
        <v>816</v>
      </c>
      <c r="GB80" s="13" t="s">
        <v>816</v>
      </c>
      <c r="GE80" s="13" t="s">
        <v>816</v>
      </c>
      <c r="GF80" s="13" t="s">
        <v>816</v>
      </c>
      <c r="GH80" s="13" t="s">
        <v>816</v>
      </c>
    </row>
    <row r="81" spans="1:190" ht="15" customHeight="1" x14ac:dyDescent="0.2">
      <c r="A81" s="1" t="s">
        <v>367</v>
      </c>
      <c r="B81" s="1" t="s">
        <v>660</v>
      </c>
      <c r="C81" s="1" t="s">
        <v>668</v>
      </c>
      <c r="D81" s="1" t="s">
        <v>689</v>
      </c>
      <c r="E81" s="1" t="s">
        <v>129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816</v>
      </c>
      <c r="FS81" s="13" t="s">
        <v>816</v>
      </c>
      <c r="FT81" s="13" t="s">
        <v>816</v>
      </c>
      <c r="FU81" s="13"/>
      <c r="FV81" s="13" t="s">
        <v>816</v>
      </c>
      <c r="FW81" s="13" t="s">
        <v>816</v>
      </c>
      <c r="FX81" s="13" t="s">
        <v>816</v>
      </c>
      <c r="FY81" s="13" t="s">
        <v>816</v>
      </c>
      <c r="FZ81" s="13" t="s">
        <v>816</v>
      </c>
      <c r="GA81" s="13" t="s">
        <v>816</v>
      </c>
      <c r="GB81" s="13" t="s">
        <v>816</v>
      </c>
      <c r="GE81" s="13" t="s">
        <v>816</v>
      </c>
      <c r="GF81" s="13" t="s">
        <v>816</v>
      </c>
      <c r="GH81" s="13" t="s">
        <v>816</v>
      </c>
    </row>
    <row r="82" spans="1:190" ht="15" customHeight="1" x14ac:dyDescent="0.2">
      <c r="A82" s="1" t="s">
        <v>213</v>
      </c>
      <c r="B82" s="1" t="s">
        <v>661</v>
      </c>
      <c r="C82" s="1" t="s">
        <v>668</v>
      </c>
      <c r="D82" s="1" t="s">
        <v>690</v>
      </c>
      <c r="E82" s="1" t="s">
        <v>129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816</v>
      </c>
      <c r="FS82" s="13" t="s">
        <v>816</v>
      </c>
      <c r="FT82" s="13" t="s">
        <v>816</v>
      </c>
      <c r="FU82" s="13"/>
      <c r="FV82" s="13" t="s">
        <v>816</v>
      </c>
      <c r="FW82" s="13" t="s">
        <v>816</v>
      </c>
      <c r="FX82" s="13" t="s">
        <v>816</v>
      </c>
      <c r="FY82" s="13" t="s">
        <v>816</v>
      </c>
      <c r="FZ82" s="13" t="s">
        <v>816</v>
      </c>
      <c r="GA82" s="13" t="s">
        <v>816</v>
      </c>
      <c r="GB82" s="13" t="s">
        <v>816</v>
      </c>
      <c r="GE82" s="13" t="s">
        <v>816</v>
      </c>
      <c r="GF82" s="13" t="s">
        <v>816</v>
      </c>
      <c r="GH82" s="13" t="s">
        <v>816</v>
      </c>
    </row>
    <row r="83" spans="1:190" ht="15" customHeight="1" x14ac:dyDescent="0.2">
      <c r="A83" s="1" t="s">
        <v>213</v>
      </c>
      <c r="B83" s="1" t="s">
        <v>661</v>
      </c>
      <c r="C83" s="1" t="s">
        <v>668</v>
      </c>
      <c r="D83" s="1" t="s">
        <v>690</v>
      </c>
      <c r="E83" s="1" t="s">
        <v>129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816</v>
      </c>
      <c r="FS83" s="13" t="s">
        <v>816</v>
      </c>
      <c r="FT83" s="13" t="s">
        <v>816</v>
      </c>
      <c r="FU83" s="13"/>
      <c r="FV83" s="13" t="s">
        <v>816</v>
      </c>
      <c r="FW83" s="13" t="s">
        <v>816</v>
      </c>
      <c r="FX83" s="13" t="s">
        <v>816</v>
      </c>
      <c r="FY83" s="13" t="s">
        <v>816</v>
      </c>
      <c r="FZ83" s="13" t="s">
        <v>816</v>
      </c>
      <c r="GA83" s="13" t="s">
        <v>816</v>
      </c>
      <c r="GB83" s="13" t="s">
        <v>816</v>
      </c>
      <c r="GE83" s="13" t="s">
        <v>816</v>
      </c>
      <c r="GF83" s="13" t="s">
        <v>816</v>
      </c>
      <c r="GH83" s="13" t="s">
        <v>816</v>
      </c>
    </row>
    <row r="84" spans="1:190" ht="15" customHeight="1" x14ac:dyDescent="0.2">
      <c r="A84" s="1" t="s">
        <v>213</v>
      </c>
      <c r="B84" s="1" t="s">
        <v>661</v>
      </c>
      <c r="C84" s="1" t="s">
        <v>668</v>
      </c>
      <c r="D84" s="1" t="s">
        <v>690</v>
      </c>
      <c r="E84" s="1" t="s">
        <v>129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816</v>
      </c>
      <c r="FS84" s="13" t="s">
        <v>816</v>
      </c>
      <c r="FT84" s="13" t="s">
        <v>816</v>
      </c>
      <c r="FU84" s="13"/>
      <c r="FV84" s="13" t="s">
        <v>816</v>
      </c>
      <c r="FW84" s="13" t="s">
        <v>816</v>
      </c>
      <c r="FX84" s="13" t="s">
        <v>816</v>
      </c>
      <c r="FY84" s="13" t="s">
        <v>816</v>
      </c>
      <c r="FZ84" s="13" t="s">
        <v>816</v>
      </c>
      <c r="GA84" s="13" t="s">
        <v>816</v>
      </c>
      <c r="GB84" s="13" t="s">
        <v>816</v>
      </c>
      <c r="GE84" s="13" t="s">
        <v>816</v>
      </c>
      <c r="GF84" s="13" t="s">
        <v>816</v>
      </c>
      <c r="GH84" s="13" t="s">
        <v>816</v>
      </c>
    </row>
    <row r="85" spans="1:190" ht="15" customHeight="1" x14ac:dyDescent="0.2">
      <c r="A85" s="1" t="s">
        <v>213</v>
      </c>
      <c r="B85" s="1" t="s">
        <v>661</v>
      </c>
      <c r="C85" s="1" t="s">
        <v>668</v>
      </c>
      <c r="D85" s="1" t="s">
        <v>690</v>
      </c>
      <c r="E85" s="1" t="s">
        <v>129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816</v>
      </c>
      <c r="FS85" s="13" t="s">
        <v>816</v>
      </c>
      <c r="FT85" s="13" t="s">
        <v>816</v>
      </c>
      <c r="FU85" s="13"/>
      <c r="FV85" s="13" t="s">
        <v>816</v>
      </c>
      <c r="FW85" s="13" t="s">
        <v>816</v>
      </c>
      <c r="FX85" s="13" t="s">
        <v>816</v>
      </c>
      <c r="FY85" s="13" t="s">
        <v>816</v>
      </c>
      <c r="FZ85" s="13" t="s">
        <v>816</v>
      </c>
      <c r="GA85" s="13" t="s">
        <v>816</v>
      </c>
      <c r="GB85" s="13" t="s">
        <v>816</v>
      </c>
      <c r="GE85" s="13" t="s">
        <v>816</v>
      </c>
      <c r="GF85" s="13" t="s">
        <v>816</v>
      </c>
      <c r="GH85" s="13" t="s">
        <v>816</v>
      </c>
    </row>
    <row r="86" spans="1:190" ht="15" customHeight="1" x14ac:dyDescent="0.2">
      <c r="A86" s="1" t="s">
        <v>213</v>
      </c>
      <c r="B86" s="1" t="s">
        <v>661</v>
      </c>
      <c r="C86" s="1" t="s">
        <v>668</v>
      </c>
      <c r="D86" s="1" t="s">
        <v>690</v>
      </c>
      <c r="E86" s="1" t="s">
        <v>129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816</v>
      </c>
      <c r="FS86" s="13" t="s">
        <v>816</v>
      </c>
      <c r="FT86" s="13" t="s">
        <v>816</v>
      </c>
      <c r="FU86" s="13"/>
      <c r="FV86" s="13" t="s">
        <v>816</v>
      </c>
      <c r="FW86" s="13" t="s">
        <v>816</v>
      </c>
      <c r="FX86" s="13" t="s">
        <v>816</v>
      </c>
      <c r="FY86" s="13" t="s">
        <v>816</v>
      </c>
      <c r="FZ86" s="13" t="s">
        <v>816</v>
      </c>
      <c r="GA86" s="13" t="s">
        <v>816</v>
      </c>
      <c r="GB86" s="13" t="s">
        <v>816</v>
      </c>
      <c r="GE86" s="13" t="s">
        <v>816</v>
      </c>
      <c r="GF86" s="13" t="s">
        <v>816</v>
      </c>
      <c r="GH86" s="13" t="s">
        <v>816</v>
      </c>
    </row>
    <row r="87" spans="1:190" ht="15" customHeight="1" x14ac:dyDescent="0.2">
      <c r="A87" s="1" t="s">
        <v>213</v>
      </c>
      <c r="B87" s="1" t="s">
        <v>661</v>
      </c>
      <c r="C87" s="1" t="s">
        <v>668</v>
      </c>
      <c r="D87" s="1" t="s">
        <v>690</v>
      </c>
      <c r="E87" s="1" t="s">
        <v>129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816</v>
      </c>
      <c r="FS87" s="13" t="s">
        <v>816</v>
      </c>
      <c r="FT87" s="13" t="s">
        <v>816</v>
      </c>
      <c r="FU87" s="13"/>
      <c r="FV87" s="13" t="s">
        <v>816</v>
      </c>
      <c r="FW87" s="13" t="s">
        <v>816</v>
      </c>
      <c r="FX87" s="13" t="s">
        <v>816</v>
      </c>
      <c r="FY87" s="13" t="s">
        <v>816</v>
      </c>
      <c r="FZ87" s="13" t="s">
        <v>816</v>
      </c>
      <c r="GA87" s="13" t="s">
        <v>816</v>
      </c>
      <c r="GB87" s="13" t="s">
        <v>816</v>
      </c>
      <c r="GE87" s="13" t="s">
        <v>816</v>
      </c>
      <c r="GF87" s="13" t="s">
        <v>816</v>
      </c>
      <c r="GH87" s="13" t="s">
        <v>816</v>
      </c>
    </row>
    <row r="88" spans="1:190" ht="15" customHeight="1" x14ac:dyDescent="0.2">
      <c r="A88" s="1" t="s">
        <v>213</v>
      </c>
      <c r="B88" s="1" t="s">
        <v>661</v>
      </c>
      <c r="C88" s="1" t="s">
        <v>668</v>
      </c>
      <c r="D88" s="1" t="s">
        <v>690</v>
      </c>
      <c r="E88" s="1" t="s">
        <v>129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816</v>
      </c>
      <c r="FS88" s="13" t="s">
        <v>816</v>
      </c>
      <c r="FT88" s="13" t="s">
        <v>816</v>
      </c>
      <c r="FU88" s="13"/>
      <c r="FV88" s="13" t="s">
        <v>816</v>
      </c>
      <c r="FW88" s="13" t="s">
        <v>816</v>
      </c>
      <c r="FX88" s="13" t="s">
        <v>816</v>
      </c>
      <c r="FY88" s="13" t="s">
        <v>816</v>
      </c>
      <c r="FZ88" s="13" t="s">
        <v>816</v>
      </c>
      <c r="GA88" s="13" t="s">
        <v>816</v>
      </c>
      <c r="GB88" s="13" t="s">
        <v>816</v>
      </c>
      <c r="GE88" s="13" t="s">
        <v>816</v>
      </c>
      <c r="GF88" s="13" t="s">
        <v>816</v>
      </c>
      <c r="GH88" s="13" t="s">
        <v>816</v>
      </c>
    </row>
    <row r="89" spans="1:190" ht="15" customHeight="1" x14ac:dyDescent="0.2">
      <c r="A89" s="1" t="s">
        <v>213</v>
      </c>
      <c r="B89" s="1" t="s">
        <v>661</v>
      </c>
      <c r="C89" s="1" t="s">
        <v>668</v>
      </c>
      <c r="D89" s="1" t="s">
        <v>690</v>
      </c>
      <c r="E89" s="1" t="s">
        <v>129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816</v>
      </c>
      <c r="FS89" s="13" t="s">
        <v>816</v>
      </c>
      <c r="FT89" s="13" t="s">
        <v>816</v>
      </c>
      <c r="FU89" s="13"/>
      <c r="FV89" s="13" t="s">
        <v>816</v>
      </c>
      <c r="FW89" s="13" t="s">
        <v>816</v>
      </c>
      <c r="FX89" s="13" t="s">
        <v>816</v>
      </c>
      <c r="FY89" s="13" t="s">
        <v>816</v>
      </c>
      <c r="FZ89" s="13" t="s">
        <v>816</v>
      </c>
      <c r="GA89" s="13" t="s">
        <v>816</v>
      </c>
      <c r="GB89" s="13" t="s">
        <v>816</v>
      </c>
      <c r="GE89" s="13" t="s">
        <v>816</v>
      </c>
      <c r="GF89" s="13" t="s">
        <v>816</v>
      </c>
      <c r="GH89" s="13" t="s">
        <v>816</v>
      </c>
    </row>
    <row r="90" spans="1:190" ht="15" customHeight="1" x14ac:dyDescent="0.2">
      <c r="A90" s="1" t="s">
        <v>542</v>
      </c>
      <c r="B90" s="1" t="s">
        <v>542</v>
      </c>
      <c r="C90" s="1" t="s">
        <v>670</v>
      </c>
      <c r="D90" s="1" t="s">
        <v>696</v>
      </c>
      <c r="E90" s="1" t="s">
        <v>130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816</v>
      </c>
      <c r="FS90" s="13" t="s">
        <v>816</v>
      </c>
      <c r="FT90" s="13" t="s">
        <v>816</v>
      </c>
      <c r="FU90" s="13"/>
      <c r="FV90" s="13" t="s">
        <v>816</v>
      </c>
      <c r="FW90" s="13" t="s">
        <v>816</v>
      </c>
      <c r="FX90" s="13" t="s">
        <v>816</v>
      </c>
      <c r="FY90" s="13" t="s">
        <v>816</v>
      </c>
      <c r="FZ90" s="13" t="s">
        <v>816</v>
      </c>
      <c r="GA90" s="13" t="s">
        <v>816</v>
      </c>
      <c r="GB90" s="13" t="s">
        <v>816</v>
      </c>
      <c r="GE90" s="13" t="s">
        <v>816</v>
      </c>
      <c r="GF90" s="13" t="s">
        <v>816</v>
      </c>
      <c r="GH90" s="13" t="s">
        <v>816</v>
      </c>
    </row>
    <row r="91" spans="1:190" ht="15" customHeight="1" x14ac:dyDescent="0.2">
      <c r="A91" s="1" t="s">
        <v>542</v>
      </c>
      <c r="B91" s="1" t="s">
        <v>542</v>
      </c>
      <c r="C91" s="1" t="s">
        <v>670</v>
      </c>
      <c r="D91" s="1" t="s">
        <v>696</v>
      </c>
      <c r="E91" s="1" t="s">
        <v>130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816</v>
      </c>
      <c r="FS91" s="13" t="s">
        <v>816</v>
      </c>
      <c r="FT91" s="13" t="s">
        <v>816</v>
      </c>
      <c r="FU91" s="13"/>
      <c r="FV91" s="13" t="s">
        <v>816</v>
      </c>
      <c r="FW91" s="13" t="s">
        <v>816</v>
      </c>
      <c r="FX91" s="13" t="s">
        <v>816</v>
      </c>
      <c r="FY91" s="13" t="s">
        <v>816</v>
      </c>
      <c r="FZ91" s="13" t="s">
        <v>816</v>
      </c>
      <c r="GA91" s="13" t="s">
        <v>816</v>
      </c>
      <c r="GB91" s="13" t="s">
        <v>816</v>
      </c>
      <c r="GE91" s="13" t="s">
        <v>816</v>
      </c>
      <c r="GF91" s="13" t="s">
        <v>816</v>
      </c>
      <c r="GH91" s="13" t="s">
        <v>816</v>
      </c>
    </row>
    <row r="92" spans="1:190" ht="15" customHeight="1" x14ac:dyDescent="0.2">
      <c r="A92" s="1" t="s">
        <v>542</v>
      </c>
      <c r="B92" s="1" t="s">
        <v>542</v>
      </c>
      <c r="C92" s="1" t="s">
        <v>670</v>
      </c>
      <c r="D92" s="1" t="s">
        <v>696</v>
      </c>
      <c r="E92" s="1" t="s">
        <v>130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816</v>
      </c>
      <c r="FS92" s="13" t="s">
        <v>816</v>
      </c>
      <c r="FT92" s="13" t="s">
        <v>816</v>
      </c>
      <c r="FU92" s="13"/>
      <c r="FV92" s="13" t="s">
        <v>816</v>
      </c>
      <c r="FW92" s="13" t="s">
        <v>816</v>
      </c>
      <c r="FX92" s="13" t="s">
        <v>816</v>
      </c>
      <c r="FY92" s="13" t="s">
        <v>816</v>
      </c>
      <c r="FZ92" s="13" t="s">
        <v>816</v>
      </c>
      <c r="GA92" s="13" t="s">
        <v>816</v>
      </c>
      <c r="GB92" s="13" t="s">
        <v>816</v>
      </c>
      <c r="GE92" s="13" t="s">
        <v>816</v>
      </c>
      <c r="GF92" s="13" t="s">
        <v>816</v>
      </c>
      <c r="GH92" s="13" t="s">
        <v>816</v>
      </c>
    </row>
    <row r="93" spans="1:190" ht="15" customHeight="1" x14ac:dyDescent="0.2">
      <c r="A93" s="1" t="s">
        <v>542</v>
      </c>
      <c r="B93" s="1" t="s">
        <v>542</v>
      </c>
      <c r="C93" s="1" t="s">
        <v>670</v>
      </c>
      <c r="D93" s="1" t="s">
        <v>696</v>
      </c>
      <c r="E93" s="1" t="s">
        <v>130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816</v>
      </c>
      <c r="FS93" s="13" t="s">
        <v>816</v>
      </c>
      <c r="FT93" s="13" t="s">
        <v>816</v>
      </c>
      <c r="FU93" s="13"/>
      <c r="FV93" s="13" t="s">
        <v>816</v>
      </c>
      <c r="FW93" s="13" t="s">
        <v>816</v>
      </c>
      <c r="FX93" s="13" t="s">
        <v>816</v>
      </c>
      <c r="FY93" s="13" t="s">
        <v>816</v>
      </c>
      <c r="FZ93" s="13" t="s">
        <v>816</v>
      </c>
      <c r="GA93" s="13" t="s">
        <v>816</v>
      </c>
      <c r="GB93" s="13" t="s">
        <v>816</v>
      </c>
      <c r="GE93" s="13" t="s">
        <v>816</v>
      </c>
      <c r="GF93" s="13" t="s">
        <v>816</v>
      </c>
      <c r="GH93" s="13" t="s">
        <v>816</v>
      </c>
    </row>
    <row r="94" spans="1:190" ht="15" customHeight="1" x14ac:dyDescent="0.2">
      <c r="A94" s="1" t="s">
        <v>542</v>
      </c>
      <c r="B94" s="1" t="s">
        <v>542</v>
      </c>
      <c r="C94" s="1" t="s">
        <v>670</v>
      </c>
      <c r="D94" s="1" t="s">
        <v>696</v>
      </c>
      <c r="E94" s="1" t="s">
        <v>130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816</v>
      </c>
      <c r="FS94" s="13" t="s">
        <v>816</v>
      </c>
      <c r="FT94" s="13" t="s">
        <v>816</v>
      </c>
      <c r="FU94" s="13"/>
      <c r="FV94" s="13" t="s">
        <v>816</v>
      </c>
      <c r="FW94" s="13" t="s">
        <v>816</v>
      </c>
      <c r="FX94" s="13" t="s">
        <v>816</v>
      </c>
      <c r="FY94" s="13" t="s">
        <v>816</v>
      </c>
      <c r="FZ94" s="13" t="s">
        <v>816</v>
      </c>
      <c r="GA94" s="13" t="s">
        <v>816</v>
      </c>
      <c r="GB94" s="13" t="s">
        <v>816</v>
      </c>
      <c r="GE94" s="13" t="s">
        <v>816</v>
      </c>
      <c r="GF94" s="13" t="s">
        <v>816</v>
      </c>
      <c r="GH94" s="13" t="s">
        <v>816</v>
      </c>
    </row>
    <row r="95" spans="1:190" ht="15" customHeight="1" x14ac:dyDescent="0.2">
      <c r="A95" s="1" t="s">
        <v>542</v>
      </c>
      <c r="B95" s="1" t="s">
        <v>542</v>
      </c>
      <c r="C95" s="1" t="s">
        <v>670</v>
      </c>
      <c r="D95" s="1" t="s">
        <v>696</v>
      </c>
      <c r="E95" s="1" t="s">
        <v>130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816</v>
      </c>
      <c r="FS95" s="13" t="s">
        <v>816</v>
      </c>
      <c r="FT95" s="13" t="s">
        <v>816</v>
      </c>
      <c r="FU95" s="13"/>
      <c r="FV95" s="13" t="s">
        <v>816</v>
      </c>
      <c r="FW95" s="13" t="s">
        <v>816</v>
      </c>
      <c r="FX95" s="13" t="s">
        <v>816</v>
      </c>
      <c r="FY95" s="13" t="s">
        <v>816</v>
      </c>
      <c r="FZ95" s="13" t="s">
        <v>816</v>
      </c>
      <c r="GA95" s="13" t="s">
        <v>816</v>
      </c>
      <c r="GB95" s="13" t="s">
        <v>816</v>
      </c>
      <c r="GE95" s="13" t="s">
        <v>816</v>
      </c>
      <c r="GF95" s="13" t="s">
        <v>816</v>
      </c>
      <c r="GH95" s="13" t="s">
        <v>816</v>
      </c>
    </row>
    <row r="96" spans="1:190" ht="15" customHeight="1" x14ac:dyDescent="0.2">
      <c r="A96" s="1" t="s">
        <v>542</v>
      </c>
      <c r="B96" s="1" t="s">
        <v>542</v>
      </c>
      <c r="C96" s="1" t="s">
        <v>670</v>
      </c>
      <c r="D96" s="1" t="s">
        <v>696</v>
      </c>
      <c r="E96" s="1" t="s">
        <v>130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816</v>
      </c>
      <c r="FS96" s="13" t="s">
        <v>816</v>
      </c>
      <c r="FT96" s="13" t="s">
        <v>816</v>
      </c>
      <c r="FU96" s="13"/>
      <c r="FV96" s="13" t="s">
        <v>816</v>
      </c>
      <c r="FW96" s="13" t="s">
        <v>816</v>
      </c>
      <c r="FX96" s="13" t="s">
        <v>816</v>
      </c>
      <c r="FY96" s="13" t="s">
        <v>816</v>
      </c>
      <c r="FZ96" s="13" t="s">
        <v>816</v>
      </c>
      <c r="GA96" s="13" t="s">
        <v>816</v>
      </c>
      <c r="GB96" s="13" t="s">
        <v>816</v>
      </c>
      <c r="GE96" s="13" t="s">
        <v>816</v>
      </c>
      <c r="GF96" s="13" t="s">
        <v>816</v>
      </c>
      <c r="GH96" s="13" t="s">
        <v>816</v>
      </c>
    </row>
    <row r="97" spans="1:190" ht="15" customHeight="1" x14ac:dyDescent="0.2">
      <c r="A97" s="1" t="s">
        <v>542</v>
      </c>
      <c r="B97" s="1" t="s">
        <v>542</v>
      </c>
      <c r="C97" s="1" t="s">
        <v>670</v>
      </c>
      <c r="D97" s="1" t="s">
        <v>696</v>
      </c>
      <c r="E97" s="1" t="s">
        <v>130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816</v>
      </c>
      <c r="FS97" s="13" t="s">
        <v>816</v>
      </c>
      <c r="FT97" s="13" t="s">
        <v>816</v>
      </c>
      <c r="FU97" s="13"/>
      <c r="FV97" s="13" t="s">
        <v>816</v>
      </c>
      <c r="FW97" s="13" t="s">
        <v>816</v>
      </c>
      <c r="FX97" s="13" t="s">
        <v>816</v>
      </c>
      <c r="FY97" s="13" t="s">
        <v>816</v>
      </c>
      <c r="FZ97" s="13" t="s">
        <v>816</v>
      </c>
      <c r="GA97" s="13" t="s">
        <v>816</v>
      </c>
      <c r="GB97" s="13" t="s">
        <v>816</v>
      </c>
      <c r="GE97" s="13" t="s">
        <v>816</v>
      </c>
      <c r="GF97" s="13" t="s">
        <v>816</v>
      </c>
      <c r="GH97" s="13" t="s">
        <v>816</v>
      </c>
    </row>
    <row r="98" spans="1:190" ht="12.75" customHeight="1" x14ac:dyDescent="0.2">
      <c r="A98" s="1" t="s">
        <v>367</v>
      </c>
      <c r="B98" s="1" t="s">
        <v>660</v>
      </c>
      <c r="C98" s="1" t="s">
        <v>669</v>
      </c>
      <c r="D98" s="1" t="s">
        <v>693</v>
      </c>
      <c r="E98" s="1" t="s">
        <v>130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816</v>
      </c>
      <c r="FS98" s="13" t="s">
        <v>816</v>
      </c>
      <c r="FT98" s="13" t="s">
        <v>816</v>
      </c>
      <c r="FU98" s="13"/>
      <c r="FV98" s="13" t="s">
        <v>816</v>
      </c>
      <c r="FW98" s="13" t="s">
        <v>816</v>
      </c>
      <c r="FX98" s="13" t="s">
        <v>816</v>
      </c>
      <c r="FY98" s="13" t="s">
        <v>816</v>
      </c>
      <c r="FZ98" s="13" t="s">
        <v>816</v>
      </c>
      <c r="GA98" s="13" t="s">
        <v>816</v>
      </c>
      <c r="GB98" s="13" t="s">
        <v>816</v>
      </c>
      <c r="GE98" s="13" t="s">
        <v>816</v>
      </c>
      <c r="GF98" s="13" t="s">
        <v>816</v>
      </c>
      <c r="GH98" s="13" t="s">
        <v>816</v>
      </c>
    </row>
    <row r="99" spans="1:190" ht="12.75" customHeight="1" x14ac:dyDescent="0.2">
      <c r="A99" s="1" t="s">
        <v>367</v>
      </c>
      <c r="B99" s="1" t="s">
        <v>660</v>
      </c>
      <c r="C99" s="1" t="s">
        <v>669</v>
      </c>
      <c r="D99" s="1" t="s">
        <v>693</v>
      </c>
      <c r="E99" s="1" t="s">
        <v>130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816</v>
      </c>
      <c r="FS99" s="13" t="s">
        <v>816</v>
      </c>
      <c r="FT99" s="13" t="s">
        <v>816</v>
      </c>
      <c r="FU99" s="13"/>
      <c r="FV99" s="13" t="s">
        <v>816</v>
      </c>
      <c r="FW99" s="13" t="s">
        <v>816</v>
      </c>
      <c r="FX99" s="13" t="s">
        <v>816</v>
      </c>
      <c r="FY99" s="13" t="s">
        <v>816</v>
      </c>
      <c r="FZ99" s="13" t="s">
        <v>816</v>
      </c>
      <c r="GA99" s="13" t="s">
        <v>816</v>
      </c>
      <c r="GB99" s="13" t="s">
        <v>816</v>
      </c>
      <c r="GE99" s="13" t="s">
        <v>816</v>
      </c>
      <c r="GF99" s="13" t="s">
        <v>816</v>
      </c>
      <c r="GH99" s="13" t="s">
        <v>816</v>
      </c>
    </row>
    <row r="100" spans="1:190" ht="12.75" customHeight="1" x14ac:dyDescent="0.2">
      <c r="A100" s="1" t="s">
        <v>367</v>
      </c>
      <c r="B100" s="1" t="s">
        <v>660</v>
      </c>
      <c r="C100" s="1" t="s">
        <v>669</v>
      </c>
      <c r="D100" s="1" t="s">
        <v>693</v>
      </c>
      <c r="E100" s="1" t="s">
        <v>130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816</v>
      </c>
      <c r="FS100" s="13" t="s">
        <v>816</v>
      </c>
      <c r="FT100" s="13" t="s">
        <v>816</v>
      </c>
      <c r="FU100" s="13"/>
      <c r="FV100" s="13" t="s">
        <v>816</v>
      </c>
      <c r="FW100" s="13" t="s">
        <v>816</v>
      </c>
      <c r="FX100" s="13" t="s">
        <v>816</v>
      </c>
      <c r="FY100" s="13" t="s">
        <v>816</v>
      </c>
      <c r="FZ100" s="13" t="s">
        <v>816</v>
      </c>
      <c r="GA100" s="13" t="s">
        <v>816</v>
      </c>
      <c r="GB100" s="13" t="s">
        <v>816</v>
      </c>
      <c r="GE100" s="13" t="s">
        <v>816</v>
      </c>
      <c r="GF100" s="13" t="s">
        <v>816</v>
      </c>
      <c r="GH100" s="13" t="s">
        <v>816</v>
      </c>
    </row>
    <row r="101" spans="1:190" ht="12.75" customHeight="1" x14ac:dyDescent="0.2">
      <c r="A101" s="1" t="s">
        <v>367</v>
      </c>
      <c r="B101" s="1" t="s">
        <v>660</v>
      </c>
      <c r="C101" s="1" t="s">
        <v>669</v>
      </c>
      <c r="D101" s="1" t="s">
        <v>693</v>
      </c>
      <c r="E101" s="1" t="s">
        <v>130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816</v>
      </c>
      <c r="FS101" s="13" t="s">
        <v>816</v>
      </c>
      <c r="FT101" s="13" t="s">
        <v>816</v>
      </c>
      <c r="FU101" s="13"/>
      <c r="FV101" s="13" t="s">
        <v>816</v>
      </c>
      <c r="FW101" s="13" t="s">
        <v>816</v>
      </c>
      <c r="FX101" s="13" t="s">
        <v>816</v>
      </c>
      <c r="FY101" s="13" t="s">
        <v>816</v>
      </c>
      <c r="FZ101" s="13" t="s">
        <v>816</v>
      </c>
      <c r="GA101" s="13" t="s">
        <v>816</v>
      </c>
      <c r="GB101" s="13" t="s">
        <v>816</v>
      </c>
      <c r="GE101" s="13" t="s">
        <v>816</v>
      </c>
      <c r="GF101" s="13" t="s">
        <v>816</v>
      </c>
      <c r="GH101" s="13" t="s">
        <v>816</v>
      </c>
    </row>
    <row r="102" spans="1:190" ht="12.75" customHeight="1" x14ac:dyDescent="0.2">
      <c r="A102" s="1" t="s">
        <v>367</v>
      </c>
      <c r="B102" s="1" t="s">
        <v>660</v>
      </c>
      <c r="C102" s="1" t="s">
        <v>669</v>
      </c>
      <c r="D102" s="1" t="s">
        <v>693</v>
      </c>
      <c r="E102" s="1" t="s">
        <v>130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816</v>
      </c>
      <c r="FS102" s="13" t="s">
        <v>816</v>
      </c>
      <c r="FT102" s="13" t="s">
        <v>816</v>
      </c>
      <c r="FU102" s="13"/>
      <c r="FV102" s="13" t="s">
        <v>816</v>
      </c>
      <c r="FW102" s="13" t="s">
        <v>816</v>
      </c>
      <c r="FX102" s="13" t="s">
        <v>816</v>
      </c>
      <c r="FY102" s="13" t="s">
        <v>816</v>
      </c>
      <c r="FZ102" s="13" t="s">
        <v>816</v>
      </c>
      <c r="GA102" s="13" t="s">
        <v>816</v>
      </c>
      <c r="GB102" s="13" t="s">
        <v>816</v>
      </c>
      <c r="GE102" s="13" t="s">
        <v>816</v>
      </c>
      <c r="GF102" s="13" t="s">
        <v>816</v>
      </c>
      <c r="GH102" s="13" t="s">
        <v>816</v>
      </c>
    </row>
    <row r="103" spans="1:190" ht="12.75" customHeight="1" x14ac:dyDescent="0.2">
      <c r="A103" s="1" t="s">
        <v>367</v>
      </c>
      <c r="B103" s="1" t="s">
        <v>660</v>
      </c>
      <c r="C103" s="1" t="s">
        <v>669</v>
      </c>
      <c r="D103" s="1" t="s">
        <v>693</v>
      </c>
      <c r="E103" s="1" t="s">
        <v>130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816</v>
      </c>
      <c r="FS103" s="13" t="s">
        <v>816</v>
      </c>
      <c r="FT103" s="13" t="s">
        <v>816</v>
      </c>
      <c r="FU103" s="13"/>
      <c r="FV103" s="13" t="s">
        <v>816</v>
      </c>
      <c r="FW103" s="13" t="s">
        <v>816</v>
      </c>
      <c r="FX103" s="13" t="s">
        <v>816</v>
      </c>
      <c r="FY103" s="13" t="s">
        <v>816</v>
      </c>
      <c r="FZ103" s="13" t="s">
        <v>816</v>
      </c>
      <c r="GA103" s="13" t="s">
        <v>816</v>
      </c>
      <c r="GB103" s="13" t="s">
        <v>816</v>
      </c>
      <c r="GE103" s="13" t="s">
        <v>816</v>
      </c>
      <c r="GF103" s="13" t="s">
        <v>816</v>
      </c>
      <c r="GH103" s="13" t="s">
        <v>816</v>
      </c>
    </row>
    <row r="104" spans="1:190" ht="12.75" customHeight="1" x14ac:dyDescent="0.2">
      <c r="A104" s="1" t="s">
        <v>367</v>
      </c>
      <c r="B104" s="1" t="s">
        <v>660</v>
      </c>
      <c r="C104" s="1" t="s">
        <v>669</v>
      </c>
      <c r="D104" s="1" t="s">
        <v>693</v>
      </c>
      <c r="E104" s="1" t="s">
        <v>130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816</v>
      </c>
      <c r="FS104" s="13" t="s">
        <v>816</v>
      </c>
      <c r="FT104" s="13" t="s">
        <v>816</v>
      </c>
      <c r="FU104" s="13"/>
      <c r="FV104" s="13" t="s">
        <v>816</v>
      </c>
      <c r="FW104" s="13" t="s">
        <v>816</v>
      </c>
      <c r="FX104" s="13" t="s">
        <v>816</v>
      </c>
      <c r="FY104" s="13" t="s">
        <v>816</v>
      </c>
      <c r="FZ104" s="13" t="s">
        <v>816</v>
      </c>
      <c r="GA104" s="13" t="s">
        <v>816</v>
      </c>
      <c r="GB104" s="13" t="s">
        <v>816</v>
      </c>
      <c r="GE104" s="13" t="s">
        <v>816</v>
      </c>
      <c r="GF104" s="13" t="s">
        <v>816</v>
      </c>
      <c r="GH104" s="13" t="s">
        <v>816</v>
      </c>
    </row>
    <row r="105" spans="1:190" ht="12.75" customHeight="1" x14ac:dyDescent="0.2">
      <c r="A105" s="1" t="s">
        <v>367</v>
      </c>
      <c r="B105" s="1" t="s">
        <v>660</v>
      </c>
      <c r="C105" s="1" t="s">
        <v>669</v>
      </c>
      <c r="D105" s="1" t="s">
        <v>693</v>
      </c>
      <c r="E105" s="1" t="s">
        <v>130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816</v>
      </c>
      <c r="FS105" s="13" t="s">
        <v>816</v>
      </c>
      <c r="FT105" s="13" t="s">
        <v>816</v>
      </c>
      <c r="FU105" s="13"/>
      <c r="FV105" s="13" t="s">
        <v>816</v>
      </c>
      <c r="FW105" s="13" t="s">
        <v>816</v>
      </c>
      <c r="FX105" s="13" t="s">
        <v>816</v>
      </c>
      <c r="FY105" s="13" t="s">
        <v>816</v>
      </c>
      <c r="FZ105" s="13" t="s">
        <v>816</v>
      </c>
      <c r="GA105" s="13" t="s">
        <v>816</v>
      </c>
      <c r="GB105" s="13" t="s">
        <v>816</v>
      </c>
      <c r="GE105" s="13" t="s">
        <v>816</v>
      </c>
      <c r="GF105" s="13" t="s">
        <v>816</v>
      </c>
      <c r="GH105" s="13" t="s">
        <v>816</v>
      </c>
    </row>
    <row r="106" spans="1:190" ht="12.75" customHeight="1" x14ac:dyDescent="0.2">
      <c r="A106" s="1" t="s">
        <v>378</v>
      </c>
      <c r="B106" s="1" t="s">
        <v>757</v>
      </c>
      <c r="C106" s="1" t="s">
        <v>669</v>
      </c>
      <c r="D106" s="1" t="s">
        <v>694</v>
      </c>
      <c r="E106" s="1" t="s">
        <v>130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816</v>
      </c>
      <c r="FS106" s="13" t="s">
        <v>816</v>
      </c>
      <c r="FT106" s="13" t="s">
        <v>816</v>
      </c>
      <c r="FU106" s="13"/>
      <c r="FV106" s="13" t="s">
        <v>816</v>
      </c>
      <c r="FW106" s="13" t="s">
        <v>816</v>
      </c>
      <c r="FX106" s="13" t="s">
        <v>816</v>
      </c>
      <c r="FY106" s="13" t="s">
        <v>816</v>
      </c>
      <c r="FZ106" s="13" t="s">
        <v>816</v>
      </c>
      <c r="GA106" s="13" t="s">
        <v>816</v>
      </c>
      <c r="GB106" s="13" t="s">
        <v>816</v>
      </c>
      <c r="GE106" s="13" t="s">
        <v>816</v>
      </c>
      <c r="GF106" s="13" t="s">
        <v>816</v>
      </c>
      <c r="GH106" s="13" t="s">
        <v>816</v>
      </c>
    </row>
    <row r="107" spans="1:190" ht="12.75" customHeight="1" x14ac:dyDescent="0.2">
      <c r="A107" s="1" t="s">
        <v>378</v>
      </c>
      <c r="B107" s="1" t="s">
        <v>757</v>
      </c>
      <c r="C107" s="1" t="s">
        <v>669</v>
      </c>
      <c r="D107" s="1" t="s">
        <v>694</v>
      </c>
      <c r="E107" s="1" t="s">
        <v>130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816</v>
      </c>
      <c r="FS107" s="13" t="s">
        <v>816</v>
      </c>
      <c r="FT107" s="13" t="s">
        <v>816</v>
      </c>
      <c r="FU107" s="13"/>
      <c r="FV107" s="13" t="s">
        <v>816</v>
      </c>
      <c r="FW107" s="13" t="s">
        <v>816</v>
      </c>
      <c r="FX107" s="13" t="s">
        <v>816</v>
      </c>
      <c r="FY107" s="13" t="s">
        <v>816</v>
      </c>
      <c r="FZ107" s="13" t="s">
        <v>816</v>
      </c>
      <c r="GA107" s="13" t="s">
        <v>816</v>
      </c>
      <c r="GB107" s="13" t="s">
        <v>816</v>
      </c>
      <c r="GE107" s="13" t="s">
        <v>816</v>
      </c>
      <c r="GF107" s="13" t="s">
        <v>816</v>
      </c>
      <c r="GH107" s="13" t="s">
        <v>816</v>
      </c>
    </row>
    <row r="108" spans="1:190" ht="12.75" customHeight="1" x14ac:dyDescent="0.2">
      <c r="A108" s="1" t="s">
        <v>378</v>
      </c>
      <c r="B108" s="1" t="s">
        <v>757</v>
      </c>
      <c r="C108" s="1" t="s">
        <v>669</v>
      </c>
      <c r="D108" s="1" t="s">
        <v>694</v>
      </c>
      <c r="E108" s="1" t="s">
        <v>130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816</v>
      </c>
      <c r="FS108" s="13" t="s">
        <v>816</v>
      </c>
      <c r="FT108" s="13" t="s">
        <v>816</v>
      </c>
      <c r="FU108" s="13"/>
      <c r="FV108" s="13" t="s">
        <v>816</v>
      </c>
      <c r="FW108" s="13" t="s">
        <v>816</v>
      </c>
      <c r="FX108" s="13" t="s">
        <v>816</v>
      </c>
      <c r="FY108" s="13" t="s">
        <v>816</v>
      </c>
      <c r="FZ108" s="13" t="s">
        <v>816</v>
      </c>
      <c r="GA108" s="13" t="s">
        <v>816</v>
      </c>
      <c r="GB108" s="13" t="s">
        <v>816</v>
      </c>
      <c r="GE108" s="13" t="s">
        <v>816</v>
      </c>
      <c r="GF108" s="13" t="s">
        <v>816</v>
      </c>
      <c r="GH108" s="13" t="s">
        <v>816</v>
      </c>
    </row>
    <row r="109" spans="1:190" ht="12.75" customHeight="1" x14ac:dyDescent="0.2">
      <c r="A109" s="1" t="s">
        <v>378</v>
      </c>
      <c r="B109" s="1" t="s">
        <v>757</v>
      </c>
      <c r="C109" s="1" t="s">
        <v>669</v>
      </c>
      <c r="D109" s="1" t="s">
        <v>694</v>
      </c>
      <c r="E109" s="1" t="s">
        <v>130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816</v>
      </c>
      <c r="FS109" s="13" t="s">
        <v>816</v>
      </c>
      <c r="FT109" s="13" t="s">
        <v>816</v>
      </c>
      <c r="FU109" s="13"/>
      <c r="FV109" s="13" t="s">
        <v>816</v>
      </c>
      <c r="FW109" s="13" t="s">
        <v>816</v>
      </c>
      <c r="FX109" s="13" t="s">
        <v>816</v>
      </c>
      <c r="FY109" s="13" t="s">
        <v>816</v>
      </c>
      <c r="FZ109" s="13" t="s">
        <v>816</v>
      </c>
      <c r="GA109" s="13" t="s">
        <v>816</v>
      </c>
      <c r="GB109" s="13" t="s">
        <v>816</v>
      </c>
      <c r="GE109" s="13" t="s">
        <v>816</v>
      </c>
      <c r="GF109" s="13" t="s">
        <v>816</v>
      </c>
      <c r="GH109" s="13" t="s">
        <v>816</v>
      </c>
    </row>
    <row r="110" spans="1:190" ht="12.75" customHeight="1" x14ac:dyDescent="0.2">
      <c r="A110" s="1" t="s">
        <v>378</v>
      </c>
      <c r="B110" s="1" t="s">
        <v>757</v>
      </c>
      <c r="C110" s="1" t="s">
        <v>669</v>
      </c>
      <c r="D110" s="1" t="s">
        <v>694</v>
      </c>
      <c r="E110" s="1" t="s">
        <v>130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816</v>
      </c>
      <c r="FS110" s="13" t="s">
        <v>816</v>
      </c>
      <c r="FT110" s="13" t="s">
        <v>816</v>
      </c>
      <c r="FU110" s="13"/>
      <c r="FV110" s="13" t="s">
        <v>816</v>
      </c>
      <c r="FW110" s="13" t="s">
        <v>816</v>
      </c>
      <c r="FX110" s="13" t="s">
        <v>816</v>
      </c>
      <c r="FY110" s="13" t="s">
        <v>816</v>
      </c>
      <c r="FZ110" s="13" t="s">
        <v>816</v>
      </c>
      <c r="GA110" s="13" t="s">
        <v>816</v>
      </c>
      <c r="GB110" s="13" t="s">
        <v>816</v>
      </c>
      <c r="GE110" s="13" t="s">
        <v>816</v>
      </c>
      <c r="GF110" s="13" t="s">
        <v>816</v>
      </c>
      <c r="GH110" s="13" t="s">
        <v>816</v>
      </c>
    </row>
    <row r="111" spans="1:190" ht="12.75" customHeight="1" x14ac:dyDescent="0.2">
      <c r="A111" s="1" t="s">
        <v>378</v>
      </c>
      <c r="B111" s="1" t="s">
        <v>757</v>
      </c>
      <c r="C111" s="1" t="s">
        <v>669</v>
      </c>
      <c r="D111" s="1" t="s">
        <v>694</v>
      </c>
      <c r="E111" s="1" t="s">
        <v>130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816</v>
      </c>
      <c r="FS111" s="13" t="s">
        <v>816</v>
      </c>
      <c r="FT111" s="13" t="s">
        <v>816</v>
      </c>
      <c r="FU111" s="13"/>
      <c r="FV111" s="13" t="s">
        <v>816</v>
      </c>
      <c r="FW111" s="13" t="s">
        <v>816</v>
      </c>
      <c r="FX111" s="13" t="s">
        <v>816</v>
      </c>
      <c r="FY111" s="13" t="s">
        <v>816</v>
      </c>
      <c r="FZ111" s="13" t="s">
        <v>816</v>
      </c>
      <c r="GA111" s="13" t="s">
        <v>816</v>
      </c>
      <c r="GB111" s="13" t="s">
        <v>816</v>
      </c>
      <c r="GE111" s="13" t="s">
        <v>816</v>
      </c>
      <c r="GF111" s="13" t="s">
        <v>816</v>
      </c>
      <c r="GH111" s="13" t="s">
        <v>816</v>
      </c>
    </row>
    <row r="112" spans="1:190" ht="12.75" customHeight="1" x14ac:dyDescent="0.2">
      <c r="A112" s="1" t="s">
        <v>378</v>
      </c>
      <c r="B112" s="1" t="s">
        <v>757</v>
      </c>
      <c r="C112" s="1" t="s">
        <v>669</v>
      </c>
      <c r="D112" s="1" t="s">
        <v>694</v>
      </c>
      <c r="E112" s="1" t="s">
        <v>130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816</v>
      </c>
      <c r="FS112" s="13" t="s">
        <v>816</v>
      </c>
      <c r="FT112" s="13" t="s">
        <v>816</v>
      </c>
      <c r="FU112" s="13"/>
      <c r="FV112" s="13" t="s">
        <v>816</v>
      </c>
      <c r="FW112" s="13" t="s">
        <v>816</v>
      </c>
      <c r="FX112" s="13" t="s">
        <v>816</v>
      </c>
      <c r="FY112" s="13" t="s">
        <v>816</v>
      </c>
      <c r="FZ112" s="13" t="s">
        <v>816</v>
      </c>
      <c r="GA112" s="13" t="s">
        <v>816</v>
      </c>
      <c r="GB112" s="13" t="s">
        <v>816</v>
      </c>
      <c r="GE112" s="13" t="s">
        <v>816</v>
      </c>
      <c r="GF112" s="13" t="s">
        <v>816</v>
      </c>
      <c r="GH112" s="13" t="s">
        <v>816</v>
      </c>
    </row>
    <row r="113" spans="1:190" ht="12.75" customHeight="1" x14ac:dyDescent="0.2">
      <c r="A113" s="1" t="s">
        <v>378</v>
      </c>
      <c r="B113" s="1" t="s">
        <v>757</v>
      </c>
      <c r="C113" s="1" t="s">
        <v>669</v>
      </c>
      <c r="D113" s="1" t="s">
        <v>694</v>
      </c>
      <c r="E113" s="1" t="s">
        <v>130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816</v>
      </c>
      <c r="FS113" s="13" t="s">
        <v>816</v>
      </c>
      <c r="FT113" s="13" t="s">
        <v>816</v>
      </c>
      <c r="FU113" s="13"/>
      <c r="FV113" s="13" t="s">
        <v>816</v>
      </c>
      <c r="FW113" s="13" t="s">
        <v>816</v>
      </c>
      <c r="FX113" s="13" t="s">
        <v>816</v>
      </c>
      <c r="FY113" s="13" t="s">
        <v>816</v>
      </c>
      <c r="FZ113" s="13" t="s">
        <v>816</v>
      </c>
      <c r="GA113" s="13" t="s">
        <v>816</v>
      </c>
      <c r="GB113" s="13" t="s">
        <v>816</v>
      </c>
      <c r="GE113" s="13" t="s">
        <v>816</v>
      </c>
      <c r="GF113" s="13" t="s">
        <v>816</v>
      </c>
      <c r="GH113" s="13" t="s">
        <v>816</v>
      </c>
    </row>
    <row r="114" spans="1:190" ht="12.75" customHeight="1" x14ac:dyDescent="0.2">
      <c r="A114" s="1" t="s">
        <v>213</v>
      </c>
      <c r="B114" s="1" t="s">
        <v>661</v>
      </c>
      <c r="C114" s="1" t="s">
        <v>669</v>
      </c>
      <c r="D114" s="1" t="s">
        <v>695</v>
      </c>
      <c r="E114" s="1" t="s">
        <v>130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816</v>
      </c>
      <c r="FS114" s="13" t="s">
        <v>816</v>
      </c>
      <c r="FT114" s="13" t="s">
        <v>816</v>
      </c>
      <c r="FU114" s="13"/>
      <c r="FV114" s="13" t="s">
        <v>816</v>
      </c>
      <c r="FW114" s="13" t="s">
        <v>816</v>
      </c>
      <c r="FX114" s="13" t="s">
        <v>816</v>
      </c>
      <c r="FY114" s="13" t="s">
        <v>816</v>
      </c>
      <c r="FZ114" s="13" t="s">
        <v>816</v>
      </c>
      <c r="GA114" s="13" t="s">
        <v>816</v>
      </c>
      <c r="GB114" s="13" t="s">
        <v>816</v>
      </c>
      <c r="GE114" s="13" t="s">
        <v>816</v>
      </c>
      <c r="GF114" s="13" t="s">
        <v>816</v>
      </c>
      <c r="GH114" s="13" t="s">
        <v>816</v>
      </c>
    </row>
    <row r="115" spans="1:190" ht="12.75" customHeight="1" x14ac:dyDescent="0.2">
      <c r="A115" s="1" t="s">
        <v>213</v>
      </c>
      <c r="B115" s="1" t="s">
        <v>661</v>
      </c>
      <c r="C115" s="1" t="s">
        <v>669</v>
      </c>
      <c r="D115" s="1" t="s">
        <v>695</v>
      </c>
      <c r="E115" s="1" t="s">
        <v>130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816</v>
      </c>
      <c r="FS115" s="13" t="s">
        <v>816</v>
      </c>
      <c r="FT115" s="13" t="s">
        <v>816</v>
      </c>
      <c r="FU115" s="13"/>
      <c r="FV115" s="13" t="s">
        <v>816</v>
      </c>
      <c r="FW115" s="13" t="s">
        <v>816</v>
      </c>
      <c r="FX115" s="13" t="s">
        <v>816</v>
      </c>
      <c r="FY115" s="13" t="s">
        <v>816</v>
      </c>
      <c r="FZ115" s="13" t="s">
        <v>816</v>
      </c>
      <c r="GA115" s="13" t="s">
        <v>816</v>
      </c>
      <c r="GB115" s="13" t="s">
        <v>816</v>
      </c>
      <c r="GE115" s="13" t="s">
        <v>816</v>
      </c>
      <c r="GF115" s="13" t="s">
        <v>816</v>
      </c>
      <c r="GH115" s="13" t="s">
        <v>816</v>
      </c>
    </row>
    <row r="116" spans="1:190" ht="12.75" customHeight="1" x14ac:dyDescent="0.2">
      <c r="A116" s="1" t="s">
        <v>213</v>
      </c>
      <c r="B116" s="1" t="s">
        <v>661</v>
      </c>
      <c r="C116" s="1" t="s">
        <v>669</v>
      </c>
      <c r="D116" s="1" t="s">
        <v>695</v>
      </c>
      <c r="E116" s="1" t="s">
        <v>130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816</v>
      </c>
      <c r="FS116" s="13" t="s">
        <v>816</v>
      </c>
      <c r="FT116" s="13" t="s">
        <v>816</v>
      </c>
      <c r="FU116" s="13"/>
      <c r="FV116" s="13" t="s">
        <v>816</v>
      </c>
      <c r="FW116" s="13" t="s">
        <v>816</v>
      </c>
      <c r="FX116" s="13" t="s">
        <v>816</v>
      </c>
      <c r="FY116" s="13" t="s">
        <v>816</v>
      </c>
      <c r="FZ116" s="13" t="s">
        <v>816</v>
      </c>
      <c r="GA116" s="13" t="s">
        <v>816</v>
      </c>
      <c r="GB116" s="13" t="s">
        <v>816</v>
      </c>
      <c r="GE116" s="13" t="s">
        <v>816</v>
      </c>
      <c r="GF116" s="13" t="s">
        <v>816</v>
      </c>
      <c r="GH116" s="13" t="s">
        <v>816</v>
      </c>
    </row>
    <row r="117" spans="1:190" ht="12.75" customHeight="1" x14ac:dyDescent="0.2">
      <c r="A117" s="1" t="s">
        <v>213</v>
      </c>
      <c r="B117" s="1" t="s">
        <v>661</v>
      </c>
      <c r="C117" s="1" t="s">
        <v>669</v>
      </c>
      <c r="D117" s="1" t="s">
        <v>695</v>
      </c>
      <c r="E117" s="1" t="s">
        <v>130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816</v>
      </c>
      <c r="FS117" s="13" t="s">
        <v>816</v>
      </c>
      <c r="FT117" s="13" t="s">
        <v>816</v>
      </c>
      <c r="FU117" s="13"/>
      <c r="FV117" s="13" t="s">
        <v>816</v>
      </c>
      <c r="FW117" s="13" t="s">
        <v>816</v>
      </c>
      <c r="FX117" s="13" t="s">
        <v>816</v>
      </c>
      <c r="FY117" s="13" t="s">
        <v>816</v>
      </c>
      <c r="FZ117" s="13" t="s">
        <v>816</v>
      </c>
      <c r="GA117" s="13" t="s">
        <v>816</v>
      </c>
      <c r="GB117" s="13" t="s">
        <v>816</v>
      </c>
      <c r="GE117" s="13" t="s">
        <v>816</v>
      </c>
      <c r="GF117" s="13" t="s">
        <v>816</v>
      </c>
      <c r="GH117" s="13" t="s">
        <v>816</v>
      </c>
    </row>
    <row r="118" spans="1:190" ht="12.75" customHeight="1" x14ac:dyDescent="0.2">
      <c r="A118" s="1" t="s">
        <v>213</v>
      </c>
      <c r="B118" s="1" t="s">
        <v>661</v>
      </c>
      <c r="C118" s="1" t="s">
        <v>669</v>
      </c>
      <c r="D118" s="1" t="s">
        <v>695</v>
      </c>
      <c r="E118" s="1" t="s">
        <v>130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816</v>
      </c>
      <c r="FS118" s="13" t="s">
        <v>816</v>
      </c>
      <c r="FT118" s="13" t="s">
        <v>816</v>
      </c>
      <c r="FU118" s="13"/>
      <c r="FV118" s="13" t="s">
        <v>816</v>
      </c>
      <c r="FW118" s="13" t="s">
        <v>816</v>
      </c>
      <c r="FX118" s="13" t="s">
        <v>816</v>
      </c>
      <c r="FY118" s="13" t="s">
        <v>816</v>
      </c>
      <c r="FZ118" s="13" t="s">
        <v>816</v>
      </c>
      <c r="GA118" s="13" t="s">
        <v>816</v>
      </c>
      <c r="GB118" s="13" t="s">
        <v>816</v>
      </c>
      <c r="GE118" s="13" t="s">
        <v>816</v>
      </c>
      <c r="GF118" s="13" t="s">
        <v>816</v>
      </c>
      <c r="GH118" s="13" t="s">
        <v>816</v>
      </c>
    </row>
    <row r="119" spans="1:190" ht="12.75" customHeight="1" x14ac:dyDescent="0.2">
      <c r="A119" s="1" t="s">
        <v>213</v>
      </c>
      <c r="B119" s="1" t="s">
        <v>661</v>
      </c>
      <c r="C119" s="1" t="s">
        <v>669</v>
      </c>
      <c r="D119" s="1" t="s">
        <v>695</v>
      </c>
      <c r="E119" s="1" t="s">
        <v>130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816</v>
      </c>
      <c r="FS119" s="13" t="s">
        <v>816</v>
      </c>
      <c r="FT119" s="13" t="s">
        <v>816</v>
      </c>
      <c r="FU119" s="13"/>
      <c r="FV119" s="13" t="s">
        <v>816</v>
      </c>
      <c r="FW119" s="13" t="s">
        <v>816</v>
      </c>
      <c r="FX119" s="13" t="s">
        <v>816</v>
      </c>
      <c r="FY119" s="13" t="s">
        <v>816</v>
      </c>
      <c r="FZ119" s="13" t="s">
        <v>816</v>
      </c>
      <c r="GA119" s="13" t="s">
        <v>816</v>
      </c>
      <c r="GB119" s="13" t="s">
        <v>816</v>
      </c>
      <c r="GE119" s="13" t="s">
        <v>816</v>
      </c>
      <c r="GF119" s="13" t="s">
        <v>816</v>
      </c>
      <c r="GH119" s="13" t="s">
        <v>816</v>
      </c>
    </row>
    <row r="120" spans="1:190" ht="12.75" customHeight="1" x14ac:dyDescent="0.2">
      <c r="A120" s="1" t="s">
        <v>213</v>
      </c>
      <c r="B120" s="1" t="s">
        <v>661</v>
      </c>
      <c r="C120" s="1" t="s">
        <v>669</v>
      </c>
      <c r="D120" s="1" t="s">
        <v>695</v>
      </c>
      <c r="E120" s="1" t="s">
        <v>130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816</v>
      </c>
      <c r="FS120" s="13" t="s">
        <v>816</v>
      </c>
      <c r="FT120" s="13" t="s">
        <v>816</v>
      </c>
      <c r="FU120" s="13"/>
      <c r="FV120" s="13" t="s">
        <v>816</v>
      </c>
      <c r="FW120" s="13" t="s">
        <v>816</v>
      </c>
      <c r="FX120" s="13" t="s">
        <v>816</v>
      </c>
      <c r="FY120" s="13" t="s">
        <v>816</v>
      </c>
      <c r="FZ120" s="13" t="s">
        <v>816</v>
      </c>
      <c r="GA120" s="13" t="s">
        <v>816</v>
      </c>
      <c r="GB120" s="13" t="s">
        <v>816</v>
      </c>
      <c r="GE120" s="13" t="s">
        <v>816</v>
      </c>
      <c r="GF120" s="13" t="s">
        <v>816</v>
      </c>
      <c r="GH120" s="13" t="s">
        <v>816</v>
      </c>
    </row>
    <row r="121" spans="1:190" ht="12.75" customHeight="1" x14ac:dyDescent="0.2">
      <c r="A121" s="1" t="s">
        <v>213</v>
      </c>
      <c r="B121" s="1" t="s">
        <v>661</v>
      </c>
      <c r="C121" s="1" t="s">
        <v>669</v>
      </c>
      <c r="D121" s="1" t="s">
        <v>695</v>
      </c>
      <c r="E121" s="1" t="s">
        <v>130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816</v>
      </c>
      <c r="FS121" s="13" t="s">
        <v>816</v>
      </c>
      <c r="FT121" s="13" t="s">
        <v>816</v>
      </c>
      <c r="FU121" s="13"/>
      <c r="FV121" s="13" t="s">
        <v>816</v>
      </c>
      <c r="FW121" s="13" t="s">
        <v>816</v>
      </c>
      <c r="FX121" s="13" t="s">
        <v>816</v>
      </c>
      <c r="FY121" s="13" t="s">
        <v>816</v>
      </c>
      <c r="FZ121" s="13" t="s">
        <v>816</v>
      </c>
      <c r="GA121" s="13" t="s">
        <v>816</v>
      </c>
      <c r="GB121" s="13" t="s">
        <v>816</v>
      </c>
      <c r="GE121" s="13" t="s">
        <v>816</v>
      </c>
      <c r="GF121" s="13" t="s">
        <v>816</v>
      </c>
      <c r="GH121" s="13" t="s">
        <v>816</v>
      </c>
    </row>
    <row r="122" spans="1:190" ht="12.75" customHeight="1" x14ac:dyDescent="0.2">
      <c r="A122" s="1" t="s">
        <v>104</v>
      </c>
      <c r="B122" s="1" t="s">
        <v>660</v>
      </c>
      <c r="C122" s="1" t="s">
        <v>671</v>
      </c>
      <c r="D122" s="1" t="s">
        <v>697</v>
      </c>
      <c r="E122" s="1" t="s">
        <v>130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816</v>
      </c>
      <c r="FS122" s="13" t="s">
        <v>816</v>
      </c>
      <c r="FT122" s="13" t="s">
        <v>816</v>
      </c>
      <c r="FU122" s="13"/>
      <c r="FV122" s="13" t="s">
        <v>816</v>
      </c>
      <c r="FW122" s="13" t="s">
        <v>816</v>
      </c>
      <c r="FX122" s="13" t="s">
        <v>816</v>
      </c>
      <c r="FY122" s="13" t="s">
        <v>816</v>
      </c>
      <c r="FZ122" s="13" t="s">
        <v>816</v>
      </c>
      <c r="GA122" s="13" t="s">
        <v>816</v>
      </c>
      <c r="GB122" s="13" t="s">
        <v>816</v>
      </c>
      <c r="GE122" s="13" t="s">
        <v>816</v>
      </c>
      <c r="GF122" s="13" t="s">
        <v>816</v>
      </c>
      <c r="GH122" s="13" t="s">
        <v>816</v>
      </c>
    </row>
    <row r="123" spans="1:190" ht="12.75" customHeight="1" x14ac:dyDescent="0.2">
      <c r="A123" s="1" t="s">
        <v>104</v>
      </c>
      <c r="B123" s="1" t="s">
        <v>660</v>
      </c>
      <c r="C123" s="1" t="s">
        <v>671</v>
      </c>
      <c r="D123" s="1" t="s">
        <v>697</v>
      </c>
      <c r="E123" s="1" t="s">
        <v>130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816</v>
      </c>
      <c r="FS123" s="13" t="s">
        <v>816</v>
      </c>
      <c r="FT123" s="13" t="s">
        <v>816</v>
      </c>
      <c r="FU123" s="13"/>
      <c r="FV123" s="13" t="s">
        <v>816</v>
      </c>
      <c r="FW123" s="13" t="s">
        <v>816</v>
      </c>
      <c r="FX123" s="13" t="s">
        <v>816</v>
      </c>
      <c r="FY123" s="13" t="s">
        <v>816</v>
      </c>
      <c r="FZ123" s="13" t="s">
        <v>816</v>
      </c>
      <c r="GA123" s="13" t="s">
        <v>816</v>
      </c>
      <c r="GB123" s="13" t="s">
        <v>816</v>
      </c>
      <c r="GE123" s="13" t="s">
        <v>816</v>
      </c>
      <c r="GF123" s="13" t="s">
        <v>816</v>
      </c>
      <c r="GH123" s="13" t="s">
        <v>816</v>
      </c>
    </row>
    <row r="124" spans="1:190" ht="12.75" customHeight="1" x14ac:dyDescent="0.2">
      <c r="A124" s="1" t="s">
        <v>104</v>
      </c>
      <c r="B124" s="1" t="s">
        <v>660</v>
      </c>
      <c r="C124" s="1" t="s">
        <v>671</v>
      </c>
      <c r="D124" s="1" t="s">
        <v>697</v>
      </c>
      <c r="E124" s="1" t="s">
        <v>130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816</v>
      </c>
      <c r="FS124" s="13" t="s">
        <v>816</v>
      </c>
      <c r="FT124" s="13" t="s">
        <v>816</v>
      </c>
      <c r="FU124" s="13"/>
      <c r="FV124" s="13" t="s">
        <v>816</v>
      </c>
      <c r="FW124" s="13" t="s">
        <v>816</v>
      </c>
      <c r="FX124" s="13" t="s">
        <v>816</v>
      </c>
      <c r="FY124" s="13" t="s">
        <v>816</v>
      </c>
      <c r="FZ124" s="13" t="s">
        <v>816</v>
      </c>
      <c r="GA124" s="13" t="s">
        <v>816</v>
      </c>
      <c r="GB124" s="13" t="s">
        <v>816</v>
      </c>
      <c r="GE124" s="13" t="s">
        <v>816</v>
      </c>
      <c r="GF124" s="13" t="s">
        <v>816</v>
      </c>
      <c r="GH124" s="13" t="s">
        <v>816</v>
      </c>
    </row>
    <row r="125" spans="1:190" ht="12.75" customHeight="1" x14ac:dyDescent="0.2">
      <c r="A125" s="1" t="s">
        <v>104</v>
      </c>
      <c r="B125" s="1" t="s">
        <v>660</v>
      </c>
      <c r="C125" s="1" t="s">
        <v>671</v>
      </c>
      <c r="D125" s="1" t="s">
        <v>697</v>
      </c>
      <c r="E125" s="1" t="s">
        <v>130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816</v>
      </c>
      <c r="FS125" s="13" t="s">
        <v>816</v>
      </c>
      <c r="FT125" s="13" t="s">
        <v>816</v>
      </c>
      <c r="FU125" s="13"/>
      <c r="FV125" s="13" t="s">
        <v>816</v>
      </c>
      <c r="FW125" s="13" t="s">
        <v>816</v>
      </c>
      <c r="FX125" s="13" t="s">
        <v>816</v>
      </c>
      <c r="FY125" s="13" t="s">
        <v>816</v>
      </c>
      <c r="FZ125" s="13" t="s">
        <v>816</v>
      </c>
      <c r="GA125" s="13" t="s">
        <v>816</v>
      </c>
      <c r="GB125" s="13" t="s">
        <v>816</v>
      </c>
      <c r="GE125" s="13" t="s">
        <v>816</v>
      </c>
      <c r="GF125" s="13" t="s">
        <v>816</v>
      </c>
      <c r="GH125" s="13" t="s">
        <v>816</v>
      </c>
    </row>
    <row r="126" spans="1:190" ht="12.75" customHeight="1" x14ac:dyDescent="0.2">
      <c r="A126" s="1" t="s">
        <v>104</v>
      </c>
      <c r="B126" s="1" t="s">
        <v>660</v>
      </c>
      <c r="C126" s="1" t="s">
        <v>671</v>
      </c>
      <c r="D126" s="1" t="s">
        <v>697</v>
      </c>
      <c r="E126" s="1" t="s">
        <v>130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816</v>
      </c>
      <c r="FS126" s="13" t="s">
        <v>816</v>
      </c>
      <c r="FT126" s="13" t="s">
        <v>816</v>
      </c>
      <c r="FU126" s="13"/>
      <c r="FV126" s="13" t="s">
        <v>816</v>
      </c>
      <c r="FW126" s="13" t="s">
        <v>816</v>
      </c>
      <c r="FX126" s="13" t="s">
        <v>816</v>
      </c>
      <c r="FY126" s="13" t="s">
        <v>816</v>
      </c>
      <c r="FZ126" s="13" t="s">
        <v>816</v>
      </c>
      <c r="GA126" s="13" t="s">
        <v>816</v>
      </c>
      <c r="GB126" s="13" t="s">
        <v>816</v>
      </c>
      <c r="GE126" s="13" t="s">
        <v>816</v>
      </c>
      <c r="GF126" s="13" t="s">
        <v>816</v>
      </c>
      <c r="GH126" s="13" t="s">
        <v>816</v>
      </c>
    </row>
    <row r="127" spans="1:190" ht="12.75" customHeight="1" x14ac:dyDescent="0.2">
      <c r="A127" s="1" t="s">
        <v>104</v>
      </c>
      <c r="B127" s="1" t="s">
        <v>660</v>
      </c>
      <c r="C127" s="1" t="s">
        <v>671</v>
      </c>
      <c r="D127" s="1" t="s">
        <v>697</v>
      </c>
      <c r="E127" s="1" t="s">
        <v>130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816</v>
      </c>
      <c r="FS127" s="13" t="s">
        <v>816</v>
      </c>
      <c r="FT127" s="13" t="s">
        <v>816</v>
      </c>
      <c r="FU127" s="13"/>
      <c r="FV127" s="13" t="s">
        <v>816</v>
      </c>
      <c r="FW127" s="13" t="s">
        <v>816</v>
      </c>
      <c r="FX127" s="13" t="s">
        <v>816</v>
      </c>
      <c r="FY127" s="13" t="s">
        <v>816</v>
      </c>
      <c r="FZ127" s="13" t="s">
        <v>816</v>
      </c>
      <c r="GA127" s="13" t="s">
        <v>816</v>
      </c>
      <c r="GB127" s="13" t="s">
        <v>816</v>
      </c>
      <c r="GE127" s="13" t="s">
        <v>816</v>
      </c>
      <c r="GF127" s="13" t="s">
        <v>816</v>
      </c>
      <c r="GH127" s="13" t="s">
        <v>816</v>
      </c>
    </row>
    <row r="128" spans="1:190" ht="12.75" customHeight="1" x14ac:dyDescent="0.2">
      <c r="A128" s="1" t="s">
        <v>104</v>
      </c>
      <c r="B128" s="1" t="s">
        <v>660</v>
      </c>
      <c r="C128" s="1" t="s">
        <v>671</v>
      </c>
      <c r="D128" s="1" t="s">
        <v>697</v>
      </c>
      <c r="E128" s="1" t="s">
        <v>130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816</v>
      </c>
      <c r="FS128" s="13" t="s">
        <v>816</v>
      </c>
      <c r="FT128" s="13" t="s">
        <v>816</v>
      </c>
      <c r="FU128" s="13"/>
      <c r="FV128" s="13" t="s">
        <v>816</v>
      </c>
      <c r="FW128" s="13" t="s">
        <v>816</v>
      </c>
      <c r="FX128" s="13" t="s">
        <v>816</v>
      </c>
      <c r="FY128" s="13" t="s">
        <v>816</v>
      </c>
      <c r="FZ128" s="13" t="s">
        <v>816</v>
      </c>
      <c r="GA128" s="13" t="s">
        <v>816</v>
      </c>
      <c r="GB128" s="13" t="s">
        <v>816</v>
      </c>
      <c r="GE128" s="13" t="s">
        <v>816</v>
      </c>
      <c r="GF128" s="13" t="s">
        <v>816</v>
      </c>
      <c r="GH128" s="13" t="s">
        <v>816</v>
      </c>
    </row>
    <row r="129" spans="1:190" ht="12.75" customHeight="1" x14ac:dyDescent="0.2">
      <c r="A129" s="1" t="s">
        <v>104</v>
      </c>
      <c r="B129" s="1" t="s">
        <v>660</v>
      </c>
      <c r="C129" s="1" t="s">
        <v>671</v>
      </c>
      <c r="D129" s="1" t="s">
        <v>697</v>
      </c>
      <c r="E129" s="1" t="s">
        <v>130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816</v>
      </c>
      <c r="FS129" s="13" t="s">
        <v>816</v>
      </c>
      <c r="FT129" s="13" t="s">
        <v>816</v>
      </c>
      <c r="FU129" s="13"/>
      <c r="FV129" s="13" t="s">
        <v>816</v>
      </c>
      <c r="FW129" s="13" t="s">
        <v>816</v>
      </c>
      <c r="FX129" s="13" t="s">
        <v>816</v>
      </c>
      <c r="FY129" s="13" t="s">
        <v>816</v>
      </c>
      <c r="FZ129" s="13" t="s">
        <v>816</v>
      </c>
      <c r="GA129" s="13" t="s">
        <v>816</v>
      </c>
      <c r="GB129" s="13" t="s">
        <v>816</v>
      </c>
      <c r="GE129" s="13" t="s">
        <v>816</v>
      </c>
      <c r="GF129" s="13" t="s">
        <v>816</v>
      </c>
      <c r="GH129" s="13" t="s">
        <v>816</v>
      </c>
    </row>
    <row r="130" spans="1:190" ht="12.75" customHeight="1" x14ac:dyDescent="0.2">
      <c r="A130" s="1" t="s">
        <v>408</v>
      </c>
      <c r="B130" s="1" t="s">
        <v>757</v>
      </c>
      <c r="C130" s="1" t="s">
        <v>671</v>
      </c>
      <c r="D130" s="1" t="s">
        <v>698</v>
      </c>
      <c r="E130" s="1" t="s">
        <v>130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816</v>
      </c>
      <c r="FS130" s="13" t="s">
        <v>816</v>
      </c>
      <c r="FT130" s="13" t="s">
        <v>816</v>
      </c>
      <c r="FU130" s="13"/>
      <c r="FV130" s="13" t="s">
        <v>816</v>
      </c>
      <c r="FW130" s="13" t="s">
        <v>816</v>
      </c>
      <c r="FX130" s="13" t="s">
        <v>816</v>
      </c>
      <c r="FY130" s="13" t="s">
        <v>816</v>
      </c>
      <c r="FZ130" s="13" t="s">
        <v>816</v>
      </c>
      <c r="GA130" s="13" t="s">
        <v>816</v>
      </c>
      <c r="GB130" s="13" t="s">
        <v>816</v>
      </c>
      <c r="GE130" s="13" t="s">
        <v>816</v>
      </c>
      <c r="GF130" s="13" t="s">
        <v>816</v>
      </c>
      <c r="GH130" s="13" t="s">
        <v>816</v>
      </c>
    </row>
    <row r="131" spans="1:190" ht="12.75" customHeight="1" x14ac:dyDescent="0.2">
      <c r="A131" s="1" t="s">
        <v>408</v>
      </c>
      <c r="B131" s="1" t="s">
        <v>757</v>
      </c>
      <c r="C131" s="1" t="s">
        <v>671</v>
      </c>
      <c r="D131" s="1" t="s">
        <v>698</v>
      </c>
      <c r="E131" s="1" t="s">
        <v>130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816</v>
      </c>
      <c r="FS131" s="13" t="s">
        <v>816</v>
      </c>
      <c r="FT131" s="13" t="s">
        <v>816</v>
      </c>
      <c r="FU131" s="13"/>
      <c r="FV131" s="13" t="s">
        <v>816</v>
      </c>
      <c r="FW131" s="13" t="s">
        <v>816</v>
      </c>
      <c r="FX131" s="13" t="s">
        <v>816</v>
      </c>
      <c r="FY131" s="13" t="s">
        <v>816</v>
      </c>
      <c r="FZ131" s="13" t="s">
        <v>816</v>
      </c>
      <c r="GA131" s="13" t="s">
        <v>816</v>
      </c>
      <c r="GB131" s="13" t="s">
        <v>816</v>
      </c>
      <c r="GE131" s="13" t="s">
        <v>816</v>
      </c>
      <c r="GF131" s="13" t="s">
        <v>816</v>
      </c>
      <c r="GH131" s="13" t="s">
        <v>816</v>
      </c>
    </row>
    <row r="132" spans="1:190" ht="12.75" customHeight="1" x14ac:dyDescent="0.2">
      <c r="A132" s="1" t="s">
        <v>408</v>
      </c>
      <c r="B132" s="1" t="s">
        <v>757</v>
      </c>
      <c r="C132" s="1" t="s">
        <v>671</v>
      </c>
      <c r="D132" s="1" t="s">
        <v>698</v>
      </c>
      <c r="E132" s="1" t="s">
        <v>130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816</v>
      </c>
      <c r="FS132" s="13" t="s">
        <v>816</v>
      </c>
      <c r="FT132" s="13" t="s">
        <v>816</v>
      </c>
      <c r="FU132" s="13"/>
      <c r="FV132" s="13" t="s">
        <v>816</v>
      </c>
      <c r="FW132" s="13" t="s">
        <v>816</v>
      </c>
      <c r="FX132" s="13" t="s">
        <v>816</v>
      </c>
      <c r="FY132" s="13" t="s">
        <v>816</v>
      </c>
      <c r="FZ132" s="13" t="s">
        <v>816</v>
      </c>
      <c r="GA132" s="13" t="s">
        <v>816</v>
      </c>
      <c r="GB132" s="13" t="s">
        <v>816</v>
      </c>
      <c r="GE132" s="13" t="s">
        <v>816</v>
      </c>
      <c r="GF132" s="13" t="s">
        <v>816</v>
      </c>
      <c r="GH132" s="13" t="s">
        <v>816</v>
      </c>
    </row>
    <row r="133" spans="1:190" ht="12.75" customHeight="1" x14ac:dyDescent="0.2">
      <c r="A133" s="1" t="s">
        <v>408</v>
      </c>
      <c r="B133" s="1" t="s">
        <v>757</v>
      </c>
      <c r="C133" s="1" t="s">
        <v>671</v>
      </c>
      <c r="D133" s="1" t="s">
        <v>698</v>
      </c>
      <c r="E133" s="1" t="s">
        <v>130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816</v>
      </c>
      <c r="FS133" s="13" t="s">
        <v>816</v>
      </c>
      <c r="FT133" s="13" t="s">
        <v>816</v>
      </c>
      <c r="FU133" s="13"/>
      <c r="FV133" s="13" t="s">
        <v>816</v>
      </c>
      <c r="FW133" s="13" t="s">
        <v>816</v>
      </c>
      <c r="FX133" s="13" t="s">
        <v>816</v>
      </c>
      <c r="FY133" s="13" t="s">
        <v>816</v>
      </c>
      <c r="FZ133" s="13" t="s">
        <v>816</v>
      </c>
      <c r="GA133" s="13" t="s">
        <v>816</v>
      </c>
      <c r="GB133" s="13" t="s">
        <v>816</v>
      </c>
      <c r="GE133" s="13" t="s">
        <v>816</v>
      </c>
      <c r="GF133" s="13" t="s">
        <v>816</v>
      </c>
      <c r="GH133" s="13" t="s">
        <v>816</v>
      </c>
    </row>
    <row r="134" spans="1:190" ht="12.75" customHeight="1" x14ac:dyDescent="0.2">
      <c r="A134" s="1" t="s">
        <v>408</v>
      </c>
      <c r="B134" s="1" t="s">
        <v>757</v>
      </c>
      <c r="C134" s="1" t="s">
        <v>671</v>
      </c>
      <c r="D134" s="1" t="s">
        <v>698</v>
      </c>
      <c r="E134" s="1" t="s">
        <v>130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816</v>
      </c>
      <c r="FS134" s="13" t="s">
        <v>816</v>
      </c>
      <c r="FT134" s="13" t="s">
        <v>816</v>
      </c>
      <c r="FU134" s="13"/>
      <c r="FV134" s="13" t="s">
        <v>816</v>
      </c>
      <c r="FW134" s="13" t="s">
        <v>816</v>
      </c>
      <c r="FX134" s="13" t="s">
        <v>816</v>
      </c>
      <c r="FY134" s="13" t="s">
        <v>816</v>
      </c>
      <c r="FZ134" s="13" t="s">
        <v>816</v>
      </c>
      <c r="GA134" s="13" t="s">
        <v>816</v>
      </c>
      <c r="GB134" s="13" t="s">
        <v>816</v>
      </c>
      <c r="GE134" s="13" t="s">
        <v>816</v>
      </c>
      <c r="GF134" s="13" t="s">
        <v>816</v>
      </c>
      <c r="GH134" s="13" t="s">
        <v>816</v>
      </c>
    </row>
    <row r="135" spans="1:190" ht="12.75" customHeight="1" x14ac:dyDescent="0.2">
      <c r="A135" s="1" t="s">
        <v>408</v>
      </c>
      <c r="B135" s="1" t="s">
        <v>757</v>
      </c>
      <c r="C135" s="1" t="s">
        <v>671</v>
      </c>
      <c r="D135" s="1" t="s">
        <v>698</v>
      </c>
      <c r="E135" s="1" t="s">
        <v>130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816</v>
      </c>
      <c r="FS135" s="13" t="s">
        <v>816</v>
      </c>
      <c r="FT135" s="13" t="s">
        <v>816</v>
      </c>
      <c r="FU135" s="13"/>
      <c r="FV135" s="13" t="s">
        <v>816</v>
      </c>
      <c r="FW135" s="13" t="s">
        <v>816</v>
      </c>
      <c r="FX135" s="13" t="s">
        <v>816</v>
      </c>
      <c r="FY135" s="13" t="s">
        <v>816</v>
      </c>
      <c r="FZ135" s="13" t="s">
        <v>816</v>
      </c>
      <c r="GA135" s="13" t="s">
        <v>816</v>
      </c>
      <c r="GB135" s="13" t="s">
        <v>816</v>
      </c>
      <c r="GE135" s="13" t="s">
        <v>816</v>
      </c>
      <c r="GF135" s="13" t="s">
        <v>816</v>
      </c>
      <c r="GH135" s="13" t="s">
        <v>816</v>
      </c>
    </row>
    <row r="136" spans="1:190" ht="12.75" customHeight="1" x14ac:dyDescent="0.2">
      <c r="A136" s="1" t="s">
        <v>408</v>
      </c>
      <c r="B136" s="1" t="s">
        <v>757</v>
      </c>
      <c r="C136" s="1" t="s">
        <v>671</v>
      </c>
      <c r="D136" s="1" t="s">
        <v>698</v>
      </c>
      <c r="E136" s="1" t="s">
        <v>130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816</v>
      </c>
      <c r="FS136" s="13" t="s">
        <v>816</v>
      </c>
      <c r="FT136" s="13" t="s">
        <v>816</v>
      </c>
      <c r="FU136" s="13"/>
      <c r="FV136" s="13" t="s">
        <v>816</v>
      </c>
      <c r="FW136" s="13" t="s">
        <v>816</v>
      </c>
      <c r="FX136" s="13" t="s">
        <v>816</v>
      </c>
      <c r="FY136" s="13" t="s">
        <v>816</v>
      </c>
      <c r="FZ136" s="13" t="s">
        <v>816</v>
      </c>
      <c r="GA136" s="13" t="s">
        <v>816</v>
      </c>
      <c r="GB136" s="13" t="s">
        <v>816</v>
      </c>
      <c r="GE136" s="13" t="s">
        <v>816</v>
      </c>
      <c r="GF136" s="13" t="s">
        <v>816</v>
      </c>
      <c r="GH136" s="13" t="s">
        <v>816</v>
      </c>
    </row>
    <row r="137" spans="1:190" ht="12.75" customHeight="1" x14ac:dyDescent="0.2">
      <c r="A137" s="1" t="s">
        <v>408</v>
      </c>
      <c r="B137" s="1" t="s">
        <v>757</v>
      </c>
      <c r="C137" s="1" t="s">
        <v>671</v>
      </c>
      <c r="D137" s="1" t="s">
        <v>698</v>
      </c>
      <c r="E137" s="1" t="s">
        <v>130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816</v>
      </c>
      <c r="FS137" s="13" t="s">
        <v>816</v>
      </c>
      <c r="FT137" s="13" t="s">
        <v>816</v>
      </c>
      <c r="FU137" s="13"/>
      <c r="FV137" s="13" t="s">
        <v>816</v>
      </c>
      <c r="FW137" s="13" t="s">
        <v>816</v>
      </c>
      <c r="FX137" s="13" t="s">
        <v>816</v>
      </c>
      <c r="FY137" s="13" t="s">
        <v>816</v>
      </c>
      <c r="FZ137" s="13" t="s">
        <v>816</v>
      </c>
      <c r="GA137" s="13" t="s">
        <v>816</v>
      </c>
      <c r="GB137" s="13" t="s">
        <v>816</v>
      </c>
      <c r="GE137" s="13" t="s">
        <v>816</v>
      </c>
      <c r="GF137" s="13" t="s">
        <v>816</v>
      </c>
      <c r="GH137" s="13" t="s">
        <v>816</v>
      </c>
    </row>
    <row r="138" spans="1:190" ht="12.75" customHeight="1" x14ac:dyDescent="0.2">
      <c r="A138" s="1" t="s">
        <v>213</v>
      </c>
      <c r="B138" s="1" t="s">
        <v>661</v>
      </c>
      <c r="C138" s="1" t="s">
        <v>671</v>
      </c>
      <c r="D138" s="1" t="s">
        <v>699</v>
      </c>
      <c r="E138" s="1" t="s">
        <v>130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816</v>
      </c>
      <c r="FS138" s="13" t="s">
        <v>816</v>
      </c>
      <c r="FT138" s="13" t="s">
        <v>816</v>
      </c>
      <c r="FU138" s="13"/>
      <c r="FV138" s="13" t="s">
        <v>816</v>
      </c>
      <c r="FW138" s="13" t="s">
        <v>816</v>
      </c>
      <c r="FX138" s="13" t="s">
        <v>816</v>
      </c>
      <c r="FY138" s="13" t="s">
        <v>816</v>
      </c>
      <c r="FZ138" s="13" t="s">
        <v>816</v>
      </c>
      <c r="GA138" s="13" t="s">
        <v>816</v>
      </c>
      <c r="GB138" s="13" t="s">
        <v>816</v>
      </c>
      <c r="GE138" s="13" t="s">
        <v>816</v>
      </c>
      <c r="GF138" s="13" t="s">
        <v>816</v>
      </c>
      <c r="GH138" s="13" t="s">
        <v>816</v>
      </c>
    </row>
    <row r="139" spans="1:190" ht="12.75" customHeight="1" x14ac:dyDescent="0.2">
      <c r="A139" s="1" t="s">
        <v>213</v>
      </c>
      <c r="B139" s="1" t="s">
        <v>661</v>
      </c>
      <c r="C139" s="1" t="s">
        <v>671</v>
      </c>
      <c r="D139" s="1" t="s">
        <v>699</v>
      </c>
      <c r="E139" s="1" t="s">
        <v>130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816</v>
      </c>
      <c r="FS139" s="13" t="s">
        <v>816</v>
      </c>
      <c r="FT139" s="13" t="s">
        <v>816</v>
      </c>
      <c r="FU139" s="13"/>
      <c r="FV139" s="13" t="s">
        <v>816</v>
      </c>
      <c r="FW139" s="13" t="s">
        <v>816</v>
      </c>
      <c r="FX139" s="13" t="s">
        <v>816</v>
      </c>
      <c r="FY139" s="13" t="s">
        <v>816</v>
      </c>
      <c r="FZ139" s="13" t="s">
        <v>816</v>
      </c>
      <c r="GA139" s="13" t="s">
        <v>816</v>
      </c>
      <c r="GB139" s="13" t="s">
        <v>816</v>
      </c>
      <c r="GE139" s="13" t="s">
        <v>816</v>
      </c>
      <c r="GF139" s="13" t="s">
        <v>816</v>
      </c>
      <c r="GH139" s="13" t="s">
        <v>816</v>
      </c>
    </row>
    <row r="140" spans="1:190" ht="12.75" customHeight="1" x14ac:dyDescent="0.2">
      <c r="A140" s="1" t="s">
        <v>213</v>
      </c>
      <c r="B140" s="1" t="s">
        <v>661</v>
      </c>
      <c r="C140" s="1" t="s">
        <v>671</v>
      </c>
      <c r="D140" s="1" t="s">
        <v>699</v>
      </c>
      <c r="E140" s="1" t="s">
        <v>130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816</v>
      </c>
      <c r="FS140" s="13" t="s">
        <v>816</v>
      </c>
      <c r="FT140" s="13" t="s">
        <v>816</v>
      </c>
      <c r="FU140" s="13"/>
      <c r="FV140" s="13" t="s">
        <v>816</v>
      </c>
      <c r="FW140" s="13" t="s">
        <v>816</v>
      </c>
      <c r="FX140" s="13" t="s">
        <v>816</v>
      </c>
      <c r="FY140" s="13" t="s">
        <v>816</v>
      </c>
      <c r="FZ140" s="13" t="s">
        <v>816</v>
      </c>
      <c r="GA140" s="13" t="s">
        <v>816</v>
      </c>
      <c r="GB140" s="13" t="s">
        <v>816</v>
      </c>
      <c r="GE140" s="13" t="s">
        <v>816</v>
      </c>
      <c r="GF140" s="13" t="s">
        <v>816</v>
      </c>
      <c r="GH140" s="13" t="s">
        <v>816</v>
      </c>
    </row>
    <row r="141" spans="1:190" ht="12.75" customHeight="1" x14ac:dyDescent="0.2">
      <c r="A141" s="1" t="s">
        <v>213</v>
      </c>
      <c r="B141" s="1" t="s">
        <v>661</v>
      </c>
      <c r="C141" s="1" t="s">
        <v>671</v>
      </c>
      <c r="D141" s="1" t="s">
        <v>699</v>
      </c>
      <c r="E141" s="1" t="s">
        <v>130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816</v>
      </c>
      <c r="FS141" s="13" t="s">
        <v>816</v>
      </c>
      <c r="FT141" s="13" t="s">
        <v>816</v>
      </c>
      <c r="FU141" s="13"/>
      <c r="FV141" s="13" t="s">
        <v>816</v>
      </c>
      <c r="FW141" s="13" t="s">
        <v>816</v>
      </c>
      <c r="FX141" s="13" t="s">
        <v>816</v>
      </c>
      <c r="FY141" s="13" t="s">
        <v>816</v>
      </c>
      <c r="FZ141" s="13" t="s">
        <v>816</v>
      </c>
      <c r="GA141" s="13" t="s">
        <v>816</v>
      </c>
      <c r="GB141" s="13" t="s">
        <v>816</v>
      </c>
      <c r="GE141" s="13" t="s">
        <v>816</v>
      </c>
      <c r="GF141" s="13" t="s">
        <v>816</v>
      </c>
      <c r="GH141" s="13" t="s">
        <v>816</v>
      </c>
    </row>
    <row r="142" spans="1:190" ht="12.75" customHeight="1" x14ac:dyDescent="0.2">
      <c r="A142" s="1" t="s">
        <v>213</v>
      </c>
      <c r="B142" s="1" t="s">
        <v>661</v>
      </c>
      <c r="C142" s="1" t="s">
        <v>671</v>
      </c>
      <c r="D142" s="1" t="s">
        <v>699</v>
      </c>
      <c r="E142" s="1" t="s">
        <v>130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816</v>
      </c>
      <c r="FS142" s="13" t="s">
        <v>816</v>
      </c>
      <c r="FT142" s="13" t="s">
        <v>816</v>
      </c>
      <c r="FU142" s="13"/>
      <c r="FV142" s="13" t="s">
        <v>816</v>
      </c>
      <c r="FW142" s="13" t="s">
        <v>816</v>
      </c>
      <c r="FX142" s="13" t="s">
        <v>816</v>
      </c>
      <c r="FY142" s="13" t="s">
        <v>816</v>
      </c>
      <c r="FZ142" s="13" t="s">
        <v>816</v>
      </c>
      <c r="GA142" s="13" t="s">
        <v>816</v>
      </c>
      <c r="GB142" s="13" t="s">
        <v>816</v>
      </c>
      <c r="GE142" s="13" t="s">
        <v>816</v>
      </c>
      <c r="GF142" s="13" t="s">
        <v>816</v>
      </c>
      <c r="GH142" s="13" t="s">
        <v>816</v>
      </c>
    </row>
    <row r="143" spans="1:190" ht="12.75" customHeight="1" x14ac:dyDescent="0.2">
      <c r="A143" s="1" t="s">
        <v>213</v>
      </c>
      <c r="B143" s="1" t="s">
        <v>661</v>
      </c>
      <c r="C143" s="1" t="s">
        <v>671</v>
      </c>
      <c r="D143" s="1" t="s">
        <v>699</v>
      </c>
      <c r="E143" s="1" t="s">
        <v>130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816</v>
      </c>
      <c r="FS143" s="13" t="s">
        <v>816</v>
      </c>
      <c r="FT143" s="13" t="s">
        <v>816</v>
      </c>
      <c r="FU143" s="13"/>
      <c r="FV143" s="13" t="s">
        <v>816</v>
      </c>
      <c r="FW143" s="13" t="s">
        <v>816</v>
      </c>
      <c r="FX143" s="13" t="s">
        <v>816</v>
      </c>
      <c r="FY143" s="13" t="s">
        <v>816</v>
      </c>
      <c r="FZ143" s="13" t="s">
        <v>816</v>
      </c>
      <c r="GA143" s="13" t="s">
        <v>816</v>
      </c>
      <c r="GB143" s="13" t="s">
        <v>816</v>
      </c>
      <c r="GE143" s="13" t="s">
        <v>816</v>
      </c>
      <c r="GF143" s="13" t="s">
        <v>816</v>
      </c>
      <c r="GH143" s="13" t="s">
        <v>816</v>
      </c>
    </row>
    <row r="144" spans="1:190" ht="12.75" customHeight="1" x14ac:dyDescent="0.2">
      <c r="A144" s="1" t="s">
        <v>213</v>
      </c>
      <c r="B144" s="1" t="s">
        <v>661</v>
      </c>
      <c r="C144" s="1" t="s">
        <v>671</v>
      </c>
      <c r="D144" s="1" t="s">
        <v>699</v>
      </c>
      <c r="E144" s="1" t="s">
        <v>130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816</v>
      </c>
      <c r="FS144" s="13" t="s">
        <v>816</v>
      </c>
      <c r="FT144" s="13" t="s">
        <v>816</v>
      </c>
      <c r="FU144" s="13"/>
      <c r="FV144" s="13" t="s">
        <v>816</v>
      </c>
      <c r="FW144" s="13" t="s">
        <v>816</v>
      </c>
      <c r="FX144" s="13" t="s">
        <v>816</v>
      </c>
      <c r="FY144" s="13" t="s">
        <v>816</v>
      </c>
      <c r="FZ144" s="13" t="s">
        <v>816</v>
      </c>
      <c r="GA144" s="13" t="s">
        <v>816</v>
      </c>
      <c r="GB144" s="13" t="s">
        <v>816</v>
      </c>
      <c r="GE144" s="13" t="s">
        <v>816</v>
      </c>
      <c r="GF144" s="13" t="s">
        <v>816</v>
      </c>
      <c r="GH144" s="13" t="s">
        <v>816</v>
      </c>
    </row>
    <row r="145" spans="1:190" ht="12.75" customHeight="1" x14ac:dyDescent="0.2">
      <c r="A145" s="1" t="s">
        <v>213</v>
      </c>
      <c r="B145" s="1" t="s">
        <v>661</v>
      </c>
      <c r="C145" s="1" t="s">
        <v>671</v>
      </c>
      <c r="D145" s="1" t="s">
        <v>699</v>
      </c>
      <c r="E145" s="1" t="s">
        <v>130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816</v>
      </c>
      <c r="FS145" s="13" t="s">
        <v>816</v>
      </c>
      <c r="FT145" s="13" t="s">
        <v>816</v>
      </c>
      <c r="FU145" s="13"/>
      <c r="FV145" s="13" t="s">
        <v>816</v>
      </c>
      <c r="FW145" s="13" t="s">
        <v>816</v>
      </c>
      <c r="FX145" s="13" t="s">
        <v>816</v>
      </c>
      <c r="FY145" s="13" t="s">
        <v>816</v>
      </c>
      <c r="FZ145" s="13" t="s">
        <v>816</v>
      </c>
      <c r="GA145" s="13" t="s">
        <v>816</v>
      </c>
      <c r="GB145" s="13" t="s">
        <v>816</v>
      </c>
      <c r="GE145" s="13" t="s">
        <v>816</v>
      </c>
      <c r="GF145" s="13" t="s">
        <v>816</v>
      </c>
      <c r="GH145" s="13" t="s">
        <v>816</v>
      </c>
    </row>
    <row r="146" spans="1:190" ht="12.75" customHeight="1" x14ac:dyDescent="0.2">
      <c r="A146" s="1" t="s">
        <v>367</v>
      </c>
      <c r="B146" s="1" t="s">
        <v>660</v>
      </c>
      <c r="C146" s="1" t="s">
        <v>673</v>
      </c>
      <c r="D146" s="1" t="s">
        <v>704</v>
      </c>
      <c r="E146" s="1" t="s">
        <v>130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816</v>
      </c>
      <c r="FS146" s="13" t="s">
        <v>816</v>
      </c>
      <c r="FT146" s="13" t="s">
        <v>816</v>
      </c>
      <c r="FU146" s="13"/>
      <c r="FV146" s="13" t="s">
        <v>816</v>
      </c>
      <c r="FW146" s="13" t="s">
        <v>816</v>
      </c>
      <c r="FX146" s="13" t="s">
        <v>816</v>
      </c>
      <c r="FY146" s="13" t="s">
        <v>816</v>
      </c>
      <c r="FZ146" s="13" t="s">
        <v>816</v>
      </c>
      <c r="GA146" s="13" t="s">
        <v>816</v>
      </c>
      <c r="GB146" s="13" t="s">
        <v>816</v>
      </c>
      <c r="GE146" s="13" t="s">
        <v>816</v>
      </c>
      <c r="GF146" s="13" t="s">
        <v>816</v>
      </c>
      <c r="GH146" s="13" t="s">
        <v>816</v>
      </c>
    </row>
    <row r="147" spans="1:190" ht="12.75" customHeight="1" x14ac:dyDescent="0.2">
      <c r="A147" s="1" t="s">
        <v>367</v>
      </c>
      <c r="B147" s="1" t="s">
        <v>660</v>
      </c>
      <c r="C147" s="1" t="s">
        <v>673</v>
      </c>
      <c r="D147" s="1" t="s">
        <v>704</v>
      </c>
      <c r="E147" s="1" t="s">
        <v>130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816</v>
      </c>
      <c r="FS147" s="13" t="s">
        <v>816</v>
      </c>
      <c r="FT147" s="13" t="s">
        <v>816</v>
      </c>
      <c r="FU147" s="13"/>
      <c r="FV147" s="13" t="s">
        <v>816</v>
      </c>
      <c r="FW147" s="13" t="s">
        <v>816</v>
      </c>
      <c r="FX147" s="13" t="s">
        <v>816</v>
      </c>
      <c r="FY147" s="13" t="s">
        <v>816</v>
      </c>
      <c r="FZ147" s="13" t="s">
        <v>816</v>
      </c>
      <c r="GA147" s="13" t="s">
        <v>816</v>
      </c>
      <c r="GB147" s="13" t="s">
        <v>816</v>
      </c>
      <c r="GE147" s="13" t="s">
        <v>816</v>
      </c>
      <c r="GF147" s="13" t="s">
        <v>816</v>
      </c>
      <c r="GH147" s="13" t="s">
        <v>816</v>
      </c>
    </row>
    <row r="148" spans="1:190" ht="12.75" customHeight="1" x14ac:dyDescent="0.2">
      <c r="A148" s="1" t="s">
        <v>367</v>
      </c>
      <c r="B148" s="1" t="s">
        <v>660</v>
      </c>
      <c r="C148" s="1" t="s">
        <v>673</v>
      </c>
      <c r="D148" s="1" t="s">
        <v>704</v>
      </c>
      <c r="E148" s="1" t="s">
        <v>130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816</v>
      </c>
      <c r="FS148" s="13" t="s">
        <v>816</v>
      </c>
      <c r="FT148" s="13" t="s">
        <v>816</v>
      </c>
      <c r="FU148" s="13"/>
      <c r="FV148" s="13" t="s">
        <v>816</v>
      </c>
      <c r="FW148" s="13" t="s">
        <v>816</v>
      </c>
      <c r="FX148" s="13" t="s">
        <v>816</v>
      </c>
      <c r="FY148" s="13" t="s">
        <v>816</v>
      </c>
      <c r="FZ148" s="13" t="s">
        <v>816</v>
      </c>
      <c r="GA148" s="13" t="s">
        <v>816</v>
      </c>
      <c r="GB148" s="13" t="s">
        <v>816</v>
      </c>
      <c r="GE148" s="13" t="s">
        <v>816</v>
      </c>
      <c r="GF148" s="13" t="s">
        <v>816</v>
      </c>
      <c r="GH148" s="13" t="s">
        <v>816</v>
      </c>
    </row>
    <row r="149" spans="1:190" ht="12.75" customHeight="1" x14ac:dyDescent="0.2">
      <c r="A149" s="1" t="s">
        <v>367</v>
      </c>
      <c r="B149" s="1" t="s">
        <v>660</v>
      </c>
      <c r="C149" s="1" t="s">
        <v>673</v>
      </c>
      <c r="D149" s="1" t="s">
        <v>704</v>
      </c>
      <c r="E149" s="1" t="s">
        <v>130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816</v>
      </c>
      <c r="FS149" s="13" t="s">
        <v>816</v>
      </c>
      <c r="FT149" s="13" t="s">
        <v>816</v>
      </c>
      <c r="FU149" s="13"/>
      <c r="FV149" s="13" t="s">
        <v>816</v>
      </c>
      <c r="FW149" s="13" t="s">
        <v>816</v>
      </c>
      <c r="FX149" s="13" t="s">
        <v>816</v>
      </c>
      <c r="FY149" s="13" t="s">
        <v>816</v>
      </c>
      <c r="FZ149" s="13" t="s">
        <v>816</v>
      </c>
      <c r="GA149" s="13" t="s">
        <v>816</v>
      </c>
      <c r="GB149" s="13" t="s">
        <v>816</v>
      </c>
      <c r="GE149" s="13" t="s">
        <v>816</v>
      </c>
      <c r="GF149" s="13" t="s">
        <v>816</v>
      </c>
      <c r="GH149" s="13" t="s">
        <v>816</v>
      </c>
    </row>
    <row r="150" spans="1:190" ht="12.75" customHeight="1" x14ac:dyDescent="0.2">
      <c r="A150" s="1" t="s">
        <v>367</v>
      </c>
      <c r="B150" s="1" t="s">
        <v>660</v>
      </c>
      <c r="C150" s="1" t="s">
        <v>673</v>
      </c>
      <c r="D150" s="1" t="s">
        <v>704</v>
      </c>
      <c r="E150" s="1" t="s">
        <v>130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816</v>
      </c>
      <c r="FS150" s="13" t="s">
        <v>816</v>
      </c>
      <c r="FT150" s="13" t="s">
        <v>816</v>
      </c>
      <c r="FU150" s="13"/>
      <c r="FV150" s="13" t="s">
        <v>816</v>
      </c>
      <c r="FW150" s="13" t="s">
        <v>816</v>
      </c>
      <c r="FX150" s="13" t="s">
        <v>816</v>
      </c>
      <c r="FY150" s="13" t="s">
        <v>816</v>
      </c>
      <c r="FZ150" s="13" t="s">
        <v>816</v>
      </c>
      <c r="GA150" s="13" t="s">
        <v>816</v>
      </c>
      <c r="GB150" s="13" t="s">
        <v>816</v>
      </c>
      <c r="GE150" s="13" t="s">
        <v>816</v>
      </c>
      <c r="GF150" s="13" t="s">
        <v>816</v>
      </c>
      <c r="GH150" s="13" t="s">
        <v>816</v>
      </c>
    </row>
    <row r="151" spans="1:190" ht="12.75" customHeight="1" x14ac:dyDescent="0.2">
      <c r="A151" s="1" t="s">
        <v>367</v>
      </c>
      <c r="B151" s="1" t="s">
        <v>660</v>
      </c>
      <c r="C151" s="1" t="s">
        <v>673</v>
      </c>
      <c r="D151" s="1" t="s">
        <v>704</v>
      </c>
      <c r="E151" s="1" t="s">
        <v>130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816</v>
      </c>
      <c r="FS151" s="13" t="s">
        <v>816</v>
      </c>
      <c r="FT151" s="13" t="s">
        <v>816</v>
      </c>
      <c r="FU151" s="13"/>
      <c r="FV151" s="13" t="s">
        <v>816</v>
      </c>
      <c r="FW151" s="13" t="s">
        <v>816</v>
      </c>
      <c r="FX151" s="13" t="s">
        <v>816</v>
      </c>
      <c r="FY151" s="13" t="s">
        <v>816</v>
      </c>
      <c r="FZ151" s="13" t="s">
        <v>816</v>
      </c>
      <c r="GA151" s="13" t="s">
        <v>816</v>
      </c>
      <c r="GB151" s="13" t="s">
        <v>816</v>
      </c>
      <c r="GE151" s="13" t="s">
        <v>816</v>
      </c>
      <c r="GF151" s="13" t="s">
        <v>816</v>
      </c>
      <c r="GH151" s="13" t="s">
        <v>816</v>
      </c>
    </row>
    <row r="152" spans="1:190" ht="12.75" customHeight="1" x14ac:dyDescent="0.2">
      <c r="A152" s="1" t="s">
        <v>367</v>
      </c>
      <c r="B152" s="1" t="s">
        <v>660</v>
      </c>
      <c r="C152" s="1" t="s">
        <v>673</v>
      </c>
      <c r="D152" s="1" t="s">
        <v>704</v>
      </c>
      <c r="E152" s="1" t="s">
        <v>130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816</v>
      </c>
      <c r="FS152" s="13" t="s">
        <v>816</v>
      </c>
      <c r="FT152" s="13" t="s">
        <v>816</v>
      </c>
      <c r="FU152" s="13"/>
      <c r="FV152" s="13" t="s">
        <v>816</v>
      </c>
      <c r="FW152" s="13" t="s">
        <v>816</v>
      </c>
      <c r="FX152" s="13" t="s">
        <v>816</v>
      </c>
      <c r="FY152" s="13" t="s">
        <v>816</v>
      </c>
      <c r="FZ152" s="13" t="s">
        <v>816</v>
      </c>
      <c r="GA152" s="13" t="s">
        <v>816</v>
      </c>
      <c r="GB152" s="13" t="s">
        <v>816</v>
      </c>
      <c r="GE152" s="13" t="s">
        <v>816</v>
      </c>
      <c r="GF152" s="13" t="s">
        <v>816</v>
      </c>
      <c r="GH152" s="13" t="s">
        <v>816</v>
      </c>
    </row>
    <row r="153" spans="1:190" ht="12.75" customHeight="1" x14ac:dyDescent="0.2">
      <c r="A153" s="1" t="s">
        <v>367</v>
      </c>
      <c r="B153" s="1" t="s">
        <v>660</v>
      </c>
      <c r="C153" s="1" t="s">
        <v>673</v>
      </c>
      <c r="D153" s="1" t="s">
        <v>704</v>
      </c>
      <c r="E153" s="1" t="s">
        <v>130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816</v>
      </c>
      <c r="FS153" s="13" t="s">
        <v>816</v>
      </c>
      <c r="FT153" s="13" t="s">
        <v>816</v>
      </c>
      <c r="FU153" s="13"/>
      <c r="FV153" s="13" t="s">
        <v>816</v>
      </c>
      <c r="FW153" s="13" t="s">
        <v>816</v>
      </c>
      <c r="FX153" s="13" t="s">
        <v>816</v>
      </c>
      <c r="FY153" s="13" t="s">
        <v>816</v>
      </c>
      <c r="FZ153" s="13" t="s">
        <v>816</v>
      </c>
      <c r="GA153" s="13" t="s">
        <v>816</v>
      </c>
      <c r="GB153" s="13" t="s">
        <v>816</v>
      </c>
      <c r="GE153" s="13" t="s">
        <v>816</v>
      </c>
      <c r="GF153" s="13" t="s">
        <v>816</v>
      </c>
      <c r="GH153" s="13" t="s">
        <v>816</v>
      </c>
    </row>
    <row r="154" spans="1:190" ht="12.75" customHeight="1" x14ac:dyDescent="0.2">
      <c r="A154" s="1" t="s">
        <v>721</v>
      </c>
      <c r="B154" s="1" t="s">
        <v>757</v>
      </c>
      <c r="C154" s="1" t="s">
        <v>673</v>
      </c>
      <c r="D154" s="1" t="s">
        <v>705</v>
      </c>
      <c r="E154" s="1" t="s">
        <v>130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816</v>
      </c>
      <c r="FS154" s="13" t="s">
        <v>816</v>
      </c>
      <c r="FT154" s="13" t="s">
        <v>816</v>
      </c>
      <c r="FU154" s="13"/>
      <c r="FV154" s="13" t="s">
        <v>816</v>
      </c>
      <c r="FW154" s="13" t="s">
        <v>816</v>
      </c>
      <c r="FX154" s="13" t="s">
        <v>816</v>
      </c>
      <c r="FY154" s="13" t="s">
        <v>816</v>
      </c>
      <c r="FZ154" s="13" t="s">
        <v>816</v>
      </c>
      <c r="GA154" s="13" t="s">
        <v>816</v>
      </c>
      <c r="GB154" s="13" t="s">
        <v>816</v>
      </c>
      <c r="GE154" s="13" t="s">
        <v>816</v>
      </c>
      <c r="GF154" s="13" t="s">
        <v>816</v>
      </c>
      <c r="GH154" s="13" t="s">
        <v>816</v>
      </c>
    </row>
    <row r="155" spans="1:190" ht="12.75" customHeight="1" x14ac:dyDescent="0.2">
      <c r="A155" s="1" t="s">
        <v>721</v>
      </c>
      <c r="B155" s="1" t="s">
        <v>757</v>
      </c>
      <c r="C155" s="1" t="s">
        <v>673</v>
      </c>
      <c r="D155" s="1" t="s">
        <v>705</v>
      </c>
      <c r="E155" s="1" t="s">
        <v>130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816</v>
      </c>
      <c r="FS155" s="13" t="s">
        <v>816</v>
      </c>
      <c r="FT155" s="13" t="s">
        <v>816</v>
      </c>
      <c r="FU155" s="13"/>
      <c r="FV155" s="13" t="s">
        <v>816</v>
      </c>
      <c r="FW155" s="13" t="s">
        <v>816</v>
      </c>
      <c r="FX155" s="13" t="s">
        <v>816</v>
      </c>
      <c r="FY155" s="13" t="s">
        <v>816</v>
      </c>
      <c r="FZ155" s="13" t="s">
        <v>816</v>
      </c>
      <c r="GA155" s="13" t="s">
        <v>816</v>
      </c>
      <c r="GB155" s="13" t="s">
        <v>816</v>
      </c>
      <c r="GE155" s="13" t="s">
        <v>816</v>
      </c>
      <c r="GF155" s="13" t="s">
        <v>816</v>
      </c>
      <c r="GH155" s="13" t="s">
        <v>816</v>
      </c>
    </row>
    <row r="156" spans="1:190" ht="12.75" customHeight="1" x14ac:dyDescent="0.2">
      <c r="A156" s="1" t="s">
        <v>721</v>
      </c>
      <c r="B156" s="1" t="s">
        <v>757</v>
      </c>
      <c r="C156" s="1" t="s">
        <v>673</v>
      </c>
      <c r="D156" s="1" t="s">
        <v>705</v>
      </c>
      <c r="E156" s="1" t="s">
        <v>130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816</v>
      </c>
      <c r="FS156" s="13" t="s">
        <v>816</v>
      </c>
      <c r="FT156" s="13" t="s">
        <v>816</v>
      </c>
      <c r="FU156" s="13"/>
      <c r="FV156" s="13" t="s">
        <v>816</v>
      </c>
      <c r="FW156" s="13" t="s">
        <v>816</v>
      </c>
      <c r="FX156" s="13" t="s">
        <v>816</v>
      </c>
      <c r="FY156" s="13" t="s">
        <v>816</v>
      </c>
      <c r="FZ156" s="13" t="s">
        <v>816</v>
      </c>
      <c r="GA156" s="13" t="s">
        <v>816</v>
      </c>
      <c r="GB156" s="13" t="s">
        <v>816</v>
      </c>
      <c r="GE156" s="13" t="s">
        <v>816</v>
      </c>
      <c r="GF156" s="13" t="s">
        <v>816</v>
      </c>
      <c r="GH156" s="13" t="s">
        <v>816</v>
      </c>
    </row>
    <row r="157" spans="1:190" ht="12.75" customHeight="1" x14ac:dyDescent="0.2">
      <c r="A157" s="1" t="s">
        <v>721</v>
      </c>
      <c r="B157" s="1" t="s">
        <v>757</v>
      </c>
      <c r="C157" s="1" t="s">
        <v>673</v>
      </c>
      <c r="D157" s="1" t="s">
        <v>705</v>
      </c>
      <c r="E157" s="1" t="s">
        <v>130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816</v>
      </c>
      <c r="FS157" s="13" t="s">
        <v>816</v>
      </c>
      <c r="FT157" s="13" t="s">
        <v>816</v>
      </c>
      <c r="FU157" s="13"/>
      <c r="FV157" s="13" t="s">
        <v>816</v>
      </c>
      <c r="FW157" s="13" t="s">
        <v>816</v>
      </c>
      <c r="FX157" s="13" t="s">
        <v>816</v>
      </c>
      <c r="FY157" s="13" t="s">
        <v>816</v>
      </c>
      <c r="FZ157" s="13" t="s">
        <v>816</v>
      </c>
      <c r="GA157" s="13" t="s">
        <v>816</v>
      </c>
      <c r="GB157" s="13" t="s">
        <v>816</v>
      </c>
      <c r="GE157" s="13" t="s">
        <v>816</v>
      </c>
      <c r="GF157" s="13" t="s">
        <v>816</v>
      </c>
      <c r="GH157" s="13" t="s">
        <v>816</v>
      </c>
    </row>
    <row r="158" spans="1:190" ht="12.75" customHeight="1" x14ac:dyDescent="0.2">
      <c r="A158" s="1" t="s">
        <v>721</v>
      </c>
      <c r="B158" s="1" t="s">
        <v>757</v>
      </c>
      <c r="C158" s="1" t="s">
        <v>673</v>
      </c>
      <c r="D158" s="1" t="s">
        <v>705</v>
      </c>
      <c r="E158" s="1" t="s">
        <v>130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816</v>
      </c>
      <c r="FS158" s="13" t="s">
        <v>816</v>
      </c>
      <c r="FT158" s="13" t="s">
        <v>816</v>
      </c>
      <c r="FU158" s="13"/>
      <c r="FV158" s="13" t="s">
        <v>816</v>
      </c>
      <c r="FW158" s="13" t="s">
        <v>816</v>
      </c>
      <c r="FX158" s="13" t="s">
        <v>816</v>
      </c>
      <c r="FY158" s="13" t="s">
        <v>816</v>
      </c>
      <c r="FZ158" s="13" t="s">
        <v>816</v>
      </c>
      <c r="GA158" s="13" t="s">
        <v>816</v>
      </c>
      <c r="GB158" s="13" t="s">
        <v>816</v>
      </c>
      <c r="GE158" s="13" t="s">
        <v>816</v>
      </c>
      <c r="GF158" s="13" t="s">
        <v>816</v>
      </c>
      <c r="GH158" s="13" t="s">
        <v>816</v>
      </c>
    </row>
    <row r="159" spans="1:190" ht="12.75" customHeight="1" x14ac:dyDescent="0.2">
      <c r="A159" s="1" t="s">
        <v>721</v>
      </c>
      <c r="B159" s="1" t="s">
        <v>757</v>
      </c>
      <c r="C159" s="1" t="s">
        <v>673</v>
      </c>
      <c r="D159" s="1" t="s">
        <v>705</v>
      </c>
      <c r="E159" s="1" t="s">
        <v>130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816</v>
      </c>
      <c r="FS159" s="13" t="s">
        <v>816</v>
      </c>
      <c r="FT159" s="13" t="s">
        <v>816</v>
      </c>
      <c r="FU159" s="13"/>
      <c r="FV159" s="13" t="s">
        <v>816</v>
      </c>
      <c r="FW159" s="13" t="s">
        <v>816</v>
      </c>
      <c r="FX159" s="13" t="s">
        <v>816</v>
      </c>
      <c r="FY159" s="13" t="s">
        <v>816</v>
      </c>
      <c r="FZ159" s="13" t="s">
        <v>816</v>
      </c>
      <c r="GA159" s="13" t="s">
        <v>816</v>
      </c>
      <c r="GB159" s="13" t="s">
        <v>816</v>
      </c>
      <c r="GE159" s="13" t="s">
        <v>816</v>
      </c>
      <c r="GF159" s="13" t="s">
        <v>816</v>
      </c>
      <c r="GH159" s="13" t="s">
        <v>816</v>
      </c>
    </row>
    <row r="160" spans="1:190" ht="12.75" customHeight="1" x14ac:dyDescent="0.2">
      <c r="A160" s="1" t="s">
        <v>721</v>
      </c>
      <c r="B160" s="1" t="s">
        <v>757</v>
      </c>
      <c r="C160" s="1" t="s">
        <v>673</v>
      </c>
      <c r="D160" s="1" t="s">
        <v>705</v>
      </c>
      <c r="E160" s="1" t="s">
        <v>130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816</v>
      </c>
      <c r="FS160" s="13" t="s">
        <v>816</v>
      </c>
      <c r="FT160" s="13" t="s">
        <v>816</v>
      </c>
      <c r="FU160" s="13"/>
      <c r="FV160" s="13" t="s">
        <v>816</v>
      </c>
      <c r="FW160" s="13" t="s">
        <v>816</v>
      </c>
      <c r="FX160" s="13" t="s">
        <v>816</v>
      </c>
      <c r="FY160" s="13" t="s">
        <v>816</v>
      </c>
      <c r="FZ160" s="13" t="s">
        <v>816</v>
      </c>
      <c r="GA160" s="13" t="s">
        <v>816</v>
      </c>
      <c r="GB160" s="13" t="s">
        <v>816</v>
      </c>
      <c r="GE160" s="13" t="s">
        <v>816</v>
      </c>
      <c r="GF160" s="13" t="s">
        <v>816</v>
      </c>
      <c r="GH160" s="13" t="s">
        <v>816</v>
      </c>
    </row>
    <row r="161" spans="1:190" ht="12.75" customHeight="1" x14ac:dyDescent="0.2">
      <c r="A161" s="1" t="s">
        <v>721</v>
      </c>
      <c r="B161" s="1" t="s">
        <v>757</v>
      </c>
      <c r="C161" s="1" t="s">
        <v>673</v>
      </c>
      <c r="D161" s="1" t="s">
        <v>705</v>
      </c>
      <c r="E161" s="1" t="s">
        <v>130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816</v>
      </c>
      <c r="FS161" s="13" t="s">
        <v>816</v>
      </c>
      <c r="FT161" s="13" t="s">
        <v>816</v>
      </c>
      <c r="FU161" s="13"/>
      <c r="FV161" s="13" t="s">
        <v>816</v>
      </c>
      <c r="FW161" s="13" t="s">
        <v>816</v>
      </c>
      <c r="FX161" s="13" t="s">
        <v>816</v>
      </c>
      <c r="FY161" s="13" t="s">
        <v>816</v>
      </c>
      <c r="FZ161" s="13" t="s">
        <v>816</v>
      </c>
      <c r="GA161" s="13" t="s">
        <v>816</v>
      </c>
      <c r="GB161" s="13" t="s">
        <v>816</v>
      </c>
      <c r="GE161" s="13" t="s">
        <v>816</v>
      </c>
      <c r="GF161" s="13" t="s">
        <v>816</v>
      </c>
      <c r="GH161" s="13" t="s">
        <v>816</v>
      </c>
    </row>
    <row r="162" spans="1:190" ht="12.75" customHeight="1" x14ac:dyDescent="0.2">
      <c r="A162" s="1" t="s">
        <v>213</v>
      </c>
      <c r="B162" s="1" t="s">
        <v>661</v>
      </c>
      <c r="C162" s="1" t="s">
        <v>673</v>
      </c>
      <c r="D162" s="1" t="s">
        <v>706</v>
      </c>
      <c r="E162" s="1" t="s">
        <v>130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816</v>
      </c>
      <c r="FS162" s="13" t="s">
        <v>816</v>
      </c>
      <c r="FT162" s="13" t="s">
        <v>816</v>
      </c>
      <c r="FU162" s="13"/>
      <c r="FV162" s="13" t="s">
        <v>816</v>
      </c>
      <c r="FW162" s="13" t="s">
        <v>816</v>
      </c>
      <c r="FX162" s="13" t="s">
        <v>816</v>
      </c>
      <c r="FY162" s="13" t="s">
        <v>816</v>
      </c>
      <c r="FZ162" s="13" t="s">
        <v>816</v>
      </c>
      <c r="GA162" s="13" t="s">
        <v>816</v>
      </c>
      <c r="GB162" s="13" t="s">
        <v>816</v>
      </c>
      <c r="GE162" s="13" t="s">
        <v>816</v>
      </c>
      <c r="GF162" s="13" t="s">
        <v>816</v>
      </c>
      <c r="GH162" s="13" t="s">
        <v>816</v>
      </c>
    </row>
    <row r="163" spans="1:190" ht="12.75" customHeight="1" x14ac:dyDescent="0.2">
      <c r="A163" s="1" t="s">
        <v>213</v>
      </c>
      <c r="B163" s="1" t="s">
        <v>661</v>
      </c>
      <c r="C163" s="1" t="s">
        <v>673</v>
      </c>
      <c r="D163" s="1" t="s">
        <v>706</v>
      </c>
      <c r="E163" s="1" t="s">
        <v>130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816</v>
      </c>
      <c r="FS163" s="13" t="s">
        <v>816</v>
      </c>
      <c r="FT163" s="13" t="s">
        <v>816</v>
      </c>
      <c r="FU163" s="13"/>
      <c r="FV163" s="13" t="s">
        <v>816</v>
      </c>
      <c r="FW163" s="13" t="s">
        <v>816</v>
      </c>
      <c r="FX163" s="13" t="s">
        <v>816</v>
      </c>
      <c r="FY163" s="13" t="s">
        <v>816</v>
      </c>
      <c r="FZ163" s="13" t="s">
        <v>816</v>
      </c>
      <c r="GA163" s="13" t="s">
        <v>816</v>
      </c>
      <c r="GB163" s="13" t="s">
        <v>816</v>
      </c>
      <c r="GE163" s="13" t="s">
        <v>816</v>
      </c>
      <c r="GF163" s="13" t="s">
        <v>816</v>
      </c>
      <c r="GH163" s="13" t="s">
        <v>816</v>
      </c>
    </row>
    <row r="164" spans="1:190" ht="12.75" customHeight="1" x14ac:dyDescent="0.2">
      <c r="A164" s="1" t="s">
        <v>213</v>
      </c>
      <c r="B164" s="1" t="s">
        <v>661</v>
      </c>
      <c r="C164" s="1" t="s">
        <v>673</v>
      </c>
      <c r="D164" s="1" t="s">
        <v>706</v>
      </c>
      <c r="E164" s="1" t="s">
        <v>130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816</v>
      </c>
      <c r="FS164" s="13" t="s">
        <v>816</v>
      </c>
      <c r="FT164" s="13" t="s">
        <v>816</v>
      </c>
      <c r="FU164" s="13"/>
      <c r="FV164" s="13" t="s">
        <v>816</v>
      </c>
      <c r="FW164" s="13" t="s">
        <v>816</v>
      </c>
      <c r="FX164" s="13" t="s">
        <v>816</v>
      </c>
      <c r="FY164" s="13" t="s">
        <v>816</v>
      </c>
      <c r="FZ164" s="13" t="s">
        <v>816</v>
      </c>
      <c r="GA164" s="13" t="s">
        <v>816</v>
      </c>
      <c r="GB164" s="13" t="s">
        <v>816</v>
      </c>
      <c r="GE164" s="13" t="s">
        <v>816</v>
      </c>
      <c r="GF164" s="13" t="s">
        <v>816</v>
      </c>
      <c r="GH164" s="13" t="s">
        <v>816</v>
      </c>
    </row>
    <row r="165" spans="1:190" ht="12.75" customHeight="1" x14ac:dyDescent="0.2">
      <c r="A165" s="1" t="s">
        <v>213</v>
      </c>
      <c r="B165" s="1" t="s">
        <v>661</v>
      </c>
      <c r="C165" s="1" t="s">
        <v>673</v>
      </c>
      <c r="D165" s="1" t="s">
        <v>706</v>
      </c>
      <c r="E165" s="1" t="s">
        <v>130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816</v>
      </c>
      <c r="FS165" s="13" t="s">
        <v>816</v>
      </c>
      <c r="FT165" s="13" t="s">
        <v>816</v>
      </c>
      <c r="FU165" s="13"/>
      <c r="FV165" s="13" t="s">
        <v>816</v>
      </c>
      <c r="FW165" s="13" t="s">
        <v>816</v>
      </c>
      <c r="FX165" s="13" t="s">
        <v>816</v>
      </c>
      <c r="FY165" s="13" t="s">
        <v>816</v>
      </c>
      <c r="FZ165" s="13" t="s">
        <v>816</v>
      </c>
      <c r="GA165" s="13" t="s">
        <v>816</v>
      </c>
      <c r="GB165" s="13" t="s">
        <v>816</v>
      </c>
      <c r="GE165" s="13" t="s">
        <v>816</v>
      </c>
      <c r="GF165" s="13" t="s">
        <v>816</v>
      </c>
      <c r="GH165" s="13" t="s">
        <v>816</v>
      </c>
    </row>
    <row r="166" spans="1:190" ht="12.75" customHeight="1" x14ac:dyDescent="0.2">
      <c r="A166" s="1" t="s">
        <v>213</v>
      </c>
      <c r="B166" s="1" t="s">
        <v>661</v>
      </c>
      <c r="C166" s="1" t="s">
        <v>673</v>
      </c>
      <c r="D166" s="1" t="s">
        <v>706</v>
      </c>
      <c r="E166" s="1" t="s">
        <v>130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816</v>
      </c>
      <c r="FS166" s="13" t="s">
        <v>816</v>
      </c>
      <c r="FT166" s="13" t="s">
        <v>816</v>
      </c>
      <c r="FU166" s="13"/>
      <c r="FV166" s="13" t="s">
        <v>816</v>
      </c>
      <c r="FW166" s="13" t="s">
        <v>816</v>
      </c>
      <c r="FX166" s="13" t="s">
        <v>816</v>
      </c>
      <c r="FY166" s="13" t="s">
        <v>816</v>
      </c>
      <c r="FZ166" s="13" t="s">
        <v>816</v>
      </c>
      <c r="GA166" s="13" t="s">
        <v>816</v>
      </c>
      <c r="GB166" s="13" t="s">
        <v>816</v>
      </c>
      <c r="GE166" s="13" t="s">
        <v>816</v>
      </c>
      <c r="GF166" s="13" t="s">
        <v>816</v>
      </c>
      <c r="GH166" s="13" t="s">
        <v>816</v>
      </c>
    </row>
    <row r="167" spans="1:190" ht="12.75" customHeight="1" x14ac:dyDescent="0.2">
      <c r="A167" s="1" t="s">
        <v>213</v>
      </c>
      <c r="B167" s="1" t="s">
        <v>661</v>
      </c>
      <c r="C167" s="1" t="s">
        <v>673</v>
      </c>
      <c r="D167" s="1" t="s">
        <v>706</v>
      </c>
      <c r="E167" s="1" t="s">
        <v>130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816</v>
      </c>
      <c r="FS167" s="13" t="s">
        <v>816</v>
      </c>
      <c r="FT167" s="13" t="s">
        <v>816</v>
      </c>
      <c r="FU167" s="13"/>
      <c r="FV167" s="13" t="s">
        <v>816</v>
      </c>
      <c r="FW167" s="13" t="s">
        <v>816</v>
      </c>
      <c r="FX167" s="13" t="s">
        <v>816</v>
      </c>
      <c r="FY167" s="13" t="s">
        <v>816</v>
      </c>
      <c r="FZ167" s="13" t="s">
        <v>816</v>
      </c>
      <c r="GA167" s="13" t="s">
        <v>816</v>
      </c>
      <c r="GB167" s="13" t="s">
        <v>816</v>
      </c>
      <c r="GE167" s="13" t="s">
        <v>816</v>
      </c>
      <c r="GF167" s="13" t="s">
        <v>816</v>
      </c>
      <c r="GH167" s="13" t="s">
        <v>816</v>
      </c>
    </row>
    <row r="168" spans="1:190" ht="12.75" customHeight="1" x14ac:dyDescent="0.2">
      <c r="A168" s="1" t="s">
        <v>213</v>
      </c>
      <c r="B168" s="1" t="s">
        <v>661</v>
      </c>
      <c r="C168" s="1" t="s">
        <v>673</v>
      </c>
      <c r="D168" s="1" t="s">
        <v>706</v>
      </c>
      <c r="E168" s="1" t="s">
        <v>130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816</v>
      </c>
      <c r="FS168" s="13" t="s">
        <v>816</v>
      </c>
      <c r="FT168" s="13" t="s">
        <v>816</v>
      </c>
      <c r="FU168" s="13"/>
      <c r="FV168" s="13" t="s">
        <v>816</v>
      </c>
      <c r="FW168" s="13" t="s">
        <v>816</v>
      </c>
      <c r="FX168" s="13" t="s">
        <v>816</v>
      </c>
      <c r="FY168" s="13" t="s">
        <v>816</v>
      </c>
      <c r="FZ168" s="13" t="s">
        <v>816</v>
      </c>
      <c r="GA168" s="13" t="s">
        <v>816</v>
      </c>
      <c r="GB168" s="13" t="s">
        <v>816</v>
      </c>
      <c r="GE168" s="13" t="s">
        <v>816</v>
      </c>
      <c r="GF168" s="13" t="s">
        <v>816</v>
      </c>
      <c r="GH168" s="13" t="s">
        <v>816</v>
      </c>
    </row>
    <row r="169" spans="1:190" ht="12.75" customHeight="1" x14ac:dyDescent="0.2">
      <c r="A169" s="1" t="s">
        <v>213</v>
      </c>
      <c r="B169" s="1" t="s">
        <v>661</v>
      </c>
      <c r="C169" s="1" t="s">
        <v>673</v>
      </c>
      <c r="D169" s="1" t="s">
        <v>706</v>
      </c>
      <c r="E169" s="1" t="s">
        <v>130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816</v>
      </c>
      <c r="FS169" s="13" t="s">
        <v>816</v>
      </c>
      <c r="FT169" s="13" t="s">
        <v>816</v>
      </c>
      <c r="FU169" s="13"/>
      <c r="FV169" s="13" t="s">
        <v>816</v>
      </c>
      <c r="FW169" s="13" t="s">
        <v>816</v>
      </c>
      <c r="FX169" s="13" t="s">
        <v>816</v>
      </c>
      <c r="FY169" s="13" t="s">
        <v>816</v>
      </c>
      <c r="FZ169" s="13" t="s">
        <v>816</v>
      </c>
      <c r="GA169" s="13" t="s">
        <v>816</v>
      </c>
      <c r="GB169" s="13" t="s">
        <v>816</v>
      </c>
      <c r="GE169" s="13" t="s">
        <v>816</v>
      </c>
      <c r="GF169" s="13" t="s">
        <v>816</v>
      </c>
      <c r="GH169" s="13" t="s">
        <v>816</v>
      </c>
    </row>
    <row r="170" spans="1:190" ht="12.75" customHeight="1" x14ac:dyDescent="0.2">
      <c r="A170" s="1" t="s">
        <v>367</v>
      </c>
      <c r="B170" s="1" t="s">
        <v>660</v>
      </c>
      <c r="C170" s="1" t="s">
        <v>672</v>
      </c>
      <c r="D170" s="1" t="s">
        <v>702</v>
      </c>
      <c r="E170" s="1" t="s">
        <v>129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816</v>
      </c>
      <c r="FS170" s="13" t="s">
        <v>816</v>
      </c>
      <c r="FT170" s="13" t="s">
        <v>816</v>
      </c>
      <c r="FU170" s="13"/>
      <c r="FV170" s="13" t="s">
        <v>816</v>
      </c>
      <c r="FW170" s="13" t="s">
        <v>816</v>
      </c>
      <c r="FX170" s="13" t="s">
        <v>816</v>
      </c>
      <c r="FY170" s="13" t="s">
        <v>816</v>
      </c>
      <c r="FZ170" s="13" t="s">
        <v>816</v>
      </c>
      <c r="GA170" s="13" t="s">
        <v>816</v>
      </c>
      <c r="GB170" s="13" t="s">
        <v>816</v>
      </c>
      <c r="GE170" s="13" t="s">
        <v>816</v>
      </c>
      <c r="GF170" s="13" t="s">
        <v>816</v>
      </c>
      <c r="GH170" s="13" t="s">
        <v>816</v>
      </c>
    </row>
    <row r="171" spans="1:190" ht="12.75" customHeight="1" x14ac:dyDescent="0.2">
      <c r="A171" s="1" t="s">
        <v>367</v>
      </c>
      <c r="B171" s="1" t="s">
        <v>660</v>
      </c>
      <c r="C171" s="1" t="s">
        <v>672</v>
      </c>
      <c r="D171" s="1" t="s">
        <v>702</v>
      </c>
      <c r="E171" s="1" t="s">
        <v>129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816</v>
      </c>
      <c r="FS171" s="13" t="s">
        <v>816</v>
      </c>
      <c r="FT171" s="13" t="s">
        <v>816</v>
      </c>
      <c r="FU171" s="13"/>
      <c r="FV171" s="13" t="s">
        <v>816</v>
      </c>
      <c r="FW171" s="13" t="s">
        <v>816</v>
      </c>
      <c r="FX171" s="13" t="s">
        <v>816</v>
      </c>
      <c r="FY171" s="13" t="s">
        <v>816</v>
      </c>
      <c r="FZ171" s="13" t="s">
        <v>816</v>
      </c>
      <c r="GA171" s="13" t="s">
        <v>816</v>
      </c>
      <c r="GB171" s="13" t="s">
        <v>816</v>
      </c>
      <c r="GE171" s="13" t="s">
        <v>816</v>
      </c>
      <c r="GF171" s="13" t="s">
        <v>816</v>
      </c>
      <c r="GH171" s="13" t="s">
        <v>816</v>
      </c>
    </row>
    <row r="172" spans="1:190" ht="12.75" customHeight="1" x14ac:dyDescent="0.2">
      <c r="A172" s="1" t="s">
        <v>367</v>
      </c>
      <c r="B172" s="1" t="s">
        <v>660</v>
      </c>
      <c r="C172" s="1" t="s">
        <v>672</v>
      </c>
      <c r="D172" s="1" t="s">
        <v>702</v>
      </c>
      <c r="E172" s="1" t="s">
        <v>129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816</v>
      </c>
      <c r="FS172" s="13" t="s">
        <v>816</v>
      </c>
      <c r="FT172" s="13" t="s">
        <v>816</v>
      </c>
      <c r="FU172" s="13"/>
      <c r="FV172" s="13" t="s">
        <v>816</v>
      </c>
      <c r="FW172" s="13" t="s">
        <v>816</v>
      </c>
      <c r="FX172" s="13" t="s">
        <v>816</v>
      </c>
      <c r="FY172" s="13" t="s">
        <v>816</v>
      </c>
      <c r="FZ172" s="13" t="s">
        <v>816</v>
      </c>
      <c r="GA172" s="13" t="s">
        <v>816</v>
      </c>
      <c r="GB172" s="13" t="s">
        <v>816</v>
      </c>
      <c r="GE172" s="13" t="s">
        <v>816</v>
      </c>
      <c r="GF172" s="13" t="s">
        <v>816</v>
      </c>
      <c r="GH172" s="13" t="s">
        <v>816</v>
      </c>
    </row>
    <row r="173" spans="1:190" ht="12.75" customHeight="1" x14ac:dyDescent="0.2">
      <c r="A173" s="1" t="s">
        <v>367</v>
      </c>
      <c r="B173" s="1" t="s">
        <v>660</v>
      </c>
      <c r="C173" s="1" t="s">
        <v>672</v>
      </c>
      <c r="D173" s="1" t="s">
        <v>702</v>
      </c>
      <c r="E173" s="1" t="s">
        <v>129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816</v>
      </c>
      <c r="FS173" s="13" t="s">
        <v>816</v>
      </c>
      <c r="FT173" s="13" t="s">
        <v>816</v>
      </c>
      <c r="FU173" s="13"/>
      <c r="FV173" s="13" t="s">
        <v>816</v>
      </c>
      <c r="FW173" s="13" t="s">
        <v>816</v>
      </c>
      <c r="FX173" s="13" t="s">
        <v>816</v>
      </c>
      <c r="FY173" s="13" t="s">
        <v>816</v>
      </c>
      <c r="FZ173" s="13" t="s">
        <v>816</v>
      </c>
      <c r="GA173" s="13" t="s">
        <v>816</v>
      </c>
      <c r="GB173" s="13" t="s">
        <v>816</v>
      </c>
      <c r="GE173" s="13" t="s">
        <v>816</v>
      </c>
      <c r="GF173" s="13" t="s">
        <v>816</v>
      </c>
      <c r="GH173" s="13" t="s">
        <v>816</v>
      </c>
    </row>
    <row r="174" spans="1:190" ht="12.75" customHeight="1" x14ac:dyDescent="0.2">
      <c r="A174" s="1" t="s">
        <v>367</v>
      </c>
      <c r="B174" s="1" t="s">
        <v>660</v>
      </c>
      <c r="C174" s="1" t="s">
        <v>672</v>
      </c>
      <c r="D174" s="1" t="s">
        <v>702</v>
      </c>
      <c r="E174" s="1" t="s">
        <v>129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816</v>
      </c>
      <c r="FS174" s="13" t="s">
        <v>816</v>
      </c>
      <c r="FT174" s="13" t="s">
        <v>816</v>
      </c>
      <c r="FU174" s="13"/>
      <c r="FV174" s="13" t="s">
        <v>816</v>
      </c>
      <c r="FW174" s="13" t="s">
        <v>816</v>
      </c>
      <c r="FX174" s="13" t="s">
        <v>816</v>
      </c>
      <c r="FY174" s="13" t="s">
        <v>816</v>
      </c>
      <c r="FZ174" s="13" t="s">
        <v>816</v>
      </c>
      <c r="GA174" s="13" t="s">
        <v>816</v>
      </c>
      <c r="GB174" s="13" t="s">
        <v>816</v>
      </c>
      <c r="GE174" s="13" t="s">
        <v>816</v>
      </c>
      <c r="GF174" s="13" t="s">
        <v>816</v>
      </c>
      <c r="GH174" s="13" t="s">
        <v>816</v>
      </c>
    </row>
    <row r="175" spans="1:190" ht="12.75" customHeight="1" x14ac:dyDescent="0.2">
      <c r="A175" s="1" t="s">
        <v>367</v>
      </c>
      <c r="B175" s="1" t="s">
        <v>660</v>
      </c>
      <c r="C175" s="1" t="s">
        <v>672</v>
      </c>
      <c r="D175" s="1" t="s">
        <v>702</v>
      </c>
      <c r="E175" s="1" t="s">
        <v>129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816</v>
      </c>
      <c r="FS175" s="13" t="s">
        <v>816</v>
      </c>
      <c r="FT175" s="13" t="s">
        <v>816</v>
      </c>
      <c r="FU175" s="13"/>
      <c r="FV175" s="13" t="s">
        <v>816</v>
      </c>
      <c r="FW175" s="13" t="s">
        <v>816</v>
      </c>
      <c r="FX175" s="13" t="s">
        <v>816</v>
      </c>
      <c r="FY175" s="13" t="s">
        <v>816</v>
      </c>
      <c r="FZ175" s="13" t="s">
        <v>816</v>
      </c>
      <c r="GA175" s="13" t="s">
        <v>816</v>
      </c>
      <c r="GB175" s="13" t="s">
        <v>816</v>
      </c>
      <c r="GE175" s="13" t="s">
        <v>816</v>
      </c>
      <c r="GF175" s="13" t="s">
        <v>816</v>
      </c>
      <c r="GH175" s="13" t="s">
        <v>816</v>
      </c>
    </row>
    <row r="176" spans="1:190" ht="12.75" customHeight="1" x14ac:dyDescent="0.2">
      <c r="A176" s="1" t="s">
        <v>367</v>
      </c>
      <c r="B176" s="1" t="s">
        <v>660</v>
      </c>
      <c r="C176" s="1" t="s">
        <v>672</v>
      </c>
      <c r="D176" s="1" t="s">
        <v>702</v>
      </c>
      <c r="E176" s="1" t="s">
        <v>129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816</v>
      </c>
      <c r="FS176" s="13" t="s">
        <v>816</v>
      </c>
      <c r="FT176" s="13" t="s">
        <v>816</v>
      </c>
      <c r="FU176" s="13"/>
      <c r="FV176" s="13" t="s">
        <v>816</v>
      </c>
      <c r="FW176" s="13" t="s">
        <v>816</v>
      </c>
      <c r="FX176" s="13" t="s">
        <v>816</v>
      </c>
      <c r="FY176" s="13" t="s">
        <v>816</v>
      </c>
      <c r="FZ176" s="13" t="s">
        <v>816</v>
      </c>
      <c r="GA176" s="13" t="s">
        <v>816</v>
      </c>
      <c r="GB176" s="13" t="s">
        <v>816</v>
      </c>
      <c r="GE176" s="13" t="s">
        <v>816</v>
      </c>
      <c r="GF176" s="13" t="s">
        <v>816</v>
      </c>
      <c r="GH176" s="13" t="s">
        <v>816</v>
      </c>
    </row>
    <row r="177" spans="1:190" ht="12.75" customHeight="1" x14ac:dyDescent="0.2">
      <c r="A177" s="1" t="s">
        <v>367</v>
      </c>
      <c r="B177" s="1" t="s">
        <v>660</v>
      </c>
      <c r="C177" s="1" t="s">
        <v>672</v>
      </c>
      <c r="D177" s="1" t="s">
        <v>702</v>
      </c>
      <c r="E177" s="1" t="s">
        <v>129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816</v>
      </c>
      <c r="FS177" s="13" t="s">
        <v>816</v>
      </c>
      <c r="FT177" s="13" t="s">
        <v>816</v>
      </c>
      <c r="FU177" s="13"/>
      <c r="FV177" s="13" t="s">
        <v>816</v>
      </c>
      <c r="FW177" s="13" t="s">
        <v>816</v>
      </c>
      <c r="FX177" s="13" t="s">
        <v>816</v>
      </c>
      <c r="FY177" s="13" t="s">
        <v>816</v>
      </c>
      <c r="FZ177" s="13" t="s">
        <v>816</v>
      </c>
      <c r="GA177" s="13" t="s">
        <v>816</v>
      </c>
      <c r="GB177" s="13" t="s">
        <v>816</v>
      </c>
      <c r="GE177" s="13" t="s">
        <v>816</v>
      </c>
      <c r="GF177" s="13" t="s">
        <v>816</v>
      </c>
      <c r="GH177" s="13" t="s">
        <v>816</v>
      </c>
    </row>
    <row r="178" spans="1:190" ht="12.75" customHeight="1" x14ac:dyDescent="0.2">
      <c r="A178" s="1" t="s">
        <v>213</v>
      </c>
      <c r="B178" s="1" t="s">
        <v>661</v>
      </c>
      <c r="C178" s="1" t="s">
        <v>672</v>
      </c>
      <c r="D178" s="1" t="s">
        <v>703</v>
      </c>
      <c r="E178" s="1" t="s">
        <v>129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816</v>
      </c>
      <c r="FS178" s="13" t="s">
        <v>816</v>
      </c>
      <c r="FT178" s="13" t="s">
        <v>816</v>
      </c>
      <c r="FU178" s="13"/>
      <c r="FV178" s="13" t="s">
        <v>816</v>
      </c>
      <c r="FW178" s="13" t="s">
        <v>816</v>
      </c>
      <c r="FX178" s="13" t="s">
        <v>816</v>
      </c>
      <c r="FY178" s="13" t="s">
        <v>816</v>
      </c>
      <c r="FZ178" s="13" t="s">
        <v>816</v>
      </c>
      <c r="GA178" s="13" t="s">
        <v>816</v>
      </c>
      <c r="GB178" s="13" t="s">
        <v>816</v>
      </c>
      <c r="GE178" s="13" t="s">
        <v>816</v>
      </c>
      <c r="GF178" s="13" t="s">
        <v>816</v>
      </c>
      <c r="GH178" s="13" t="s">
        <v>816</v>
      </c>
    </row>
    <row r="179" spans="1:190" ht="12.75" customHeight="1" x14ac:dyDescent="0.2">
      <c r="A179" s="1" t="s">
        <v>213</v>
      </c>
      <c r="B179" s="1" t="s">
        <v>661</v>
      </c>
      <c r="C179" s="1" t="s">
        <v>672</v>
      </c>
      <c r="D179" s="1" t="s">
        <v>703</v>
      </c>
      <c r="E179" s="1" t="s">
        <v>129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816</v>
      </c>
      <c r="FS179" s="13" t="s">
        <v>816</v>
      </c>
      <c r="FT179" s="13" t="s">
        <v>816</v>
      </c>
      <c r="FU179" s="13"/>
      <c r="FV179" s="13" t="s">
        <v>816</v>
      </c>
      <c r="FW179" s="13" t="s">
        <v>816</v>
      </c>
      <c r="FX179" s="13" t="s">
        <v>816</v>
      </c>
      <c r="FY179" s="13" t="s">
        <v>816</v>
      </c>
      <c r="FZ179" s="13" t="s">
        <v>816</v>
      </c>
      <c r="GA179" s="13" t="s">
        <v>816</v>
      </c>
      <c r="GB179" s="13" t="s">
        <v>816</v>
      </c>
      <c r="GE179" s="13" t="s">
        <v>816</v>
      </c>
      <c r="GF179" s="13" t="s">
        <v>816</v>
      </c>
      <c r="GH179" s="13" t="s">
        <v>816</v>
      </c>
    </row>
    <row r="180" spans="1:190" ht="12.75" customHeight="1" x14ac:dyDescent="0.2">
      <c r="A180" s="1" t="s">
        <v>213</v>
      </c>
      <c r="B180" s="1" t="s">
        <v>661</v>
      </c>
      <c r="C180" s="1" t="s">
        <v>672</v>
      </c>
      <c r="D180" s="1" t="s">
        <v>703</v>
      </c>
      <c r="E180" s="1" t="s">
        <v>129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816</v>
      </c>
      <c r="FS180" s="13" t="s">
        <v>816</v>
      </c>
      <c r="FT180" s="13" t="s">
        <v>816</v>
      </c>
      <c r="FU180" s="13"/>
      <c r="FV180" s="13" t="s">
        <v>816</v>
      </c>
      <c r="FW180" s="13" t="s">
        <v>816</v>
      </c>
      <c r="FX180" s="13" t="s">
        <v>816</v>
      </c>
      <c r="FY180" s="13" t="s">
        <v>816</v>
      </c>
      <c r="FZ180" s="13" t="s">
        <v>816</v>
      </c>
      <c r="GA180" s="13" t="s">
        <v>816</v>
      </c>
      <c r="GB180" s="13" t="s">
        <v>816</v>
      </c>
      <c r="GE180" s="13" t="s">
        <v>816</v>
      </c>
      <c r="GF180" s="13" t="s">
        <v>816</v>
      </c>
      <c r="GH180" s="13" t="s">
        <v>816</v>
      </c>
    </row>
    <row r="181" spans="1:190" ht="12.75" customHeight="1" x14ac:dyDescent="0.2">
      <c r="A181" s="1" t="s">
        <v>213</v>
      </c>
      <c r="B181" s="1" t="s">
        <v>661</v>
      </c>
      <c r="C181" s="1" t="s">
        <v>672</v>
      </c>
      <c r="D181" s="1" t="s">
        <v>703</v>
      </c>
      <c r="E181" s="1" t="s">
        <v>129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816</v>
      </c>
      <c r="FS181" s="13" t="s">
        <v>816</v>
      </c>
      <c r="FT181" s="13" t="s">
        <v>816</v>
      </c>
      <c r="FU181" s="13"/>
      <c r="FV181" s="13" t="s">
        <v>816</v>
      </c>
      <c r="FW181" s="13" t="s">
        <v>816</v>
      </c>
      <c r="FX181" s="13" t="s">
        <v>816</v>
      </c>
      <c r="FY181" s="13" t="s">
        <v>816</v>
      </c>
      <c r="FZ181" s="13" t="s">
        <v>816</v>
      </c>
      <c r="GA181" s="13" t="s">
        <v>816</v>
      </c>
      <c r="GB181" s="13" t="s">
        <v>816</v>
      </c>
      <c r="GE181" s="13" t="s">
        <v>816</v>
      </c>
      <c r="GF181" s="13" t="s">
        <v>816</v>
      </c>
      <c r="GH181" s="13" t="s">
        <v>816</v>
      </c>
    </row>
    <row r="182" spans="1:190" ht="12.75" customHeight="1" x14ac:dyDescent="0.2">
      <c r="A182" s="1" t="s">
        <v>213</v>
      </c>
      <c r="B182" s="1" t="s">
        <v>661</v>
      </c>
      <c r="C182" s="1" t="s">
        <v>672</v>
      </c>
      <c r="D182" s="1" t="s">
        <v>703</v>
      </c>
      <c r="E182" s="1" t="s">
        <v>129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816</v>
      </c>
      <c r="FS182" s="13" t="s">
        <v>816</v>
      </c>
      <c r="FT182" s="13" t="s">
        <v>816</v>
      </c>
      <c r="FU182" s="13"/>
      <c r="FV182" s="13" t="s">
        <v>816</v>
      </c>
      <c r="FW182" s="13" t="s">
        <v>816</v>
      </c>
      <c r="FX182" s="13" t="s">
        <v>816</v>
      </c>
      <c r="FY182" s="13" t="s">
        <v>816</v>
      </c>
      <c r="FZ182" s="13" t="s">
        <v>816</v>
      </c>
      <c r="GA182" s="13" t="s">
        <v>816</v>
      </c>
      <c r="GB182" s="13" t="s">
        <v>816</v>
      </c>
      <c r="GE182" s="13" t="s">
        <v>816</v>
      </c>
      <c r="GF182" s="13" t="s">
        <v>816</v>
      </c>
      <c r="GH182" s="13" t="s">
        <v>816</v>
      </c>
    </row>
    <row r="183" spans="1:190" ht="12.75" customHeight="1" x14ac:dyDescent="0.2">
      <c r="A183" s="1" t="s">
        <v>213</v>
      </c>
      <c r="B183" s="1" t="s">
        <v>661</v>
      </c>
      <c r="C183" s="1" t="s">
        <v>672</v>
      </c>
      <c r="D183" s="1" t="s">
        <v>703</v>
      </c>
      <c r="E183" s="1" t="s">
        <v>129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816</v>
      </c>
      <c r="FS183" s="13" t="s">
        <v>816</v>
      </c>
      <c r="FT183" s="13" t="s">
        <v>816</v>
      </c>
      <c r="FU183" s="13"/>
      <c r="FV183" s="13" t="s">
        <v>816</v>
      </c>
      <c r="FW183" s="13" t="s">
        <v>816</v>
      </c>
      <c r="FX183" s="13" t="s">
        <v>816</v>
      </c>
      <c r="FY183" s="13" t="s">
        <v>816</v>
      </c>
      <c r="FZ183" s="13" t="s">
        <v>816</v>
      </c>
      <c r="GA183" s="13" t="s">
        <v>816</v>
      </c>
      <c r="GB183" s="13" t="s">
        <v>816</v>
      </c>
      <c r="GE183" s="13" t="s">
        <v>816</v>
      </c>
      <c r="GF183" s="13" t="s">
        <v>816</v>
      </c>
      <c r="GH183" s="13" t="s">
        <v>816</v>
      </c>
    </row>
    <row r="184" spans="1:190" ht="12.75" customHeight="1" x14ac:dyDescent="0.2">
      <c r="A184" s="1" t="s">
        <v>213</v>
      </c>
      <c r="B184" s="1" t="s">
        <v>661</v>
      </c>
      <c r="C184" s="1" t="s">
        <v>672</v>
      </c>
      <c r="D184" s="1" t="s">
        <v>703</v>
      </c>
      <c r="E184" s="1" t="s">
        <v>129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816</v>
      </c>
      <c r="FS184" s="13" t="s">
        <v>816</v>
      </c>
      <c r="FT184" s="13" t="s">
        <v>816</v>
      </c>
      <c r="FU184" s="13"/>
      <c r="FV184" s="13" t="s">
        <v>816</v>
      </c>
      <c r="FW184" s="13" t="s">
        <v>816</v>
      </c>
      <c r="FX184" s="13" t="s">
        <v>816</v>
      </c>
      <c r="FY184" s="13" t="s">
        <v>816</v>
      </c>
      <c r="FZ184" s="13" t="s">
        <v>816</v>
      </c>
      <c r="GA184" s="13" t="s">
        <v>816</v>
      </c>
      <c r="GB184" s="13" t="s">
        <v>816</v>
      </c>
      <c r="GE184" s="13" t="s">
        <v>816</v>
      </c>
      <c r="GF184" s="13" t="s">
        <v>816</v>
      </c>
      <c r="GH184" s="13" t="s">
        <v>816</v>
      </c>
    </row>
    <row r="185" spans="1:190" ht="12.75" customHeight="1" x14ac:dyDescent="0.2">
      <c r="A185" s="1" t="s">
        <v>213</v>
      </c>
      <c r="B185" s="1" t="s">
        <v>661</v>
      </c>
      <c r="C185" s="1" t="s">
        <v>672</v>
      </c>
      <c r="D185" s="1" t="s">
        <v>703</v>
      </c>
      <c r="E185" s="1" t="s">
        <v>129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816</v>
      </c>
      <c r="FS185" s="13" t="s">
        <v>816</v>
      </c>
      <c r="FT185" s="13" t="s">
        <v>816</v>
      </c>
      <c r="FU185" s="13"/>
      <c r="FV185" s="13" t="s">
        <v>816</v>
      </c>
      <c r="FW185" s="13" t="s">
        <v>816</v>
      </c>
      <c r="FX185" s="13" t="s">
        <v>816</v>
      </c>
      <c r="FY185" s="13" t="s">
        <v>816</v>
      </c>
      <c r="FZ185" s="13" t="s">
        <v>816</v>
      </c>
      <c r="GA185" s="13" t="s">
        <v>816</v>
      </c>
      <c r="GB185" s="13" t="s">
        <v>816</v>
      </c>
      <c r="GE185" s="13" t="s">
        <v>816</v>
      </c>
      <c r="GF185" s="13" t="s">
        <v>816</v>
      </c>
      <c r="GH185" s="13" t="s">
        <v>816</v>
      </c>
    </row>
    <row r="186" spans="1:190" ht="12.75" customHeight="1" x14ac:dyDescent="0.2">
      <c r="A186" s="1" t="s">
        <v>1159</v>
      </c>
      <c r="B186" s="1" t="s">
        <v>757</v>
      </c>
      <c r="C186" s="1" t="s">
        <v>815</v>
      </c>
      <c r="D186" s="1" t="s">
        <v>707</v>
      </c>
      <c r="E186" s="1" t="s">
        <v>130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816</v>
      </c>
      <c r="FS186" s="13" t="s">
        <v>816</v>
      </c>
      <c r="FT186" s="13" t="s">
        <v>816</v>
      </c>
      <c r="FU186" s="13"/>
      <c r="FV186" s="13" t="s">
        <v>816</v>
      </c>
      <c r="FW186" s="13" t="s">
        <v>816</v>
      </c>
      <c r="FX186" s="13" t="s">
        <v>816</v>
      </c>
      <c r="FY186" s="13" t="s">
        <v>816</v>
      </c>
      <c r="FZ186" s="13" t="s">
        <v>816</v>
      </c>
      <c r="GA186" s="13" t="s">
        <v>816</v>
      </c>
      <c r="GB186" s="13" t="s">
        <v>816</v>
      </c>
      <c r="GE186" s="13" t="s">
        <v>816</v>
      </c>
      <c r="GF186" s="13" t="s">
        <v>816</v>
      </c>
      <c r="GH186" s="13" t="s">
        <v>816</v>
      </c>
    </row>
    <row r="187" spans="1:190" ht="12.75" customHeight="1" x14ac:dyDescent="0.2">
      <c r="A187" s="1" t="s">
        <v>1159</v>
      </c>
      <c r="B187" s="1" t="s">
        <v>757</v>
      </c>
      <c r="C187" s="1" t="s">
        <v>815</v>
      </c>
      <c r="D187" s="1" t="s">
        <v>707</v>
      </c>
      <c r="E187" s="1" t="s">
        <v>130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816</v>
      </c>
      <c r="FS187" s="13" t="s">
        <v>816</v>
      </c>
      <c r="FT187" s="13" t="s">
        <v>816</v>
      </c>
      <c r="FU187" s="13"/>
      <c r="FV187" s="13" t="s">
        <v>816</v>
      </c>
      <c r="FW187" s="13" t="s">
        <v>816</v>
      </c>
      <c r="FX187" s="13" t="s">
        <v>816</v>
      </c>
      <c r="FY187" s="13" t="s">
        <v>816</v>
      </c>
      <c r="FZ187" s="13" t="s">
        <v>816</v>
      </c>
      <c r="GA187" s="13" t="s">
        <v>816</v>
      </c>
      <c r="GB187" s="13" t="s">
        <v>816</v>
      </c>
      <c r="GE187" s="13" t="s">
        <v>816</v>
      </c>
      <c r="GF187" s="13" t="s">
        <v>816</v>
      </c>
      <c r="GH187" s="13" t="s">
        <v>816</v>
      </c>
    </row>
    <row r="188" spans="1:190" ht="12.75" customHeight="1" x14ac:dyDescent="0.2">
      <c r="A188" s="1" t="s">
        <v>1159</v>
      </c>
      <c r="B188" s="1" t="s">
        <v>757</v>
      </c>
      <c r="C188" s="1" t="s">
        <v>815</v>
      </c>
      <c r="D188" s="1" t="s">
        <v>707</v>
      </c>
      <c r="E188" s="1" t="s">
        <v>130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816</v>
      </c>
      <c r="FS188" s="13" t="s">
        <v>816</v>
      </c>
      <c r="FT188" s="13" t="s">
        <v>816</v>
      </c>
      <c r="FU188" s="13"/>
      <c r="FV188" s="13" t="s">
        <v>816</v>
      </c>
      <c r="FW188" s="13" t="s">
        <v>816</v>
      </c>
      <c r="FX188" s="13" t="s">
        <v>816</v>
      </c>
      <c r="FY188" s="13" t="s">
        <v>816</v>
      </c>
      <c r="FZ188" s="13" t="s">
        <v>816</v>
      </c>
      <c r="GA188" s="13" t="s">
        <v>816</v>
      </c>
      <c r="GB188" s="13" t="s">
        <v>816</v>
      </c>
      <c r="GE188" s="13" t="s">
        <v>816</v>
      </c>
      <c r="GF188" s="13" t="s">
        <v>816</v>
      </c>
      <c r="GH188" s="13" t="s">
        <v>816</v>
      </c>
    </row>
    <row r="189" spans="1:190" ht="12.75" customHeight="1" x14ac:dyDescent="0.2">
      <c r="A189" s="1" t="s">
        <v>1159</v>
      </c>
      <c r="B189" s="1" t="s">
        <v>757</v>
      </c>
      <c r="C189" s="1" t="s">
        <v>815</v>
      </c>
      <c r="D189" s="1" t="s">
        <v>707</v>
      </c>
      <c r="E189" s="1" t="s">
        <v>130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816</v>
      </c>
      <c r="FS189" s="13" t="s">
        <v>816</v>
      </c>
      <c r="FT189" s="13" t="s">
        <v>816</v>
      </c>
      <c r="FU189" s="13"/>
      <c r="FV189" s="13" t="s">
        <v>816</v>
      </c>
      <c r="FW189" s="13" t="s">
        <v>816</v>
      </c>
      <c r="FX189" s="13" t="s">
        <v>816</v>
      </c>
      <c r="FY189" s="13" t="s">
        <v>816</v>
      </c>
      <c r="FZ189" s="13" t="s">
        <v>816</v>
      </c>
      <c r="GA189" s="13" t="s">
        <v>816</v>
      </c>
      <c r="GB189" s="13" t="s">
        <v>816</v>
      </c>
      <c r="GE189" s="13" t="s">
        <v>816</v>
      </c>
      <c r="GF189" s="13" t="s">
        <v>816</v>
      </c>
      <c r="GH189" s="13" t="s">
        <v>816</v>
      </c>
    </row>
    <row r="190" spans="1:190" ht="12.75" customHeight="1" x14ac:dyDescent="0.2">
      <c r="A190" s="1" t="s">
        <v>1159</v>
      </c>
      <c r="B190" s="1" t="s">
        <v>757</v>
      </c>
      <c r="C190" s="1" t="s">
        <v>815</v>
      </c>
      <c r="D190" s="1" t="s">
        <v>707</v>
      </c>
      <c r="E190" s="1" t="s">
        <v>130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816</v>
      </c>
      <c r="FS190" s="13" t="s">
        <v>816</v>
      </c>
      <c r="FT190" s="13" t="s">
        <v>816</v>
      </c>
      <c r="FU190" s="13"/>
      <c r="FV190" s="13" t="s">
        <v>816</v>
      </c>
      <c r="FW190" s="13" t="s">
        <v>816</v>
      </c>
      <c r="FX190" s="13" t="s">
        <v>816</v>
      </c>
      <c r="FY190" s="13" t="s">
        <v>816</v>
      </c>
      <c r="FZ190" s="13" t="s">
        <v>816</v>
      </c>
      <c r="GA190" s="13" t="s">
        <v>816</v>
      </c>
      <c r="GB190" s="13" t="s">
        <v>816</v>
      </c>
      <c r="GE190" s="13" t="s">
        <v>816</v>
      </c>
      <c r="GF190" s="13" t="s">
        <v>816</v>
      </c>
      <c r="GH190" s="13" t="s">
        <v>816</v>
      </c>
    </row>
    <row r="191" spans="1:190" ht="12.75" customHeight="1" x14ac:dyDescent="0.2">
      <c r="A191" s="1" t="s">
        <v>1159</v>
      </c>
      <c r="B191" s="1" t="s">
        <v>757</v>
      </c>
      <c r="C191" s="1" t="s">
        <v>815</v>
      </c>
      <c r="D191" s="1" t="s">
        <v>707</v>
      </c>
      <c r="E191" s="1" t="s">
        <v>130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816</v>
      </c>
      <c r="FS191" s="13" t="s">
        <v>816</v>
      </c>
      <c r="FT191" s="13" t="s">
        <v>816</v>
      </c>
      <c r="FU191" s="13"/>
      <c r="FV191" s="13" t="s">
        <v>816</v>
      </c>
      <c r="FW191" s="13" t="s">
        <v>816</v>
      </c>
      <c r="FX191" s="13" t="s">
        <v>816</v>
      </c>
      <c r="FY191" s="13" t="s">
        <v>816</v>
      </c>
      <c r="FZ191" s="13" t="s">
        <v>816</v>
      </c>
      <c r="GA191" s="13" t="s">
        <v>816</v>
      </c>
      <c r="GB191" s="13" t="s">
        <v>816</v>
      </c>
      <c r="GE191" s="13" t="s">
        <v>816</v>
      </c>
      <c r="GF191" s="13" t="s">
        <v>816</v>
      </c>
      <c r="GH191" s="13" t="s">
        <v>816</v>
      </c>
    </row>
    <row r="192" spans="1:190" ht="12.75" customHeight="1" x14ac:dyDescent="0.2">
      <c r="A192" s="1" t="s">
        <v>1159</v>
      </c>
      <c r="B192" s="1" t="s">
        <v>757</v>
      </c>
      <c r="C192" s="1" t="s">
        <v>815</v>
      </c>
      <c r="D192" s="1" t="s">
        <v>707</v>
      </c>
      <c r="E192" s="1" t="s">
        <v>130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816</v>
      </c>
      <c r="FS192" s="13" t="s">
        <v>816</v>
      </c>
      <c r="FT192" s="13" t="s">
        <v>816</v>
      </c>
      <c r="FU192" s="13"/>
      <c r="FV192" s="13" t="s">
        <v>816</v>
      </c>
      <c r="FW192" s="13" t="s">
        <v>816</v>
      </c>
      <c r="FX192" s="13" t="s">
        <v>816</v>
      </c>
      <c r="FY192" s="13" t="s">
        <v>816</v>
      </c>
      <c r="FZ192" s="13" t="s">
        <v>816</v>
      </c>
      <c r="GA192" s="13" t="s">
        <v>816</v>
      </c>
      <c r="GB192" s="13" t="s">
        <v>816</v>
      </c>
      <c r="GE192" s="13" t="s">
        <v>816</v>
      </c>
      <c r="GF192" s="13" t="s">
        <v>816</v>
      </c>
      <c r="GH192" s="13" t="s">
        <v>816</v>
      </c>
    </row>
    <row r="193" spans="1:190" ht="12.75" customHeight="1" x14ac:dyDescent="0.2">
      <c r="A193" s="1" t="s">
        <v>1159</v>
      </c>
      <c r="B193" s="1" t="s">
        <v>757</v>
      </c>
      <c r="C193" s="1" t="s">
        <v>815</v>
      </c>
      <c r="D193" s="1" t="s">
        <v>707</v>
      </c>
      <c r="E193" s="1" t="s">
        <v>130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816</v>
      </c>
      <c r="FS193" s="13" t="s">
        <v>816</v>
      </c>
      <c r="FT193" s="13" t="s">
        <v>816</v>
      </c>
      <c r="FU193" s="13"/>
      <c r="FV193" s="13" t="s">
        <v>816</v>
      </c>
      <c r="FW193" s="13" t="s">
        <v>816</v>
      </c>
      <c r="FX193" s="13" t="s">
        <v>816</v>
      </c>
      <c r="FY193" s="13" t="s">
        <v>816</v>
      </c>
      <c r="FZ193" s="13" t="s">
        <v>816</v>
      </c>
      <c r="GA193" s="13" t="s">
        <v>816</v>
      </c>
      <c r="GB193" s="13" t="s">
        <v>816</v>
      </c>
      <c r="GE193" s="13" t="s">
        <v>816</v>
      </c>
      <c r="GF193" s="13" t="s">
        <v>816</v>
      </c>
      <c r="GH193" s="13" t="s">
        <v>816</v>
      </c>
    </row>
    <row r="194" spans="1:190" ht="12.75" customHeight="1" x14ac:dyDescent="0.2">
      <c r="A194" s="1" t="s">
        <v>102</v>
      </c>
      <c r="B194" s="1" t="s">
        <v>757</v>
      </c>
      <c r="C194" s="1" t="s">
        <v>674</v>
      </c>
      <c r="D194" s="1" t="s">
        <v>708</v>
      </c>
      <c r="E194" s="1" t="s">
        <v>130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816</v>
      </c>
      <c r="FS194" s="13" t="s">
        <v>816</v>
      </c>
      <c r="FT194" s="13" t="s">
        <v>816</v>
      </c>
      <c r="FU194" s="13"/>
      <c r="FV194" s="13" t="s">
        <v>816</v>
      </c>
      <c r="FW194" s="13" t="s">
        <v>816</v>
      </c>
      <c r="FX194" s="13" t="s">
        <v>816</v>
      </c>
      <c r="FY194" s="13" t="s">
        <v>816</v>
      </c>
      <c r="FZ194" s="13" t="s">
        <v>816</v>
      </c>
      <c r="GA194" s="13" t="s">
        <v>816</v>
      </c>
      <c r="GB194" s="13" t="s">
        <v>816</v>
      </c>
      <c r="GE194" s="13" t="s">
        <v>816</v>
      </c>
      <c r="GF194" s="13" t="s">
        <v>816</v>
      </c>
      <c r="GH194" s="13" t="s">
        <v>816</v>
      </c>
    </row>
    <row r="195" spans="1:190" ht="12.75" customHeight="1" x14ac:dyDescent="0.2">
      <c r="A195" s="1" t="s">
        <v>102</v>
      </c>
      <c r="B195" s="1" t="s">
        <v>757</v>
      </c>
      <c r="C195" s="1" t="s">
        <v>674</v>
      </c>
      <c r="D195" s="1" t="s">
        <v>708</v>
      </c>
      <c r="E195" s="1" t="s">
        <v>130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816</v>
      </c>
      <c r="FS195" s="13" t="s">
        <v>816</v>
      </c>
      <c r="FT195" s="13" t="s">
        <v>816</v>
      </c>
      <c r="FU195" s="13"/>
      <c r="FV195" s="13" t="s">
        <v>816</v>
      </c>
      <c r="FW195" s="13" t="s">
        <v>816</v>
      </c>
      <c r="FX195" s="13" t="s">
        <v>816</v>
      </c>
      <c r="FY195" s="13" t="s">
        <v>816</v>
      </c>
      <c r="FZ195" s="13" t="s">
        <v>816</v>
      </c>
      <c r="GA195" s="13" t="s">
        <v>816</v>
      </c>
      <c r="GB195" s="13" t="s">
        <v>816</v>
      </c>
      <c r="GE195" s="13" t="s">
        <v>816</v>
      </c>
      <c r="GF195" s="13" t="s">
        <v>816</v>
      </c>
      <c r="GH195" s="13" t="s">
        <v>816</v>
      </c>
    </row>
    <row r="196" spans="1:190" ht="12.75" customHeight="1" x14ac:dyDescent="0.2">
      <c r="A196" s="1" t="s">
        <v>102</v>
      </c>
      <c r="B196" s="1" t="s">
        <v>757</v>
      </c>
      <c r="C196" s="1" t="s">
        <v>674</v>
      </c>
      <c r="D196" s="1" t="s">
        <v>708</v>
      </c>
      <c r="E196" s="1" t="s">
        <v>130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816</v>
      </c>
      <c r="FS196" s="13" t="s">
        <v>816</v>
      </c>
      <c r="FT196" s="13" t="s">
        <v>816</v>
      </c>
      <c r="FU196" s="13"/>
      <c r="FV196" s="13" t="s">
        <v>816</v>
      </c>
      <c r="FW196" s="13" t="s">
        <v>816</v>
      </c>
      <c r="FX196" s="13" t="s">
        <v>816</v>
      </c>
      <c r="FY196" s="13" t="s">
        <v>816</v>
      </c>
      <c r="FZ196" s="13" t="s">
        <v>816</v>
      </c>
      <c r="GA196" s="13" t="s">
        <v>816</v>
      </c>
      <c r="GB196" s="13" t="s">
        <v>816</v>
      </c>
      <c r="GE196" s="13" t="s">
        <v>816</v>
      </c>
      <c r="GF196" s="13" t="s">
        <v>816</v>
      </c>
      <c r="GH196" s="13" t="s">
        <v>816</v>
      </c>
    </row>
    <row r="197" spans="1:190" ht="12.75" customHeight="1" x14ac:dyDescent="0.2">
      <c r="A197" s="1" t="s">
        <v>102</v>
      </c>
      <c r="B197" s="1" t="s">
        <v>757</v>
      </c>
      <c r="C197" s="1" t="s">
        <v>674</v>
      </c>
      <c r="D197" s="1" t="s">
        <v>708</v>
      </c>
      <c r="E197" s="1" t="s">
        <v>130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816</v>
      </c>
      <c r="FS197" s="13" t="s">
        <v>816</v>
      </c>
      <c r="FT197" s="13" t="s">
        <v>816</v>
      </c>
      <c r="FU197" s="13"/>
      <c r="FV197" s="13" t="s">
        <v>816</v>
      </c>
      <c r="FW197" s="13" t="s">
        <v>816</v>
      </c>
      <c r="FX197" s="13" t="s">
        <v>816</v>
      </c>
      <c r="FY197" s="13" t="s">
        <v>816</v>
      </c>
      <c r="FZ197" s="13" t="s">
        <v>816</v>
      </c>
      <c r="GA197" s="13" t="s">
        <v>816</v>
      </c>
      <c r="GB197" s="13" t="s">
        <v>816</v>
      </c>
      <c r="GE197" s="13" t="s">
        <v>816</v>
      </c>
      <c r="GF197" s="13" t="s">
        <v>816</v>
      </c>
      <c r="GH197" s="13" t="s">
        <v>816</v>
      </c>
    </row>
    <row r="198" spans="1:190" ht="12.75" customHeight="1" x14ac:dyDescent="0.2">
      <c r="A198" s="1" t="s">
        <v>102</v>
      </c>
      <c r="B198" s="1" t="s">
        <v>757</v>
      </c>
      <c r="C198" s="1" t="s">
        <v>674</v>
      </c>
      <c r="D198" s="1" t="s">
        <v>708</v>
      </c>
      <c r="E198" s="1" t="s">
        <v>130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816</v>
      </c>
      <c r="FS198" s="13" t="s">
        <v>816</v>
      </c>
      <c r="FT198" s="13" t="s">
        <v>816</v>
      </c>
      <c r="FU198" s="13"/>
      <c r="FV198" s="13" t="s">
        <v>816</v>
      </c>
      <c r="FW198" s="13" t="s">
        <v>816</v>
      </c>
      <c r="FX198" s="13" t="s">
        <v>816</v>
      </c>
      <c r="FY198" s="13" t="s">
        <v>816</v>
      </c>
      <c r="FZ198" s="13" t="s">
        <v>816</v>
      </c>
      <c r="GA198" s="13" t="s">
        <v>816</v>
      </c>
      <c r="GB198" s="13" t="s">
        <v>816</v>
      </c>
      <c r="GE198" s="13" t="s">
        <v>816</v>
      </c>
      <c r="GF198" s="13" t="s">
        <v>816</v>
      </c>
      <c r="GH198" s="13" t="s">
        <v>816</v>
      </c>
    </row>
    <row r="199" spans="1:190" ht="12.75" customHeight="1" x14ac:dyDescent="0.2">
      <c r="A199" s="1" t="s">
        <v>102</v>
      </c>
      <c r="B199" s="1" t="s">
        <v>757</v>
      </c>
      <c r="C199" s="1" t="s">
        <v>674</v>
      </c>
      <c r="D199" s="1" t="s">
        <v>708</v>
      </c>
      <c r="E199" s="1" t="s">
        <v>130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816</v>
      </c>
      <c r="FS199" s="13" t="s">
        <v>816</v>
      </c>
      <c r="FT199" s="13" t="s">
        <v>816</v>
      </c>
      <c r="FU199" s="13"/>
      <c r="FV199" s="13" t="s">
        <v>816</v>
      </c>
      <c r="FW199" s="13" t="s">
        <v>816</v>
      </c>
      <c r="FX199" s="13" t="s">
        <v>816</v>
      </c>
      <c r="FY199" s="13" t="s">
        <v>816</v>
      </c>
      <c r="FZ199" s="13" t="s">
        <v>816</v>
      </c>
      <c r="GA199" s="13" t="s">
        <v>816</v>
      </c>
      <c r="GB199" s="13" t="s">
        <v>816</v>
      </c>
      <c r="GE199" s="13" t="s">
        <v>816</v>
      </c>
      <c r="GF199" s="13" t="s">
        <v>816</v>
      </c>
      <c r="GH199" s="13" t="s">
        <v>816</v>
      </c>
    </row>
    <row r="200" spans="1:190" ht="12.75" customHeight="1" x14ac:dyDescent="0.2">
      <c r="A200" s="1" t="s">
        <v>102</v>
      </c>
      <c r="B200" s="1" t="s">
        <v>757</v>
      </c>
      <c r="C200" s="1" t="s">
        <v>674</v>
      </c>
      <c r="D200" s="1" t="s">
        <v>708</v>
      </c>
      <c r="E200" s="1" t="s">
        <v>130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816</v>
      </c>
      <c r="FS200" s="13" t="s">
        <v>816</v>
      </c>
      <c r="FT200" s="13" t="s">
        <v>816</v>
      </c>
      <c r="FU200" s="13"/>
      <c r="FV200" s="13" t="s">
        <v>816</v>
      </c>
      <c r="FW200" s="13" t="s">
        <v>816</v>
      </c>
      <c r="FX200" s="13" t="s">
        <v>816</v>
      </c>
      <c r="FY200" s="13" t="s">
        <v>816</v>
      </c>
      <c r="FZ200" s="13" t="s">
        <v>816</v>
      </c>
      <c r="GA200" s="13" t="s">
        <v>816</v>
      </c>
      <c r="GB200" s="13" t="s">
        <v>816</v>
      </c>
      <c r="GE200" s="13" t="s">
        <v>816</v>
      </c>
      <c r="GF200" s="13" t="s">
        <v>816</v>
      </c>
      <c r="GH200" s="13" t="s">
        <v>816</v>
      </c>
    </row>
    <row r="201" spans="1:190" ht="12.75" customHeight="1" x14ac:dyDescent="0.2">
      <c r="A201" s="1" t="s">
        <v>102</v>
      </c>
      <c r="B201" s="1" t="s">
        <v>757</v>
      </c>
      <c r="C201" s="1" t="s">
        <v>674</v>
      </c>
      <c r="D201" s="1" t="s">
        <v>708</v>
      </c>
      <c r="E201" s="1" t="s">
        <v>130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816</v>
      </c>
      <c r="FS201" s="13" t="s">
        <v>816</v>
      </c>
      <c r="FT201" s="13" t="s">
        <v>816</v>
      </c>
      <c r="FU201" s="13"/>
      <c r="FV201" s="13" t="s">
        <v>816</v>
      </c>
      <c r="FW201" s="13" t="s">
        <v>816</v>
      </c>
      <c r="FX201" s="13" t="s">
        <v>816</v>
      </c>
      <c r="FY201" s="13" t="s">
        <v>816</v>
      </c>
      <c r="FZ201" s="13" t="s">
        <v>816</v>
      </c>
      <c r="GA201" s="13" t="s">
        <v>816</v>
      </c>
      <c r="GB201" s="13" t="s">
        <v>816</v>
      </c>
      <c r="GE201" s="13" t="s">
        <v>816</v>
      </c>
      <c r="GF201" s="13" t="s">
        <v>816</v>
      </c>
      <c r="GH201" s="13" t="s">
        <v>816</v>
      </c>
    </row>
    <row r="202" spans="1:190" ht="12.75" customHeight="1" x14ac:dyDescent="0.2">
      <c r="A202" s="1" t="s">
        <v>213</v>
      </c>
      <c r="B202" s="1" t="s">
        <v>661</v>
      </c>
      <c r="C202" s="1" t="s">
        <v>674</v>
      </c>
      <c r="D202" s="1" t="s">
        <v>709</v>
      </c>
      <c r="E202" s="1" t="s">
        <v>130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816</v>
      </c>
      <c r="FS202" s="13" t="s">
        <v>816</v>
      </c>
      <c r="FT202" s="13" t="s">
        <v>816</v>
      </c>
      <c r="FU202" s="13"/>
      <c r="FV202" s="13" t="s">
        <v>816</v>
      </c>
      <c r="FW202" s="13" t="s">
        <v>816</v>
      </c>
      <c r="FX202" s="13" t="s">
        <v>816</v>
      </c>
      <c r="FY202" s="13" t="s">
        <v>816</v>
      </c>
      <c r="FZ202" s="13" t="s">
        <v>816</v>
      </c>
      <c r="GA202" s="13" t="s">
        <v>816</v>
      </c>
      <c r="GB202" s="13" t="s">
        <v>816</v>
      </c>
      <c r="GE202" s="13" t="s">
        <v>816</v>
      </c>
      <c r="GF202" s="13" t="s">
        <v>816</v>
      </c>
      <c r="GH202" s="13" t="s">
        <v>816</v>
      </c>
    </row>
    <row r="203" spans="1:190" ht="12.75" customHeight="1" x14ac:dyDescent="0.2">
      <c r="A203" s="1" t="s">
        <v>213</v>
      </c>
      <c r="B203" s="1" t="s">
        <v>661</v>
      </c>
      <c r="C203" s="1" t="s">
        <v>674</v>
      </c>
      <c r="D203" s="1" t="s">
        <v>709</v>
      </c>
      <c r="E203" s="1" t="s">
        <v>130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816</v>
      </c>
      <c r="FS203" s="13" t="s">
        <v>816</v>
      </c>
      <c r="FT203" s="13" t="s">
        <v>816</v>
      </c>
      <c r="FU203" s="13"/>
      <c r="FV203" s="13" t="s">
        <v>816</v>
      </c>
      <c r="FW203" s="13" t="s">
        <v>816</v>
      </c>
      <c r="FX203" s="13" t="s">
        <v>816</v>
      </c>
      <c r="FY203" s="13" t="s">
        <v>816</v>
      </c>
      <c r="FZ203" s="13" t="s">
        <v>816</v>
      </c>
      <c r="GA203" s="13" t="s">
        <v>816</v>
      </c>
      <c r="GB203" s="13" t="s">
        <v>816</v>
      </c>
      <c r="GE203" s="13" t="s">
        <v>816</v>
      </c>
      <c r="GF203" s="13" t="s">
        <v>816</v>
      </c>
      <c r="GH203" s="13" t="s">
        <v>816</v>
      </c>
    </row>
    <row r="204" spans="1:190" ht="12.75" customHeight="1" x14ac:dyDescent="0.2">
      <c r="A204" s="1" t="s">
        <v>213</v>
      </c>
      <c r="B204" s="1" t="s">
        <v>661</v>
      </c>
      <c r="C204" s="1" t="s">
        <v>674</v>
      </c>
      <c r="D204" s="1" t="s">
        <v>709</v>
      </c>
      <c r="E204" s="1" t="s">
        <v>130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816</v>
      </c>
      <c r="FS204" s="13" t="s">
        <v>816</v>
      </c>
      <c r="FT204" s="13" t="s">
        <v>816</v>
      </c>
      <c r="FU204" s="13"/>
      <c r="FV204" s="13" t="s">
        <v>816</v>
      </c>
      <c r="FW204" s="13" t="s">
        <v>816</v>
      </c>
      <c r="FX204" s="13" t="s">
        <v>816</v>
      </c>
      <c r="FY204" s="13" t="s">
        <v>816</v>
      </c>
      <c r="FZ204" s="13" t="s">
        <v>816</v>
      </c>
      <c r="GA204" s="13" t="s">
        <v>816</v>
      </c>
      <c r="GB204" s="13" t="s">
        <v>816</v>
      </c>
      <c r="GE204" s="13" t="s">
        <v>816</v>
      </c>
      <c r="GF204" s="13" t="s">
        <v>816</v>
      </c>
      <c r="GH204" s="13" t="s">
        <v>816</v>
      </c>
    </row>
    <row r="205" spans="1:190" ht="12.75" customHeight="1" x14ac:dyDescent="0.2">
      <c r="A205" s="1" t="s">
        <v>213</v>
      </c>
      <c r="B205" s="1" t="s">
        <v>661</v>
      </c>
      <c r="C205" s="1" t="s">
        <v>674</v>
      </c>
      <c r="D205" s="1" t="s">
        <v>709</v>
      </c>
      <c r="E205" s="1" t="s">
        <v>130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816</v>
      </c>
      <c r="FS205" s="13" t="s">
        <v>816</v>
      </c>
      <c r="FT205" s="13" t="s">
        <v>816</v>
      </c>
      <c r="FU205" s="13"/>
      <c r="FV205" s="13" t="s">
        <v>816</v>
      </c>
      <c r="FW205" s="13" t="s">
        <v>816</v>
      </c>
      <c r="FX205" s="13" t="s">
        <v>816</v>
      </c>
      <c r="FY205" s="13" t="s">
        <v>816</v>
      </c>
      <c r="FZ205" s="13" t="s">
        <v>816</v>
      </c>
      <c r="GA205" s="13" t="s">
        <v>816</v>
      </c>
      <c r="GB205" s="13" t="s">
        <v>816</v>
      </c>
      <c r="GE205" s="13" t="s">
        <v>816</v>
      </c>
      <c r="GF205" s="13" t="s">
        <v>816</v>
      </c>
      <c r="GH205" s="13" t="s">
        <v>816</v>
      </c>
    </row>
    <row r="206" spans="1:190" ht="12.75" customHeight="1" x14ac:dyDescent="0.2">
      <c r="A206" s="1" t="s">
        <v>213</v>
      </c>
      <c r="B206" s="1" t="s">
        <v>661</v>
      </c>
      <c r="C206" s="1" t="s">
        <v>674</v>
      </c>
      <c r="D206" s="1" t="s">
        <v>709</v>
      </c>
      <c r="E206" s="1" t="s">
        <v>130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816</v>
      </c>
      <c r="FS206" s="13" t="s">
        <v>816</v>
      </c>
      <c r="FT206" s="13" t="s">
        <v>816</v>
      </c>
      <c r="FU206" s="13"/>
      <c r="FV206" s="13" t="s">
        <v>816</v>
      </c>
      <c r="FW206" s="13" t="s">
        <v>816</v>
      </c>
      <c r="FX206" s="13" t="s">
        <v>816</v>
      </c>
      <c r="FY206" s="13" t="s">
        <v>816</v>
      </c>
      <c r="FZ206" s="13" t="s">
        <v>816</v>
      </c>
      <c r="GA206" s="13" t="s">
        <v>816</v>
      </c>
      <c r="GB206" s="13" t="s">
        <v>816</v>
      </c>
      <c r="GE206" s="13" t="s">
        <v>816</v>
      </c>
      <c r="GF206" s="13" t="s">
        <v>816</v>
      </c>
      <c r="GH206" s="13" t="s">
        <v>816</v>
      </c>
    </row>
    <row r="207" spans="1:190" ht="12.75" customHeight="1" x14ac:dyDescent="0.2">
      <c r="A207" s="1" t="s">
        <v>213</v>
      </c>
      <c r="B207" s="1" t="s">
        <v>661</v>
      </c>
      <c r="C207" s="1" t="s">
        <v>674</v>
      </c>
      <c r="D207" s="1" t="s">
        <v>709</v>
      </c>
      <c r="E207" s="1" t="s">
        <v>130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816</v>
      </c>
      <c r="FS207" s="13" t="s">
        <v>816</v>
      </c>
      <c r="FT207" s="13" t="s">
        <v>816</v>
      </c>
      <c r="FU207" s="13"/>
      <c r="FV207" s="13" t="s">
        <v>816</v>
      </c>
      <c r="FW207" s="13" t="s">
        <v>816</v>
      </c>
      <c r="FX207" s="13" t="s">
        <v>816</v>
      </c>
      <c r="FY207" s="13" t="s">
        <v>816</v>
      </c>
      <c r="FZ207" s="13" t="s">
        <v>816</v>
      </c>
      <c r="GA207" s="13" t="s">
        <v>816</v>
      </c>
      <c r="GB207" s="13" t="s">
        <v>816</v>
      </c>
      <c r="GE207" s="13" t="s">
        <v>816</v>
      </c>
      <c r="GF207" s="13" t="s">
        <v>816</v>
      </c>
      <c r="GH207" s="13" t="s">
        <v>816</v>
      </c>
    </row>
    <row r="208" spans="1:190" ht="12.75" customHeight="1" x14ac:dyDescent="0.2">
      <c r="A208" s="1" t="s">
        <v>213</v>
      </c>
      <c r="B208" s="1" t="s">
        <v>661</v>
      </c>
      <c r="C208" s="1" t="s">
        <v>674</v>
      </c>
      <c r="D208" s="1" t="s">
        <v>709</v>
      </c>
      <c r="E208" s="1" t="s">
        <v>130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816</v>
      </c>
      <c r="FS208" s="13" t="s">
        <v>816</v>
      </c>
      <c r="FT208" s="13" t="s">
        <v>816</v>
      </c>
      <c r="FU208" s="13"/>
      <c r="FV208" s="13" t="s">
        <v>816</v>
      </c>
      <c r="FW208" s="13" t="s">
        <v>816</v>
      </c>
      <c r="FX208" s="13" t="s">
        <v>816</v>
      </c>
      <c r="FY208" s="13" t="s">
        <v>816</v>
      </c>
      <c r="FZ208" s="13" t="s">
        <v>816</v>
      </c>
      <c r="GA208" s="13" t="s">
        <v>816</v>
      </c>
      <c r="GB208" s="13" t="s">
        <v>816</v>
      </c>
      <c r="GE208" s="13" t="s">
        <v>816</v>
      </c>
      <c r="GF208" s="13" t="s">
        <v>816</v>
      </c>
      <c r="GH208" s="13" t="s">
        <v>816</v>
      </c>
    </row>
    <row r="209" spans="1:190" ht="12.75" customHeight="1" x14ac:dyDescent="0.2">
      <c r="A209" s="1" t="s">
        <v>213</v>
      </c>
      <c r="B209" s="1" t="s">
        <v>661</v>
      </c>
      <c r="C209" s="1" t="s">
        <v>674</v>
      </c>
      <c r="D209" s="1" t="s">
        <v>709</v>
      </c>
      <c r="E209" s="1" t="s">
        <v>130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816</v>
      </c>
      <c r="FS209" s="13" t="s">
        <v>816</v>
      </c>
      <c r="FT209" s="13" t="s">
        <v>816</v>
      </c>
      <c r="FU209" s="13"/>
      <c r="FV209" s="13" t="s">
        <v>816</v>
      </c>
      <c r="FW209" s="13" t="s">
        <v>816</v>
      </c>
      <c r="FX209" s="13" t="s">
        <v>816</v>
      </c>
      <c r="FY209" s="13" t="s">
        <v>816</v>
      </c>
      <c r="FZ209" s="13" t="s">
        <v>816</v>
      </c>
      <c r="GA209" s="13" t="s">
        <v>816</v>
      </c>
      <c r="GB209" s="13" t="s">
        <v>816</v>
      </c>
      <c r="GE209" s="13" t="s">
        <v>816</v>
      </c>
      <c r="GF209" s="13" t="s">
        <v>816</v>
      </c>
      <c r="GH209" s="13" t="s">
        <v>816</v>
      </c>
    </row>
    <row r="210" spans="1:190" x14ac:dyDescent="0.2">
      <c r="A210" s="1" t="s">
        <v>367</v>
      </c>
      <c r="B210" s="1" t="s">
        <v>660</v>
      </c>
      <c r="C210" s="1" t="s">
        <v>675</v>
      </c>
      <c r="D210" s="1" t="s">
        <v>710</v>
      </c>
      <c r="E210" s="1" t="s">
        <v>129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816</v>
      </c>
      <c r="FS210" s="13" t="s">
        <v>816</v>
      </c>
      <c r="FT210" s="13" t="s">
        <v>816</v>
      </c>
      <c r="FU210" s="13"/>
      <c r="FV210" s="13" t="s">
        <v>816</v>
      </c>
      <c r="FW210" s="13" t="s">
        <v>816</v>
      </c>
      <c r="FX210" s="13" t="s">
        <v>816</v>
      </c>
      <c r="FY210" s="13" t="s">
        <v>816</v>
      </c>
      <c r="FZ210" s="13" t="s">
        <v>816</v>
      </c>
      <c r="GA210" s="13" t="s">
        <v>816</v>
      </c>
      <c r="GB210" s="13" t="s">
        <v>816</v>
      </c>
      <c r="GE210" s="13" t="s">
        <v>816</v>
      </c>
      <c r="GF210" s="13" t="s">
        <v>816</v>
      </c>
      <c r="GH210" s="13" t="s">
        <v>816</v>
      </c>
    </row>
    <row r="211" spans="1:190" x14ac:dyDescent="0.2">
      <c r="A211" s="1" t="s">
        <v>367</v>
      </c>
      <c r="B211" s="1" t="s">
        <v>660</v>
      </c>
      <c r="C211" s="1" t="s">
        <v>675</v>
      </c>
      <c r="D211" s="1" t="s">
        <v>710</v>
      </c>
      <c r="E211" s="1" t="s">
        <v>129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816</v>
      </c>
      <c r="FS211" s="13" t="s">
        <v>816</v>
      </c>
      <c r="FT211" s="13" t="s">
        <v>816</v>
      </c>
      <c r="FU211" s="13"/>
      <c r="FV211" s="13" t="s">
        <v>816</v>
      </c>
      <c r="FW211" s="13" t="s">
        <v>816</v>
      </c>
      <c r="FX211" s="13" t="s">
        <v>816</v>
      </c>
      <c r="FY211" s="13" t="s">
        <v>816</v>
      </c>
      <c r="FZ211" s="13" t="s">
        <v>816</v>
      </c>
      <c r="GA211" s="13" t="s">
        <v>816</v>
      </c>
      <c r="GB211" s="13" t="s">
        <v>816</v>
      </c>
      <c r="GE211" s="13" t="s">
        <v>816</v>
      </c>
      <c r="GF211" s="13" t="s">
        <v>816</v>
      </c>
      <c r="GH211" s="13" t="s">
        <v>816</v>
      </c>
    </row>
    <row r="212" spans="1:190" x14ac:dyDescent="0.2">
      <c r="A212" s="1" t="s">
        <v>367</v>
      </c>
      <c r="B212" s="1" t="s">
        <v>660</v>
      </c>
      <c r="C212" s="1" t="s">
        <v>675</v>
      </c>
      <c r="D212" s="1" t="s">
        <v>710</v>
      </c>
      <c r="E212" s="1" t="s">
        <v>129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816</v>
      </c>
      <c r="FS212" s="13" t="s">
        <v>816</v>
      </c>
      <c r="FT212" s="13" t="s">
        <v>816</v>
      </c>
      <c r="FU212" s="13"/>
      <c r="FV212" s="13" t="s">
        <v>816</v>
      </c>
      <c r="FW212" s="13" t="s">
        <v>816</v>
      </c>
      <c r="FX212" s="13" t="s">
        <v>816</v>
      </c>
      <c r="FY212" s="13" t="s">
        <v>816</v>
      </c>
      <c r="FZ212" s="13" t="s">
        <v>816</v>
      </c>
      <c r="GA212" s="13" t="s">
        <v>816</v>
      </c>
      <c r="GB212" s="13" t="s">
        <v>816</v>
      </c>
      <c r="GE212" s="13" t="s">
        <v>816</v>
      </c>
      <c r="GF212" s="13" t="s">
        <v>816</v>
      </c>
      <c r="GH212" s="13" t="s">
        <v>816</v>
      </c>
    </row>
    <row r="213" spans="1:190" x14ac:dyDescent="0.2">
      <c r="A213" s="1" t="s">
        <v>367</v>
      </c>
      <c r="B213" s="1" t="s">
        <v>660</v>
      </c>
      <c r="C213" s="1" t="s">
        <v>675</v>
      </c>
      <c r="D213" s="1" t="s">
        <v>710</v>
      </c>
      <c r="E213" s="1" t="s">
        <v>129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816</v>
      </c>
      <c r="FS213" s="13" t="s">
        <v>816</v>
      </c>
      <c r="FT213" s="13" t="s">
        <v>816</v>
      </c>
      <c r="FU213" s="13"/>
      <c r="FV213" s="13" t="s">
        <v>816</v>
      </c>
      <c r="FW213" s="13" t="s">
        <v>816</v>
      </c>
      <c r="FX213" s="13" t="s">
        <v>816</v>
      </c>
      <c r="FY213" s="13" t="s">
        <v>816</v>
      </c>
      <c r="FZ213" s="13" t="s">
        <v>816</v>
      </c>
      <c r="GA213" s="13" t="s">
        <v>816</v>
      </c>
      <c r="GB213" s="13" t="s">
        <v>816</v>
      </c>
      <c r="GE213" s="13" t="s">
        <v>816</v>
      </c>
      <c r="GF213" s="13" t="s">
        <v>816</v>
      </c>
      <c r="GH213" s="13" t="s">
        <v>816</v>
      </c>
    </row>
    <row r="214" spans="1:190" x14ac:dyDescent="0.2">
      <c r="A214" s="1" t="s">
        <v>367</v>
      </c>
      <c r="B214" s="1" t="s">
        <v>660</v>
      </c>
      <c r="C214" s="1" t="s">
        <v>675</v>
      </c>
      <c r="D214" s="1" t="s">
        <v>710</v>
      </c>
      <c r="E214" s="1" t="s">
        <v>129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816</v>
      </c>
      <c r="FS214" s="13" t="s">
        <v>816</v>
      </c>
      <c r="FT214" s="13" t="s">
        <v>816</v>
      </c>
      <c r="FU214" s="13"/>
      <c r="FV214" s="13" t="s">
        <v>816</v>
      </c>
      <c r="FW214" s="13" t="s">
        <v>816</v>
      </c>
      <c r="FX214" s="13" t="s">
        <v>816</v>
      </c>
      <c r="FY214" s="13" t="s">
        <v>816</v>
      </c>
      <c r="FZ214" s="13" t="s">
        <v>816</v>
      </c>
      <c r="GA214" s="13" t="s">
        <v>816</v>
      </c>
      <c r="GB214" s="13" t="s">
        <v>816</v>
      </c>
      <c r="GE214" s="13" t="s">
        <v>816</v>
      </c>
      <c r="GF214" s="13" t="s">
        <v>816</v>
      </c>
      <c r="GH214" s="13" t="s">
        <v>816</v>
      </c>
    </row>
    <row r="215" spans="1:190" x14ac:dyDescent="0.2">
      <c r="A215" s="1" t="s">
        <v>367</v>
      </c>
      <c r="B215" s="1" t="s">
        <v>660</v>
      </c>
      <c r="C215" s="1" t="s">
        <v>675</v>
      </c>
      <c r="D215" s="1" t="s">
        <v>710</v>
      </c>
      <c r="E215" s="1" t="s">
        <v>129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816</v>
      </c>
      <c r="FS215" s="13" t="s">
        <v>816</v>
      </c>
      <c r="FT215" s="13" t="s">
        <v>816</v>
      </c>
      <c r="FU215" s="13"/>
      <c r="FV215" s="13" t="s">
        <v>816</v>
      </c>
      <c r="FW215" s="13" t="s">
        <v>816</v>
      </c>
      <c r="FX215" s="13" t="s">
        <v>816</v>
      </c>
      <c r="FY215" s="13" t="s">
        <v>816</v>
      </c>
      <c r="FZ215" s="13" t="s">
        <v>816</v>
      </c>
      <c r="GA215" s="13" t="s">
        <v>816</v>
      </c>
      <c r="GB215" s="13" t="s">
        <v>816</v>
      </c>
      <c r="GE215" s="13" t="s">
        <v>816</v>
      </c>
      <c r="GF215" s="13" t="s">
        <v>816</v>
      </c>
      <c r="GH215" s="13" t="s">
        <v>816</v>
      </c>
    </row>
    <row r="216" spans="1:190" x14ac:dyDescent="0.2">
      <c r="A216" s="1" t="s">
        <v>367</v>
      </c>
      <c r="B216" s="1" t="s">
        <v>660</v>
      </c>
      <c r="C216" s="1" t="s">
        <v>675</v>
      </c>
      <c r="D216" s="1" t="s">
        <v>710</v>
      </c>
      <c r="E216" s="1" t="s">
        <v>129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816</v>
      </c>
      <c r="FS216" s="13" t="s">
        <v>816</v>
      </c>
      <c r="FT216" s="13" t="s">
        <v>816</v>
      </c>
      <c r="FU216" s="13"/>
      <c r="FV216" s="13" t="s">
        <v>816</v>
      </c>
      <c r="FW216" s="13" t="s">
        <v>816</v>
      </c>
      <c r="FX216" s="13" t="s">
        <v>816</v>
      </c>
      <c r="FY216" s="13" t="s">
        <v>816</v>
      </c>
      <c r="FZ216" s="13" t="s">
        <v>816</v>
      </c>
      <c r="GA216" s="13" t="s">
        <v>816</v>
      </c>
      <c r="GB216" s="13" t="s">
        <v>816</v>
      </c>
      <c r="GE216" s="13" t="s">
        <v>816</v>
      </c>
      <c r="GF216" s="13" t="s">
        <v>816</v>
      </c>
      <c r="GH216" s="13" t="s">
        <v>816</v>
      </c>
    </row>
    <row r="217" spans="1:190" x14ac:dyDescent="0.2">
      <c r="A217" s="1" t="s">
        <v>367</v>
      </c>
      <c r="B217" s="1" t="s">
        <v>660</v>
      </c>
      <c r="C217" s="1" t="s">
        <v>675</v>
      </c>
      <c r="D217" s="1" t="s">
        <v>710</v>
      </c>
      <c r="E217" s="1" t="s">
        <v>129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816</v>
      </c>
      <c r="FS217" s="13" t="s">
        <v>816</v>
      </c>
      <c r="FT217" s="13" t="s">
        <v>816</v>
      </c>
      <c r="FU217" s="13"/>
      <c r="FV217" s="13" t="s">
        <v>816</v>
      </c>
      <c r="FW217" s="13" t="s">
        <v>816</v>
      </c>
      <c r="FX217" s="13" t="s">
        <v>816</v>
      </c>
      <c r="FY217" s="13" t="s">
        <v>816</v>
      </c>
      <c r="FZ217" s="13" t="s">
        <v>816</v>
      </c>
      <c r="GA217" s="13" t="s">
        <v>816</v>
      </c>
      <c r="GB217" s="13" t="s">
        <v>816</v>
      </c>
      <c r="GE217" s="13" t="s">
        <v>816</v>
      </c>
      <c r="GF217" s="13" t="s">
        <v>816</v>
      </c>
      <c r="GH217" s="13" t="s">
        <v>816</v>
      </c>
    </row>
    <row r="218" spans="1:190" ht="12.75" customHeight="1" x14ac:dyDescent="0.2">
      <c r="A218" s="1" t="s">
        <v>213</v>
      </c>
      <c r="B218" s="1" t="s">
        <v>661</v>
      </c>
      <c r="C218" s="1" t="s">
        <v>675</v>
      </c>
      <c r="D218" s="1" t="s">
        <v>711</v>
      </c>
      <c r="E218" s="1" t="s">
        <v>129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816</v>
      </c>
      <c r="FS218" s="13" t="s">
        <v>816</v>
      </c>
      <c r="FT218" s="13" t="s">
        <v>816</v>
      </c>
      <c r="FU218" s="13"/>
      <c r="FV218" s="13" t="s">
        <v>816</v>
      </c>
      <c r="FW218" s="13" t="s">
        <v>816</v>
      </c>
      <c r="FX218" s="13" t="s">
        <v>816</v>
      </c>
      <c r="FY218" s="13" t="s">
        <v>816</v>
      </c>
      <c r="FZ218" s="13" t="s">
        <v>816</v>
      </c>
      <c r="GA218" s="13" t="s">
        <v>816</v>
      </c>
      <c r="GB218" s="13" t="s">
        <v>816</v>
      </c>
      <c r="GE218" s="13" t="s">
        <v>816</v>
      </c>
      <c r="GF218" s="13" t="s">
        <v>816</v>
      </c>
      <c r="GH218" s="13" t="s">
        <v>816</v>
      </c>
    </row>
    <row r="219" spans="1:190" ht="12.75" customHeight="1" x14ac:dyDescent="0.2">
      <c r="A219" s="1" t="s">
        <v>213</v>
      </c>
      <c r="B219" s="1" t="s">
        <v>661</v>
      </c>
      <c r="C219" s="1" t="s">
        <v>675</v>
      </c>
      <c r="D219" s="1" t="s">
        <v>711</v>
      </c>
      <c r="E219" s="1" t="s">
        <v>129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816</v>
      </c>
      <c r="FS219" s="13" t="s">
        <v>816</v>
      </c>
      <c r="FT219" s="13" t="s">
        <v>816</v>
      </c>
      <c r="FU219" s="13"/>
      <c r="FV219" s="13" t="s">
        <v>816</v>
      </c>
      <c r="FW219" s="13" t="s">
        <v>816</v>
      </c>
      <c r="FX219" s="13" t="s">
        <v>816</v>
      </c>
      <c r="FY219" s="13" t="s">
        <v>816</v>
      </c>
      <c r="FZ219" s="13" t="s">
        <v>816</v>
      </c>
      <c r="GA219" s="13" t="s">
        <v>816</v>
      </c>
      <c r="GB219" s="13" t="s">
        <v>816</v>
      </c>
      <c r="GE219" s="13" t="s">
        <v>816</v>
      </c>
      <c r="GF219" s="13" t="s">
        <v>816</v>
      </c>
      <c r="GH219" s="13" t="s">
        <v>816</v>
      </c>
    </row>
    <row r="220" spans="1:190" ht="12.75" customHeight="1" x14ac:dyDescent="0.2">
      <c r="A220" s="1" t="s">
        <v>213</v>
      </c>
      <c r="B220" s="1" t="s">
        <v>661</v>
      </c>
      <c r="C220" s="1" t="s">
        <v>675</v>
      </c>
      <c r="D220" s="1" t="s">
        <v>711</v>
      </c>
      <c r="E220" s="1" t="s">
        <v>129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816</v>
      </c>
      <c r="FS220" s="13" t="s">
        <v>816</v>
      </c>
      <c r="FT220" s="13" t="s">
        <v>816</v>
      </c>
      <c r="FU220" s="13"/>
      <c r="FV220" s="13" t="s">
        <v>816</v>
      </c>
      <c r="FW220" s="13" t="s">
        <v>816</v>
      </c>
      <c r="FX220" s="13" t="s">
        <v>816</v>
      </c>
      <c r="FY220" s="13" t="s">
        <v>816</v>
      </c>
      <c r="FZ220" s="13" t="s">
        <v>816</v>
      </c>
      <c r="GA220" s="13" t="s">
        <v>816</v>
      </c>
      <c r="GB220" s="13" t="s">
        <v>816</v>
      </c>
      <c r="GE220" s="13" t="s">
        <v>816</v>
      </c>
      <c r="GF220" s="13" t="s">
        <v>816</v>
      </c>
      <c r="GH220" s="13" t="s">
        <v>816</v>
      </c>
    </row>
    <row r="221" spans="1:190" ht="12.75" customHeight="1" x14ac:dyDescent="0.2">
      <c r="A221" s="1" t="s">
        <v>213</v>
      </c>
      <c r="B221" s="1" t="s">
        <v>661</v>
      </c>
      <c r="C221" s="1" t="s">
        <v>675</v>
      </c>
      <c r="D221" s="1" t="s">
        <v>711</v>
      </c>
      <c r="E221" s="1" t="s">
        <v>129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816</v>
      </c>
      <c r="FS221" s="13" t="s">
        <v>816</v>
      </c>
      <c r="FT221" s="13" t="s">
        <v>816</v>
      </c>
      <c r="FU221" s="13"/>
      <c r="FV221" s="13" t="s">
        <v>816</v>
      </c>
      <c r="FW221" s="13" t="s">
        <v>816</v>
      </c>
      <c r="FX221" s="13" t="s">
        <v>816</v>
      </c>
      <c r="FY221" s="13" t="s">
        <v>816</v>
      </c>
      <c r="FZ221" s="13" t="s">
        <v>816</v>
      </c>
      <c r="GA221" s="13" t="s">
        <v>816</v>
      </c>
      <c r="GB221" s="13" t="s">
        <v>816</v>
      </c>
      <c r="GE221" s="13" t="s">
        <v>816</v>
      </c>
      <c r="GF221" s="13" t="s">
        <v>816</v>
      </c>
      <c r="GH221" s="13" t="s">
        <v>816</v>
      </c>
    </row>
    <row r="222" spans="1:190" ht="12.75" customHeight="1" x14ac:dyDescent="0.2">
      <c r="A222" s="1" t="s">
        <v>213</v>
      </c>
      <c r="B222" s="1" t="s">
        <v>661</v>
      </c>
      <c r="C222" s="1" t="s">
        <v>675</v>
      </c>
      <c r="D222" s="1" t="s">
        <v>711</v>
      </c>
      <c r="E222" s="1" t="s">
        <v>129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816</v>
      </c>
      <c r="FS222" s="13" t="s">
        <v>816</v>
      </c>
      <c r="FT222" s="13" t="s">
        <v>816</v>
      </c>
      <c r="FU222" s="13"/>
      <c r="FV222" s="13" t="s">
        <v>816</v>
      </c>
      <c r="FW222" s="13" t="s">
        <v>816</v>
      </c>
      <c r="FX222" s="13" t="s">
        <v>816</v>
      </c>
      <c r="FY222" s="13" t="s">
        <v>816</v>
      </c>
      <c r="FZ222" s="13" t="s">
        <v>816</v>
      </c>
      <c r="GA222" s="13" t="s">
        <v>816</v>
      </c>
      <c r="GB222" s="13" t="s">
        <v>816</v>
      </c>
      <c r="GE222" s="13" t="s">
        <v>816</v>
      </c>
      <c r="GF222" s="13" t="s">
        <v>816</v>
      </c>
      <c r="GH222" s="13" t="s">
        <v>816</v>
      </c>
    </row>
    <row r="223" spans="1:190" ht="12.75" customHeight="1" x14ac:dyDescent="0.2">
      <c r="A223" s="1" t="s">
        <v>213</v>
      </c>
      <c r="B223" s="1" t="s">
        <v>661</v>
      </c>
      <c r="C223" s="1" t="s">
        <v>675</v>
      </c>
      <c r="D223" s="1" t="s">
        <v>711</v>
      </c>
      <c r="E223" s="1" t="s">
        <v>129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816</v>
      </c>
      <c r="FS223" s="13" t="s">
        <v>816</v>
      </c>
      <c r="FT223" s="13" t="s">
        <v>816</v>
      </c>
      <c r="FU223" s="13"/>
      <c r="FV223" s="13" t="s">
        <v>816</v>
      </c>
      <c r="FW223" s="13" t="s">
        <v>816</v>
      </c>
      <c r="FX223" s="13" t="s">
        <v>816</v>
      </c>
      <c r="FY223" s="13" t="s">
        <v>816</v>
      </c>
      <c r="FZ223" s="13" t="s">
        <v>816</v>
      </c>
      <c r="GA223" s="13" t="s">
        <v>816</v>
      </c>
      <c r="GB223" s="13" t="s">
        <v>816</v>
      </c>
      <c r="GE223" s="13" t="s">
        <v>816</v>
      </c>
      <c r="GF223" s="13" t="s">
        <v>816</v>
      </c>
      <c r="GH223" s="13" t="s">
        <v>816</v>
      </c>
    </row>
    <row r="224" spans="1:190" ht="12.75" customHeight="1" x14ac:dyDescent="0.2">
      <c r="A224" s="1" t="s">
        <v>213</v>
      </c>
      <c r="B224" s="1" t="s">
        <v>661</v>
      </c>
      <c r="C224" s="1" t="s">
        <v>675</v>
      </c>
      <c r="D224" s="1" t="s">
        <v>711</v>
      </c>
      <c r="E224" s="1" t="s">
        <v>129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816</v>
      </c>
      <c r="FS224" s="13" t="s">
        <v>816</v>
      </c>
      <c r="FT224" s="13" t="s">
        <v>816</v>
      </c>
      <c r="FU224" s="13"/>
      <c r="FV224" s="13" t="s">
        <v>816</v>
      </c>
      <c r="FW224" s="13" t="s">
        <v>816</v>
      </c>
      <c r="FX224" s="13" t="s">
        <v>816</v>
      </c>
      <c r="FY224" s="13" t="s">
        <v>816</v>
      </c>
      <c r="FZ224" s="13" t="s">
        <v>816</v>
      </c>
      <c r="GA224" s="13" t="s">
        <v>816</v>
      </c>
      <c r="GB224" s="13" t="s">
        <v>816</v>
      </c>
      <c r="GE224" s="13" t="s">
        <v>816</v>
      </c>
      <c r="GF224" s="13" t="s">
        <v>816</v>
      </c>
      <c r="GH224" s="13" t="s">
        <v>816</v>
      </c>
    </row>
    <row r="225" spans="1:190" ht="12.75" customHeight="1" x14ac:dyDescent="0.2">
      <c r="A225" s="1" t="s">
        <v>213</v>
      </c>
      <c r="B225" s="1" t="s">
        <v>661</v>
      </c>
      <c r="C225" s="1" t="s">
        <v>675</v>
      </c>
      <c r="D225" s="1" t="s">
        <v>711</v>
      </c>
      <c r="E225" s="1" t="s">
        <v>129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816</v>
      </c>
      <c r="FS225" s="13" t="s">
        <v>816</v>
      </c>
      <c r="FT225" s="13" t="s">
        <v>816</v>
      </c>
      <c r="FU225" s="13"/>
      <c r="FV225" s="13" t="s">
        <v>816</v>
      </c>
      <c r="FW225" s="13" t="s">
        <v>816</v>
      </c>
      <c r="FX225" s="13" t="s">
        <v>816</v>
      </c>
      <c r="FY225" s="13" t="s">
        <v>816</v>
      </c>
      <c r="FZ225" s="13" t="s">
        <v>816</v>
      </c>
      <c r="GA225" s="13" t="s">
        <v>816</v>
      </c>
      <c r="GB225" s="13" t="s">
        <v>816</v>
      </c>
      <c r="GE225" s="13" t="s">
        <v>816</v>
      </c>
      <c r="GF225" s="13" t="s">
        <v>816</v>
      </c>
      <c r="GH225" s="13" t="s">
        <v>816</v>
      </c>
    </row>
    <row r="226" spans="1:190" ht="12.75" customHeight="1" x14ac:dyDescent="0.2">
      <c r="A226" s="1" t="s">
        <v>367</v>
      </c>
      <c r="B226" s="1" t="s">
        <v>660</v>
      </c>
      <c r="C226" s="1" t="s">
        <v>676</v>
      </c>
      <c r="D226" s="1" t="s">
        <v>712</v>
      </c>
      <c r="E226" s="1" t="s">
        <v>129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816</v>
      </c>
      <c r="FS226" s="13" t="s">
        <v>816</v>
      </c>
      <c r="FT226" s="13" t="s">
        <v>816</v>
      </c>
      <c r="FU226" s="13"/>
      <c r="FV226" s="13" t="s">
        <v>816</v>
      </c>
      <c r="FW226" s="13" t="s">
        <v>816</v>
      </c>
      <c r="FX226" s="13" t="s">
        <v>816</v>
      </c>
      <c r="FY226" s="13" t="s">
        <v>816</v>
      </c>
      <c r="FZ226" s="13" t="s">
        <v>816</v>
      </c>
      <c r="GA226" s="13" t="s">
        <v>816</v>
      </c>
      <c r="GB226" s="13" t="s">
        <v>816</v>
      </c>
      <c r="GE226" s="13" t="s">
        <v>816</v>
      </c>
      <c r="GF226" s="13" t="s">
        <v>816</v>
      </c>
      <c r="GH226" s="13" t="s">
        <v>816</v>
      </c>
    </row>
    <row r="227" spans="1:190" ht="12.75" customHeight="1" x14ac:dyDescent="0.2">
      <c r="A227" s="1" t="s">
        <v>367</v>
      </c>
      <c r="B227" s="1" t="s">
        <v>660</v>
      </c>
      <c r="C227" s="1" t="s">
        <v>676</v>
      </c>
      <c r="D227" s="1" t="s">
        <v>712</v>
      </c>
      <c r="E227" s="1" t="s">
        <v>129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816</v>
      </c>
      <c r="FS227" s="13" t="s">
        <v>816</v>
      </c>
      <c r="FT227" s="13" t="s">
        <v>816</v>
      </c>
      <c r="FU227" s="13"/>
      <c r="FV227" s="13" t="s">
        <v>816</v>
      </c>
      <c r="FW227" s="13" t="s">
        <v>816</v>
      </c>
      <c r="FX227" s="13" t="s">
        <v>816</v>
      </c>
      <c r="FY227" s="13" t="s">
        <v>816</v>
      </c>
      <c r="FZ227" s="13" t="s">
        <v>816</v>
      </c>
      <c r="GA227" s="13" t="s">
        <v>816</v>
      </c>
      <c r="GB227" s="13" t="s">
        <v>816</v>
      </c>
      <c r="GE227" s="13" t="s">
        <v>816</v>
      </c>
      <c r="GF227" s="13" t="s">
        <v>816</v>
      </c>
      <c r="GH227" s="13" t="s">
        <v>816</v>
      </c>
    </row>
    <row r="228" spans="1:190" ht="12.75" customHeight="1" x14ac:dyDescent="0.2">
      <c r="A228" s="1" t="s">
        <v>367</v>
      </c>
      <c r="B228" s="1" t="s">
        <v>660</v>
      </c>
      <c r="C228" s="1" t="s">
        <v>676</v>
      </c>
      <c r="D228" s="1" t="s">
        <v>712</v>
      </c>
      <c r="E228" s="1" t="s">
        <v>129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816</v>
      </c>
      <c r="FS228" s="13" t="s">
        <v>816</v>
      </c>
      <c r="FT228" s="13" t="s">
        <v>816</v>
      </c>
      <c r="FU228" s="13"/>
      <c r="FV228" s="13" t="s">
        <v>816</v>
      </c>
      <c r="FW228" s="13" t="s">
        <v>816</v>
      </c>
      <c r="FX228" s="13" t="s">
        <v>816</v>
      </c>
      <c r="FY228" s="13" t="s">
        <v>816</v>
      </c>
      <c r="FZ228" s="13" t="s">
        <v>816</v>
      </c>
      <c r="GA228" s="13" t="s">
        <v>816</v>
      </c>
      <c r="GB228" s="13" t="s">
        <v>816</v>
      </c>
      <c r="GE228" s="13" t="s">
        <v>816</v>
      </c>
      <c r="GF228" s="13" t="s">
        <v>816</v>
      </c>
      <c r="GH228" s="13" t="s">
        <v>816</v>
      </c>
    </row>
    <row r="229" spans="1:190" ht="12.75" customHeight="1" x14ac:dyDescent="0.2">
      <c r="A229" s="1" t="s">
        <v>367</v>
      </c>
      <c r="B229" s="1" t="s">
        <v>660</v>
      </c>
      <c r="C229" s="1" t="s">
        <v>676</v>
      </c>
      <c r="D229" s="1" t="s">
        <v>712</v>
      </c>
      <c r="E229" s="1" t="s">
        <v>129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816</v>
      </c>
      <c r="FS229" s="13" t="s">
        <v>816</v>
      </c>
      <c r="FT229" s="13" t="s">
        <v>816</v>
      </c>
      <c r="FU229" s="13"/>
      <c r="FV229" s="13" t="s">
        <v>816</v>
      </c>
      <c r="FW229" s="13" t="s">
        <v>816</v>
      </c>
      <c r="FX229" s="13" t="s">
        <v>816</v>
      </c>
      <c r="FY229" s="13" t="s">
        <v>816</v>
      </c>
      <c r="FZ229" s="13" t="s">
        <v>816</v>
      </c>
      <c r="GA229" s="13" t="s">
        <v>816</v>
      </c>
      <c r="GB229" s="13" t="s">
        <v>816</v>
      </c>
      <c r="GE229" s="13" t="s">
        <v>816</v>
      </c>
      <c r="GF229" s="13" t="s">
        <v>816</v>
      </c>
      <c r="GH229" s="13" t="s">
        <v>816</v>
      </c>
    </row>
    <row r="230" spans="1:190" ht="12.75" customHeight="1" x14ac:dyDescent="0.2">
      <c r="A230" s="1" t="s">
        <v>367</v>
      </c>
      <c r="B230" s="1" t="s">
        <v>660</v>
      </c>
      <c r="C230" s="1" t="s">
        <v>676</v>
      </c>
      <c r="D230" s="1" t="s">
        <v>712</v>
      </c>
      <c r="E230" s="1" t="s">
        <v>129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816</v>
      </c>
      <c r="FS230" s="13" t="s">
        <v>816</v>
      </c>
      <c r="FT230" s="13" t="s">
        <v>816</v>
      </c>
      <c r="FU230" s="13"/>
      <c r="FV230" s="13" t="s">
        <v>816</v>
      </c>
      <c r="FW230" s="13" t="s">
        <v>816</v>
      </c>
      <c r="FX230" s="13" t="s">
        <v>816</v>
      </c>
      <c r="FY230" s="13" t="s">
        <v>816</v>
      </c>
      <c r="FZ230" s="13" t="s">
        <v>816</v>
      </c>
      <c r="GA230" s="13" t="s">
        <v>816</v>
      </c>
      <c r="GB230" s="13" t="s">
        <v>816</v>
      </c>
      <c r="GE230" s="13" t="s">
        <v>816</v>
      </c>
      <c r="GF230" s="13" t="s">
        <v>816</v>
      </c>
      <c r="GH230" s="13" t="s">
        <v>816</v>
      </c>
    </row>
    <row r="231" spans="1:190" ht="12.75" customHeight="1" x14ac:dyDescent="0.2">
      <c r="A231" s="1" t="s">
        <v>367</v>
      </c>
      <c r="B231" s="1" t="s">
        <v>660</v>
      </c>
      <c r="C231" s="1" t="s">
        <v>676</v>
      </c>
      <c r="D231" s="1" t="s">
        <v>712</v>
      </c>
      <c r="E231" s="1" t="s">
        <v>129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816</v>
      </c>
      <c r="FS231" s="13" t="s">
        <v>816</v>
      </c>
      <c r="FT231" s="13" t="s">
        <v>816</v>
      </c>
      <c r="FU231" s="13"/>
      <c r="FV231" s="13" t="s">
        <v>816</v>
      </c>
      <c r="FW231" s="13" t="s">
        <v>816</v>
      </c>
      <c r="FX231" s="13" t="s">
        <v>816</v>
      </c>
      <c r="FY231" s="13" t="s">
        <v>816</v>
      </c>
      <c r="FZ231" s="13" t="s">
        <v>816</v>
      </c>
      <c r="GA231" s="13" t="s">
        <v>816</v>
      </c>
      <c r="GB231" s="13" t="s">
        <v>816</v>
      </c>
      <c r="GE231" s="13" t="s">
        <v>816</v>
      </c>
      <c r="GF231" s="13" t="s">
        <v>816</v>
      </c>
      <c r="GH231" s="13" t="s">
        <v>816</v>
      </c>
    </row>
    <row r="232" spans="1:190" ht="12.75" customHeight="1" x14ac:dyDescent="0.2">
      <c r="A232" s="1" t="s">
        <v>367</v>
      </c>
      <c r="B232" s="1" t="s">
        <v>660</v>
      </c>
      <c r="C232" s="1" t="s">
        <v>676</v>
      </c>
      <c r="D232" s="1" t="s">
        <v>712</v>
      </c>
      <c r="E232" s="1" t="s">
        <v>129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816</v>
      </c>
      <c r="FS232" s="13" t="s">
        <v>816</v>
      </c>
      <c r="FT232" s="13" t="s">
        <v>816</v>
      </c>
      <c r="FU232" s="13"/>
      <c r="FV232" s="13" t="s">
        <v>816</v>
      </c>
      <c r="FW232" s="13" t="s">
        <v>816</v>
      </c>
      <c r="FX232" s="13" t="s">
        <v>816</v>
      </c>
      <c r="FY232" s="13" t="s">
        <v>816</v>
      </c>
      <c r="FZ232" s="13" t="s">
        <v>816</v>
      </c>
      <c r="GA232" s="13" t="s">
        <v>816</v>
      </c>
      <c r="GB232" s="13" t="s">
        <v>816</v>
      </c>
      <c r="GE232" s="13" t="s">
        <v>816</v>
      </c>
      <c r="GF232" s="13" t="s">
        <v>816</v>
      </c>
      <c r="GH232" s="13" t="s">
        <v>816</v>
      </c>
    </row>
    <row r="233" spans="1:190" x14ac:dyDescent="0.2">
      <c r="A233" s="1" t="s">
        <v>367</v>
      </c>
      <c r="B233" s="1" t="s">
        <v>660</v>
      </c>
      <c r="C233" s="1" t="s">
        <v>676</v>
      </c>
      <c r="D233" s="1" t="s">
        <v>712</v>
      </c>
      <c r="E233" s="1" t="s">
        <v>129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816</v>
      </c>
      <c r="FS233" s="13" t="s">
        <v>816</v>
      </c>
      <c r="FT233" s="13" t="s">
        <v>816</v>
      </c>
      <c r="FU233" s="13"/>
      <c r="FV233" s="13" t="s">
        <v>816</v>
      </c>
      <c r="FW233" s="13" t="s">
        <v>816</v>
      </c>
      <c r="FX233" s="13" t="s">
        <v>816</v>
      </c>
      <c r="FY233" s="13" t="s">
        <v>816</v>
      </c>
      <c r="FZ233" s="13" t="s">
        <v>816</v>
      </c>
      <c r="GA233" s="13" t="s">
        <v>816</v>
      </c>
      <c r="GB233" s="13" t="s">
        <v>816</v>
      </c>
      <c r="GE233" s="13" t="s">
        <v>816</v>
      </c>
      <c r="GF233" s="13" t="s">
        <v>816</v>
      </c>
      <c r="GH233" s="13" t="s">
        <v>816</v>
      </c>
    </row>
    <row r="234" spans="1:190" x14ac:dyDescent="0.2">
      <c r="A234" s="1" t="s">
        <v>213</v>
      </c>
      <c r="B234" s="1" t="s">
        <v>661</v>
      </c>
      <c r="C234" s="1" t="s">
        <v>676</v>
      </c>
      <c r="D234" s="1" t="s">
        <v>713</v>
      </c>
      <c r="E234" s="1" t="s">
        <v>129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816</v>
      </c>
      <c r="FS234" s="13" t="s">
        <v>816</v>
      </c>
      <c r="FT234" s="13" t="s">
        <v>816</v>
      </c>
      <c r="FU234" s="13"/>
      <c r="FV234" s="13" t="s">
        <v>816</v>
      </c>
      <c r="FW234" s="13" t="s">
        <v>816</v>
      </c>
      <c r="FX234" s="13" t="s">
        <v>816</v>
      </c>
      <c r="FY234" s="13" t="s">
        <v>816</v>
      </c>
      <c r="FZ234" s="13" t="s">
        <v>816</v>
      </c>
      <c r="GA234" s="13" t="s">
        <v>816</v>
      </c>
      <c r="GB234" s="13" t="s">
        <v>816</v>
      </c>
      <c r="GE234" s="13" t="s">
        <v>816</v>
      </c>
      <c r="GF234" s="13" t="s">
        <v>816</v>
      </c>
      <c r="GH234" s="13" t="s">
        <v>816</v>
      </c>
    </row>
    <row r="235" spans="1:190" x14ac:dyDescent="0.2">
      <c r="A235" s="1" t="s">
        <v>213</v>
      </c>
      <c r="B235" s="1" t="s">
        <v>661</v>
      </c>
      <c r="C235" s="1" t="s">
        <v>676</v>
      </c>
      <c r="D235" s="1" t="s">
        <v>713</v>
      </c>
      <c r="E235" s="1" t="s">
        <v>129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816</v>
      </c>
      <c r="FS235" s="13" t="s">
        <v>816</v>
      </c>
      <c r="FT235" s="13" t="s">
        <v>816</v>
      </c>
      <c r="FU235" s="13"/>
      <c r="FV235" s="13" t="s">
        <v>816</v>
      </c>
      <c r="FW235" s="13" t="s">
        <v>816</v>
      </c>
      <c r="FX235" s="13" t="s">
        <v>816</v>
      </c>
      <c r="FY235" s="13" t="s">
        <v>816</v>
      </c>
      <c r="FZ235" s="13" t="s">
        <v>816</v>
      </c>
      <c r="GA235" s="13" t="s">
        <v>816</v>
      </c>
      <c r="GB235" s="13" t="s">
        <v>816</v>
      </c>
      <c r="GE235" s="13" t="s">
        <v>816</v>
      </c>
      <c r="GF235" s="13" t="s">
        <v>816</v>
      </c>
      <c r="GH235" s="13" t="s">
        <v>816</v>
      </c>
    </row>
    <row r="236" spans="1:190" x14ac:dyDescent="0.2">
      <c r="A236" s="1" t="s">
        <v>213</v>
      </c>
      <c r="B236" s="1" t="s">
        <v>661</v>
      </c>
      <c r="C236" s="1" t="s">
        <v>676</v>
      </c>
      <c r="D236" s="1" t="s">
        <v>713</v>
      </c>
      <c r="E236" s="1" t="s">
        <v>129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816</v>
      </c>
      <c r="FS236" s="13" t="s">
        <v>816</v>
      </c>
      <c r="FT236" s="13" t="s">
        <v>816</v>
      </c>
      <c r="FU236" s="13"/>
      <c r="FV236" s="13" t="s">
        <v>816</v>
      </c>
      <c r="FW236" s="13" t="s">
        <v>816</v>
      </c>
      <c r="FX236" s="13" t="s">
        <v>816</v>
      </c>
      <c r="FY236" s="13" t="s">
        <v>816</v>
      </c>
      <c r="FZ236" s="13" t="s">
        <v>816</v>
      </c>
      <c r="GA236" s="13" t="s">
        <v>816</v>
      </c>
      <c r="GB236" s="13" t="s">
        <v>816</v>
      </c>
      <c r="GE236" s="13" t="s">
        <v>816</v>
      </c>
      <c r="GF236" s="13" t="s">
        <v>816</v>
      </c>
      <c r="GH236" s="13" t="s">
        <v>816</v>
      </c>
    </row>
    <row r="237" spans="1:190" x14ac:dyDescent="0.2">
      <c r="A237" s="1" t="s">
        <v>213</v>
      </c>
      <c r="B237" s="1" t="s">
        <v>661</v>
      </c>
      <c r="C237" s="1" t="s">
        <v>676</v>
      </c>
      <c r="D237" s="1" t="s">
        <v>713</v>
      </c>
      <c r="E237" s="1" t="s">
        <v>129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816</v>
      </c>
      <c r="FS237" s="13" t="s">
        <v>816</v>
      </c>
      <c r="FT237" s="13" t="s">
        <v>816</v>
      </c>
      <c r="FU237" s="13"/>
      <c r="FV237" s="13" t="s">
        <v>816</v>
      </c>
      <c r="FW237" s="13" t="s">
        <v>816</v>
      </c>
      <c r="FX237" s="13" t="s">
        <v>816</v>
      </c>
      <c r="FY237" s="13" t="s">
        <v>816</v>
      </c>
      <c r="FZ237" s="13" t="s">
        <v>816</v>
      </c>
      <c r="GA237" s="13" t="s">
        <v>816</v>
      </c>
      <c r="GB237" s="13" t="s">
        <v>816</v>
      </c>
      <c r="GE237" s="13" t="s">
        <v>816</v>
      </c>
      <c r="GF237" s="13" t="s">
        <v>816</v>
      </c>
      <c r="GH237" s="13" t="s">
        <v>816</v>
      </c>
    </row>
    <row r="238" spans="1:190" x14ac:dyDescent="0.2">
      <c r="A238" s="1" t="s">
        <v>213</v>
      </c>
      <c r="B238" s="1" t="s">
        <v>661</v>
      </c>
      <c r="C238" s="1" t="s">
        <v>676</v>
      </c>
      <c r="D238" s="1" t="s">
        <v>713</v>
      </c>
      <c r="E238" s="1" t="s">
        <v>129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816</v>
      </c>
      <c r="FS238" s="13" t="s">
        <v>816</v>
      </c>
      <c r="FT238" s="13" t="s">
        <v>816</v>
      </c>
      <c r="FU238" s="13"/>
      <c r="FV238" s="13" t="s">
        <v>816</v>
      </c>
      <c r="FW238" s="13" t="s">
        <v>816</v>
      </c>
      <c r="FX238" s="13" t="s">
        <v>816</v>
      </c>
      <c r="FY238" s="13" t="s">
        <v>816</v>
      </c>
      <c r="FZ238" s="13" t="s">
        <v>816</v>
      </c>
      <c r="GA238" s="13" t="s">
        <v>816</v>
      </c>
      <c r="GB238" s="13" t="s">
        <v>816</v>
      </c>
      <c r="GE238" s="13" t="s">
        <v>816</v>
      </c>
      <c r="GF238" s="13" t="s">
        <v>816</v>
      </c>
      <c r="GH238" s="13" t="s">
        <v>816</v>
      </c>
    </row>
    <row r="239" spans="1:190" x14ac:dyDescent="0.2">
      <c r="A239" s="1" t="s">
        <v>213</v>
      </c>
      <c r="B239" s="1" t="s">
        <v>661</v>
      </c>
      <c r="C239" s="1" t="s">
        <v>676</v>
      </c>
      <c r="D239" s="1" t="s">
        <v>713</v>
      </c>
      <c r="E239" s="1" t="s">
        <v>129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816</v>
      </c>
      <c r="FS239" s="13" t="s">
        <v>816</v>
      </c>
      <c r="FT239" s="13" t="s">
        <v>816</v>
      </c>
      <c r="FU239" s="13"/>
      <c r="FV239" s="13" t="s">
        <v>816</v>
      </c>
      <c r="FW239" s="13" t="s">
        <v>816</v>
      </c>
      <c r="FX239" s="13" t="s">
        <v>816</v>
      </c>
      <c r="FY239" s="13" t="s">
        <v>816</v>
      </c>
      <c r="FZ239" s="13" t="s">
        <v>816</v>
      </c>
      <c r="GA239" s="13" t="s">
        <v>816</v>
      </c>
      <c r="GB239" s="13" t="s">
        <v>816</v>
      </c>
      <c r="GE239" s="13" t="s">
        <v>816</v>
      </c>
      <c r="GF239" s="13" t="s">
        <v>816</v>
      </c>
      <c r="GH239" s="13" t="s">
        <v>816</v>
      </c>
    </row>
    <row r="240" spans="1:190" x14ac:dyDescent="0.2">
      <c r="A240" s="1" t="s">
        <v>213</v>
      </c>
      <c r="B240" s="1" t="s">
        <v>661</v>
      </c>
      <c r="C240" s="1" t="s">
        <v>676</v>
      </c>
      <c r="D240" s="1" t="s">
        <v>713</v>
      </c>
      <c r="E240" s="1" t="s">
        <v>129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816</v>
      </c>
      <c r="FS240" s="13" t="s">
        <v>816</v>
      </c>
      <c r="FT240" s="13" t="s">
        <v>816</v>
      </c>
      <c r="FU240" s="13"/>
      <c r="FV240" s="13" t="s">
        <v>816</v>
      </c>
      <c r="FW240" s="13" t="s">
        <v>816</v>
      </c>
      <c r="FX240" s="13" t="s">
        <v>816</v>
      </c>
      <c r="FY240" s="13" t="s">
        <v>816</v>
      </c>
      <c r="FZ240" s="13" t="s">
        <v>816</v>
      </c>
      <c r="GA240" s="13" t="s">
        <v>816</v>
      </c>
      <c r="GB240" s="13" t="s">
        <v>816</v>
      </c>
      <c r="GE240" s="13" t="s">
        <v>816</v>
      </c>
      <c r="GF240" s="13" t="s">
        <v>816</v>
      </c>
      <c r="GH240" s="13" t="s">
        <v>816</v>
      </c>
    </row>
    <row r="241" spans="1:190" x14ac:dyDescent="0.2">
      <c r="A241" s="1" t="s">
        <v>213</v>
      </c>
      <c r="B241" s="1" t="s">
        <v>661</v>
      </c>
      <c r="C241" s="1" t="s">
        <v>676</v>
      </c>
      <c r="D241" s="1" t="s">
        <v>713</v>
      </c>
      <c r="E241" s="1" t="s">
        <v>129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816</v>
      </c>
      <c r="FS241" s="13" t="s">
        <v>816</v>
      </c>
      <c r="FT241" s="13" t="s">
        <v>816</v>
      </c>
      <c r="FU241" s="13"/>
      <c r="FV241" s="13" t="s">
        <v>816</v>
      </c>
      <c r="FW241" s="13" t="s">
        <v>816</v>
      </c>
      <c r="FX241" s="13" t="s">
        <v>816</v>
      </c>
      <c r="FY241" s="13" t="s">
        <v>816</v>
      </c>
      <c r="FZ241" s="13" t="s">
        <v>816</v>
      </c>
      <c r="GA241" s="13" t="s">
        <v>816</v>
      </c>
      <c r="GB241" s="13" t="s">
        <v>816</v>
      </c>
      <c r="GE241" s="13" t="s">
        <v>816</v>
      </c>
      <c r="GF241" s="13" t="s">
        <v>816</v>
      </c>
      <c r="GH241" s="13" t="s">
        <v>816</v>
      </c>
    </row>
    <row r="242" spans="1:190" x14ac:dyDescent="0.2">
      <c r="A242" s="1" t="s">
        <v>664</v>
      </c>
      <c r="B242" s="1" t="s">
        <v>664</v>
      </c>
      <c r="C242" s="1" t="s">
        <v>677</v>
      </c>
      <c r="D242" s="1" t="s">
        <v>714</v>
      </c>
      <c r="E242" s="1" t="s">
        <v>130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816</v>
      </c>
      <c r="FS242" s="13" t="s">
        <v>816</v>
      </c>
      <c r="FT242" s="13" t="s">
        <v>816</v>
      </c>
      <c r="FU242" s="13"/>
      <c r="FV242" s="13" t="s">
        <v>816</v>
      </c>
      <c r="FW242" s="13" t="s">
        <v>816</v>
      </c>
      <c r="FX242" s="13" t="s">
        <v>816</v>
      </c>
      <c r="FY242" s="13" t="s">
        <v>816</v>
      </c>
      <c r="FZ242" s="13" t="s">
        <v>816</v>
      </c>
      <c r="GA242" s="13" t="s">
        <v>816</v>
      </c>
      <c r="GB242" s="13" t="s">
        <v>816</v>
      </c>
      <c r="GE242" s="13" t="s">
        <v>816</v>
      </c>
      <c r="GF242" s="13" t="s">
        <v>816</v>
      </c>
      <c r="GH242" s="13" t="s">
        <v>816</v>
      </c>
    </row>
    <row r="243" spans="1:190" x14ac:dyDescent="0.2">
      <c r="A243" s="1" t="s">
        <v>664</v>
      </c>
      <c r="B243" s="1" t="s">
        <v>664</v>
      </c>
      <c r="C243" s="1" t="s">
        <v>677</v>
      </c>
      <c r="D243" s="1" t="s">
        <v>714</v>
      </c>
      <c r="E243" s="1" t="s">
        <v>130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816</v>
      </c>
      <c r="FS243" s="13" t="s">
        <v>816</v>
      </c>
      <c r="FT243" s="13" t="s">
        <v>816</v>
      </c>
      <c r="FU243" s="13"/>
      <c r="FV243" s="13" t="s">
        <v>816</v>
      </c>
      <c r="FW243" s="13" t="s">
        <v>816</v>
      </c>
      <c r="FX243" s="13" t="s">
        <v>816</v>
      </c>
      <c r="FY243" s="13" t="s">
        <v>816</v>
      </c>
      <c r="FZ243" s="13" t="s">
        <v>816</v>
      </c>
      <c r="GA243" s="13" t="s">
        <v>816</v>
      </c>
      <c r="GB243" s="13" t="s">
        <v>816</v>
      </c>
      <c r="GE243" s="13" t="s">
        <v>816</v>
      </c>
      <c r="GF243" s="13" t="s">
        <v>816</v>
      </c>
      <c r="GH243" s="13" t="s">
        <v>816</v>
      </c>
    </row>
    <row r="244" spans="1:190" x14ac:dyDescent="0.2">
      <c r="A244" s="1" t="s">
        <v>664</v>
      </c>
      <c r="B244" s="1" t="s">
        <v>664</v>
      </c>
      <c r="C244" s="1" t="s">
        <v>677</v>
      </c>
      <c r="D244" s="1" t="s">
        <v>714</v>
      </c>
      <c r="E244" s="1" t="s">
        <v>130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816</v>
      </c>
      <c r="FS244" s="13" t="s">
        <v>816</v>
      </c>
      <c r="FT244" s="13" t="s">
        <v>816</v>
      </c>
      <c r="FU244" s="13"/>
      <c r="FV244" s="13" t="s">
        <v>816</v>
      </c>
      <c r="FW244" s="13" t="s">
        <v>816</v>
      </c>
      <c r="FX244" s="13" t="s">
        <v>816</v>
      </c>
      <c r="FY244" s="13" t="s">
        <v>816</v>
      </c>
      <c r="FZ244" s="13" t="s">
        <v>816</v>
      </c>
      <c r="GA244" s="13" t="s">
        <v>816</v>
      </c>
      <c r="GB244" s="13" t="s">
        <v>816</v>
      </c>
      <c r="GE244" s="13" t="s">
        <v>816</v>
      </c>
      <c r="GF244" s="13" t="s">
        <v>816</v>
      </c>
      <c r="GH244" s="13" t="s">
        <v>816</v>
      </c>
    </row>
    <row r="245" spans="1:190" x14ac:dyDescent="0.2">
      <c r="A245" s="1" t="s">
        <v>664</v>
      </c>
      <c r="B245" s="1" t="s">
        <v>664</v>
      </c>
      <c r="C245" s="1" t="s">
        <v>677</v>
      </c>
      <c r="D245" s="1" t="s">
        <v>714</v>
      </c>
      <c r="E245" s="1" t="s">
        <v>130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816</v>
      </c>
      <c r="FS245" s="13" t="s">
        <v>816</v>
      </c>
      <c r="FT245" s="13" t="s">
        <v>816</v>
      </c>
      <c r="FU245" s="13"/>
      <c r="FV245" s="13" t="s">
        <v>816</v>
      </c>
      <c r="FW245" s="13" t="s">
        <v>816</v>
      </c>
      <c r="FX245" s="13" t="s">
        <v>816</v>
      </c>
      <c r="FY245" s="13" t="s">
        <v>816</v>
      </c>
      <c r="FZ245" s="13" t="s">
        <v>816</v>
      </c>
      <c r="GA245" s="13" t="s">
        <v>816</v>
      </c>
      <c r="GB245" s="13" t="s">
        <v>816</v>
      </c>
      <c r="GE245" s="13" t="s">
        <v>816</v>
      </c>
      <c r="GF245" s="13" t="s">
        <v>816</v>
      </c>
      <c r="GH245" s="13" t="s">
        <v>816</v>
      </c>
    </row>
    <row r="246" spans="1:190" x14ac:dyDescent="0.2">
      <c r="A246" s="1" t="s">
        <v>664</v>
      </c>
      <c r="B246" s="1" t="s">
        <v>664</v>
      </c>
      <c r="C246" s="1" t="s">
        <v>677</v>
      </c>
      <c r="D246" s="1" t="s">
        <v>714</v>
      </c>
      <c r="E246" s="1" t="s">
        <v>130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816</v>
      </c>
      <c r="FS246" s="13" t="s">
        <v>816</v>
      </c>
      <c r="FT246" s="13" t="s">
        <v>816</v>
      </c>
      <c r="FU246" s="13"/>
      <c r="FV246" s="13" t="s">
        <v>816</v>
      </c>
      <c r="FW246" s="13" t="s">
        <v>816</v>
      </c>
      <c r="FX246" s="13" t="s">
        <v>816</v>
      </c>
      <c r="FY246" s="13" t="s">
        <v>816</v>
      </c>
      <c r="FZ246" s="13" t="s">
        <v>816</v>
      </c>
      <c r="GA246" s="13" t="s">
        <v>816</v>
      </c>
      <c r="GB246" s="13" t="s">
        <v>816</v>
      </c>
      <c r="GE246" s="13" t="s">
        <v>816</v>
      </c>
      <c r="GF246" s="13" t="s">
        <v>816</v>
      </c>
      <c r="GH246" s="13" t="s">
        <v>816</v>
      </c>
    </row>
    <row r="247" spans="1:190" x14ac:dyDescent="0.2">
      <c r="A247" s="1" t="s">
        <v>664</v>
      </c>
      <c r="B247" s="1" t="s">
        <v>664</v>
      </c>
      <c r="C247" s="1" t="s">
        <v>677</v>
      </c>
      <c r="D247" s="1" t="s">
        <v>714</v>
      </c>
      <c r="E247" s="1" t="s">
        <v>130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816</v>
      </c>
      <c r="FS247" s="13" t="s">
        <v>816</v>
      </c>
      <c r="FT247" s="13" t="s">
        <v>816</v>
      </c>
      <c r="FU247" s="13"/>
      <c r="FV247" s="13" t="s">
        <v>816</v>
      </c>
      <c r="FW247" s="13" t="s">
        <v>816</v>
      </c>
      <c r="FX247" s="13" t="s">
        <v>816</v>
      </c>
      <c r="FY247" s="13" t="s">
        <v>816</v>
      </c>
      <c r="FZ247" s="13" t="s">
        <v>816</v>
      </c>
      <c r="GA247" s="13" t="s">
        <v>816</v>
      </c>
      <c r="GB247" s="13" t="s">
        <v>816</v>
      </c>
      <c r="GE247" s="13" t="s">
        <v>816</v>
      </c>
      <c r="GF247" s="13" t="s">
        <v>816</v>
      </c>
      <c r="GH247" s="13" t="s">
        <v>816</v>
      </c>
    </row>
    <row r="248" spans="1:190" x14ac:dyDescent="0.2">
      <c r="A248" s="1" t="s">
        <v>664</v>
      </c>
      <c r="B248" s="1" t="s">
        <v>664</v>
      </c>
      <c r="C248" s="1" t="s">
        <v>677</v>
      </c>
      <c r="D248" s="1" t="s">
        <v>714</v>
      </c>
      <c r="E248" s="1" t="s">
        <v>130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816</v>
      </c>
      <c r="FS248" s="13" t="s">
        <v>816</v>
      </c>
      <c r="FT248" s="13" t="s">
        <v>816</v>
      </c>
      <c r="FU248" s="13"/>
      <c r="FV248" s="13" t="s">
        <v>816</v>
      </c>
      <c r="FW248" s="13" t="s">
        <v>816</v>
      </c>
      <c r="FX248" s="13" t="s">
        <v>816</v>
      </c>
      <c r="FY248" s="13" t="s">
        <v>816</v>
      </c>
      <c r="FZ248" s="13" t="s">
        <v>816</v>
      </c>
      <c r="GA248" s="13" t="s">
        <v>816</v>
      </c>
      <c r="GB248" s="13" t="s">
        <v>816</v>
      </c>
      <c r="GE248" s="13" t="s">
        <v>816</v>
      </c>
      <c r="GF248" s="13" t="s">
        <v>816</v>
      </c>
      <c r="GH248" s="13" t="s">
        <v>816</v>
      </c>
    </row>
    <row r="249" spans="1:190" x14ac:dyDescent="0.2">
      <c r="A249" s="1" t="s">
        <v>664</v>
      </c>
      <c r="B249" s="1" t="s">
        <v>664</v>
      </c>
      <c r="C249" s="1" t="s">
        <v>677</v>
      </c>
      <c r="D249" s="1" t="s">
        <v>714</v>
      </c>
      <c r="E249" s="1" t="s">
        <v>130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816</v>
      </c>
      <c r="FS249" s="13" t="s">
        <v>816</v>
      </c>
      <c r="FT249" s="13" t="s">
        <v>816</v>
      </c>
      <c r="FU249" s="13"/>
      <c r="FV249" s="13" t="s">
        <v>816</v>
      </c>
      <c r="FW249" s="13" t="s">
        <v>816</v>
      </c>
      <c r="FX249" s="13" t="s">
        <v>816</v>
      </c>
      <c r="FY249" s="13" t="s">
        <v>816</v>
      </c>
      <c r="FZ249" s="13" t="s">
        <v>816</v>
      </c>
      <c r="GA249" s="13" t="s">
        <v>816</v>
      </c>
      <c r="GB249" s="13" t="s">
        <v>816</v>
      </c>
      <c r="GE249" s="13" t="s">
        <v>816</v>
      </c>
      <c r="GF249" s="13" t="s">
        <v>816</v>
      </c>
      <c r="GH249" s="13" t="s">
        <v>816</v>
      </c>
    </row>
    <row r="250" spans="1:190" x14ac:dyDescent="0.2">
      <c r="A250" s="1" t="s">
        <v>379</v>
      </c>
      <c r="B250" s="1" t="s">
        <v>752</v>
      </c>
      <c r="C250" s="1" t="s">
        <v>678</v>
      </c>
      <c r="D250" s="1" t="s">
        <v>720</v>
      </c>
      <c r="E250" s="1" t="s">
        <v>130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816</v>
      </c>
      <c r="FS250" s="13" t="s">
        <v>816</v>
      </c>
      <c r="FT250" s="13" t="s">
        <v>816</v>
      </c>
      <c r="FU250" s="13"/>
      <c r="FV250" s="13" t="s">
        <v>816</v>
      </c>
      <c r="FW250" s="13" t="s">
        <v>816</v>
      </c>
      <c r="FX250" s="13" t="s">
        <v>816</v>
      </c>
      <c r="FY250" s="13" t="s">
        <v>816</v>
      </c>
      <c r="FZ250" s="13" t="s">
        <v>816</v>
      </c>
      <c r="GA250" s="13" t="s">
        <v>816</v>
      </c>
      <c r="GB250" s="13" t="s">
        <v>816</v>
      </c>
      <c r="GE250" s="13" t="s">
        <v>816</v>
      </c>
      <c r="GF250" s="13" t="s">
        <v>816</v>
      </c>
      <c r="GH250" s="13" t="s">
        <v>816</v>
      </c>
    </row>
    <row r="251" spans="1:190" x14ac:dyDescent="0.2">
      <c r="A251" s="1" t="s">
        <v>379</v>
      </c>
      <c r="B251" s="1" t="s">
        <v>752</v>
      </c>
      <c r="C251" s="1" t="s">
        <v>678</v>
      </c>
      <c r="D251" s="1" t="s">
        <v>720</v>
      </c>
      <c r="E251" s="1" t="s">
        <v>130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816</v>
      </c>
      <c r="FS251" s="13" t="s">
        <v>816</v>
      </c>
      <c r="FT251" s="13" t="s">
        <v>816</v>
      </c>
      <c r="FU251" s="13"/>
      <c r="FV251" s="13" t="s">
        <v>816</v>
      </c>
      <c r="FW251" s="13" t="s">
        <v>816</v>
      </c>
      <c r="FX251" s="13" t="s">
        <v>816</v>
      </c>
      <c r="FY251" s="13" t="s">
        <v>816</v>
      </c>
      <c r="FZ251" s="13" t="s">
        <v>816</v>
      </c>
      <c r="GA251" s="13" t="s">
        <v>816</v>
      </c>
      <c r="GB251" s="13" t="s">
        <v>816</v>
      </c>
      <c r="GE251" s="13" t="s">
        <v>816</v>
      </c>
      <c r="GF251" s="13" t="s">
        <v>816</v>
      </c>
      <c r="GH251" s="13" t="s">
        <v>816</v>
      </c>
    </row>
    <row r="252" spans="1:190" x14ac:dyDescent="0.2">
      <c r="A252" s="1" t="s">
        <v>379</v>
      </c>
      <c r="B252" s="1" t="s">
        <v>752</v>
      </c>
      <c r="C252" s="1" t="s">
        <v>678</v>
      </c>
      <c r="D252" s="1" t="s">
        <v>720</v>
      </c>
      <c r="E252" s="1" t="s">
        <v>130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816</v>
      </c>
      <c r="FS252" s="13" t="s">
        <v>816</v>
      </c>
      <c r="FT252" s="13" t="s">
        <v>816</v>
      </c>
      <c r="FU252" s="13"/>
      <c r="FV252" s="13" t="s">
        <v>816</v>
      </c>
      <c r="FW252" s="13" t="s">
        <v>816</v>
      </c>
      <c r="FX252" s="13" t="s">
        <v>816</v>
      </c>
      <c r="FY252" s="13" t="s">
        <v>816</v>
      </c>
      <c r="FZ252" s="13" t="s">
        <v>816</v>
      </c>
      <c r="GA252" s="13" t="s">
        <v>816</v>
      </c>
      <c r="GB252" s="13" t="s">
        <v>816</v>
      </c>
      <c r="GE252" s="13" t="s">
        <v>816</v>
      </c>
      <c r="GF252" s="13" t="s">
        <v>816</v>
      </c>
      <c r="GH252" s="13" t="s">
        <v>816</v>
      </c>
    </row>
    <row r="253" spans="1:190" x14ac:dyDescent="0.2">
      <c r="A253" s="1" t="s">
        <v>379</v>
      </c>
      <c r="B253" s="1" t="s">
        <v>752</v>
      </c>
      <c r="C253" s="1" t="s">
        <v>678</v>
      </c>
      <c r="D253" s="1" t="s">
        <v>720</v>
      </c>
      <c r="E253" s="1" t="s">
        <v>130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816</v>
      </c>
      <c r="FS253" s="13" t="s">
        <v>816</v>
      </c>
      <c r="FT253" s="13" t="s">
        <v>816</v>
      </c>
      <c r="FU253" s="13"/>
      <c r="FV253" s="13" t="s">
        <v>816</v>
      </c>
      <c r="FW253" s="13" t="s">
        <v>816</v>
      </c>
      <c r="FX253" s="13" t="s">
        <v>816</v>
      </c>
      <c r="FY253" s="13" t="s">
        <v>816</v>
      </c>
      <c r="FZ253" s="13" t="s">
        <v>816</v>
      </c>
      <c r="GA253" s="13" t="s">
        <v>816</v>
      </c>
      <c r="GB253" s="13" t="s">
        <v>816</v>
      </c>
      <c r="GE253" s="13" t="s">
        <v>816</v>
      </c>
      <c r="GF253" s="13" t="s">
        <v>816</v>
      </c>
      <c r="GH253" s="13" t="s">
        <v>816</v>
      </c>
    </row>
    <row r="254" spans="1:190" x14ac:dyDescent="0.2">
      <c r="A254" s="1" t="s">
        <v>379</v>
      </c>
      <c r="B254" s="1" t="s">
        <v>752</v>
      </c>
      <c r="C254" s="1" t="s">
        <v>678</v>
      </c>
      <c r="D254" s="1" t="s">
        <v>720</v>
      </c>
      <c r="E254" s="1" t="s">
        <v>130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816</v>
      </c>
      <c r="FS254" s="13" t="s">
        <v>816</v>
      </c>
      <c r="FT254" s="13" t="s">
        <v>816</v>
      </c>
      <c r="FU254" s="13"/>
      <c r="FV254" s="13" t="s">
        <v>816</v>
      </c>
      <c r="FW254" s="13" t="s">
        <v>816</v>
      </c>
      <c r="FX254" s="13" t="s">
        <v>816</v>
      </c>
      <c r="FY254" s="13" t="s">
        <v>816</v>
      </c>
      <c r="FZ254" s="13" t="s">
        <v>816</v>
      </c>
      <c r="GA254" s="13" t="s">
        <v>816</v>
      </c>
      <c r="GB254" s="13" t="s">
        <v>816</v>
      </c>
      <c r="GE254" s="13" t="s">
        <v>816</v>
      </c>
      <c r="GF254" s="13" t="s">
        <v>816</v>
      </c>
      <c r="GH254" s="13" t="s">
        <v>816</v>
      </c>
    </row>
    <row r="255" spans="1:190" x14ac:dyDescent="0.2">
      <c r="A255" s="1" t="s">
        <v>379</v>
      </c>
      <c r="B255" s="1" t="s">
        <v>752</v>
      </c>
      <c r="C255" s="1" t="s">
        <v>678</v>
      </c>
      <c r="D255" s="1" t="s">
        <v>720</v>
      </c>
      <c r="E255" s="1" t="s">
        <v>130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816</v>
      </c>
      <c r="FS255" s="13" t="s">
        <v>816</v>
      </c>
      <c r="FT255" s="13" t="s">
        <v>816</v>
      </c>
      <c r="FU255" s="13"/>
      <c r="FV255" s="13" t="s">
        <v>816</v>
      </c>
      <c r="FW255" s="13" t="s">
        <v>816</v>
      </c>
      <c r="FX255" s="13" t="s">
        <v>816</v>
      </c>
      <c r="FY255" s="13" t="s">
        <v>816</v>
      </c>
      <c r="FZ255" s="13" t="s">
        <v>816</v>
      </c>
      <c r="GA255" s="13" t="s">
        <v>816</v>
      </c>
      <c r="GB255" s="13" t="s">
        <v>816</v>
      </c>
      <c r="GE255" s="13" t="s">
        <v>816</v>
      </c>
      <c r="GF255" s="13" t="s">
        <v>816</v>
      </c>
      <c r="GH255" s="13" t="s">
        <v>816</v>
      </c>
    </row>
    <row r="256" spans="1:190" x14ac:dyDescent="0.2">
      <c r="A256" s="1" t="s">
        <v>379</v>
      </c>
      <c r="B256" s="1" t="s">
        <v>752</v>
      </c>
      <c r="C256" s="1" t="s">
        <v>678</v>
      </c>
      <c r="D256" s="1" t="s">
        <v>720</v>
      </c>
      <c r="E256" s="1" t="s">
        <v>130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816</v>
      </c>
      <c r="FS256" s="13" t="s">
        <v>816</v>
      </c>
      <c r="FT256" s="13" t="s">
        <v>816</v>
      </c>
      <c r="FU256" s="13"/>
      <c r="FV256" s="13" t="s">
        <v>816</v>
      </c>
      <c r="FW256" s="13" t="s">
        <v>816</v>
      </c>
      <c r="FX256" s="13" t="s">
        <v>816</v>
      </c>
      <c r="FY256" s="13" t="s">
        <v>816</v>
      </c>
      <c r="FZ256" s="13" t="s">
        <v>816</v>
      </c>
      <c r="GA256" s="13" t="s">
        <v>816</v>
      </c>
      <c r="GB256" s="13" t="s">
        <v>816</v>
      </c>
      <c r="GE256" s="13" t="s">
        <v>816</v>
      </c>
      <c r="GF256" s="13" t="s">
        <v>816</v>
      </c>
      <c r="GH256" s="13" t="s">
        <v>816</v>
      </c>
    </row>
    <row r="257" spans="1:190" x14ac:dyDescent="0.2">
      <c r="A257" s="1" t="s">
        <v>379</v>
      </c>
      <c r="B257" s="1" t="s">
        <v>752</v>
      </c>
      <c r="C257" s="1" t="s">
        <v>678</v>
      </c>
      <c r="D257" s="1" t="s">
        <v>720</v>
      </c>
      <c r="E257" s="1" t="s">
        <v>130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816</v>
      </c>
      <c r="FS257" s="13" t="s">
        <v>816</v>
      </c>
      <c r="FT257" s="13" t="s">
        <v>816</v>
      </c>
      <c r="FU257" s="13"/>
      <c r="FV257" s="13" t="s">
        <v>816</v>
      </c>
      <c r="FW257" s="13" t="s">
        <v>816</v>
      </c>
      <c r="FX257" s="13" t="s">
        <v>816</v>
      </c>
      <c r="FY257" s="13" t="s">
        <v>816</v>
      </c>
      <c r="FZ257" s="13" t="s">
        <v>816</v>
      </c>
      <c r="GA257" s="13" t="s">
        <v>816</v>
      </c>
      <c r="GB257" s="13" t="s">
        <v>816</v>
      </c>
      <c r="GE257" s="13" t="s">
        <v>816</v>
      </c>
      <c r="GF257" s="13" t="s">
        <v>816</v>
      </c>
      <c r="GH257" s="13" t="s">
        <v>816</v>
      </c>
    </row>
    <row r="258" spans="1:190" ht="12.75" customHeight="1" x14ac:dyDescent="0.2">
      <c r="A258" s="1" t="s">
        <v>141</v>
      </c>
      <c r="B258" s="1" t="s">
        <v>753</v>
      </c>
      <c r="C258" s="1" t="s">
        <v>814</v>
      </c>
      <c r="D258" s="1" t="s">
        <v>688</v>
      </c>
      <c r="E258" s="1" t="s">
        <v>142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816</v>
      </c>
      <c r="FS258" s="13" t="s">
        <v>816</v>
      </c>
      <c r="FT258" s="13" t="s">
        <v>816</v>
      </c>
      <c r="FU258" s="13"/>
      <c r="FV258" s="13" t="s">
        <v>816</v>
      </c>
      <c r="FW258" s="13" t="s">
        <v>816</v>
      </c>
      <c r="FX258" s="13" t="s">
        <v>816</v>
      </c>
      <c r="FY258" s="13" t="s">
        <v>816</v>
      </c>
      <c r="FZ258" s="13" t="s">
        <v>816</v>
      </c>
      <c r="GA258" s="13" t="s">
        <v>816</v>
      </c>
      <c r="GB258" s="13" t="s">
        <v>816</v>
      </c>
      <c r="GE258" s="13" t="s">
        <v>816</v>
      </c>
      <c r="GF258" s="13" t="s">
        <v>816</v>
      </c>
      <c r="GH258" s="13" t="s">
        <v>816</v>
      </c>
    </row>
    <row r="259" spans="1:190" ht="12.75" customHeight="1" x14ac:dyDescent="0.2">
      <c r="A259" s="1" t="s">
        <v>141</v>
      </c>
      <c r="B259" s="1" t="s">
        <v>753</v>
      </c>
      <c r="C259" s="1" t="s">
        <v>814</v>
      </c>
      <c r="D259" s="1" t="s">
        <v>688</v>
      </c>
      <c r="E259" s="1" t="s">
        <v>142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816</v>
      </c>
      <c r="FS259" s="13" t="s">
        <v>816</v>
      </c>
      <c r="FT259" s="13" t="s">
        <v>816</v>
      </c>
      <c r="FU259" s="13"/>
      <c r="FV259" s="13" t="s">
        <v>816</v>
      </c>
      <c r="FW259" s="13" t="s">
        <v>816</v>
      </c>
      <c r="FX259" s="13" t="s">
        <v>816</v>
      </c>
      <c r="FY259" s="13" t="s">
        <v>816</v>
      </c>
      <c r="FZ259" s="13" t="s">
        <v>816</v>
      </c>
      <c r="GA259" s="13" t="s">
        <v>816</v>
      </c>
      <c r="GB259" s="13" t="s">
        <v>816</v>
      </c>
      <c r="GE259" s="13" t="s">
        <v>816</v>
      </c>
      <c r="GF259" s="13" t="s">
        <v>816</v>
      </c>
      <c r="GH259" s="13" t="s">
        <v>816</v>
      </c>
    </row>
    <row r="260" spans="1:190" ht="12.75" customHeight="1" x14ac:dyDescent="0.2">
      <c r="A260" s="1" t="s">
        <v>141</v>
      </c>
      <c r="B260" s="1" t="s">
        <v>753</v>
      </c>
      <c r="C260" s="1" t="s">
        <v>814</v>
      </c>
      <c r="D260" s="1" t="s">
        <v>688</v>
      </c>
      <c r="E260" s="1" t="s">
        <v>142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816</v>
      </c>
      <c r="FS260" s="13" t="s">
        <v>816</v>
      </c>
      <c r="FT260" s="13" t="s">
        <v>816</v>
      </c>
      <c r="FU260" s="13"/>
      <c r="FV260" s="13" t="s">
        <v>816</v>
      </c>
      <c r="FW260" s="13" t="s">
        <v>816</v>
      </c>
      <c r="FX260" s="13" t="s">
        <v>816</v>
      </c>
      <c r="FY260" s="13" t="s">
        <v>816</v>
      </c>
      <c r="FZ260" s="13" t="s">
        <v>816</v>
      </c>
      <c r="GA260" s="13" t="s">
        <v>816</v>
      </c>
      <c r="GB260" s="13" t="s">
        <v>816</v>
      </c>
      <c r="GE260" s="13" t="s">
        <v>816</v>
      </c>
      <c r="GF260" s="13" t="s">
        <v>816</v>
      </c>
      <c r="GH260" s="13" t="s">
        <v>816</v>
      </c>
    </row>
    <row r="261" spans="1:190" ht="12.75" customHeight="1" x14ac:dyDescent="0.2">
      <c r="A261" s="1" t="s">
        <v>141</v>
      </c>
      <c r="B261" s="1" t="s">
        <v>753</v>
      </c>
      <c r="C261" s="1" t="s">
        <v>814</v>
      </c>
      <c r="D261" s="1" t="s">
        <v>688</v>
      </c>
      <c r="E261" s="1" t="s">
        <v>142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816</v>
      </c>
      <c r="FS261" s="13" t="s">
        <v>816</v>
      </c>
      <c r="FT261" s="13" t="s">
        <v>816</v>
      </c>
      <c r="FU261" s="13"/>
      <c r="FV261" s="13" t="s">
        <v>816</v>
      </c>
      <c r="FW261" s="13" t="s">
        <v>816</v>
      </c>
      <c r="FX261" s="13" t="s">
        <v>816</v>
      </c>
      <c r="FY261" s="13" t="s">
        <v>816</v>
      </c>
      <c r="FZ261" s="13" t="s">
        <v>816</v>
      </c>
      <c r="GA261" s="13" t="s">
        <v>816</v>
      </c>
      <c r="GB261" s="13" t="s">
        <v>816</v>
      </c>
      <c r="GE261" s="13" t="s">
        <v>816</v>
      </c>
      <c r="GF261" s="13" t="s">
        <v>816</v>
      </c>
      <c r="GH261" s="13" t="s">
        <v>816</v>
      </c>
    </row>
    <row r="262" spans="1:190" ht="12.75" customHeight="1" x14ac:dyDescent="0.2">
      <c r="A262" s="1" t="s">
        <v>141</v>
      </c>
      <c r="B262" s="1" t="s">
        <v>753</v>
      </c>
      <c r="C262" s="1" t="s">
        <v>814</v>
      </c>
      <c r="D262" s="1" t="s">
        <v>688</v>
      </c>
      <c r="E262" s="1" t="s">
        <v>142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816</v>
      </c>
      <c r="FS262" s="13" t="s">
        <v>816</v>
      </c>
      <c r="FT262" s="13" t="s">
        <v>816</v>
      </c>
      <c r="FU262" s="13"/>
      <c r="FV262" s="13" t="s">
        <v>816</v>
      </c>
      <c r="FW262" s="13" t="s">
        <v>816</v>
      </c>
      <c r="FX262" s="13" t="s">
        <v>816</v>
      </c>
      <c r="FY262" s="13" t="s">
        <v>816</v>
      </c>
      <c r="FZ262" s="13" t="s">
        <v>816</v>
      </c>
      <c r="GA262" s="13" t="s">
        <v>816</v>
      </c>
      <c r="GB262" s="13" t="s">
        <v>816</v>
      </c>
      <c r="GE262" s="13" t="s">
        <v>816</v>
      </c>
      <c r="GF262" s="13" t="s">
        <v>816</v>
      </c>
      <c r="GH262" s="13" t="s">
        <v>816</v>
      </c>
    </row>
    <row r="263" spans="1:190" ht="12.75" customHeight="1" x14ac:dyDescent="0.2">
      <c r="A263" s="1" t="s">
        <v>141</v>
      </c>
      <c r="B263" s="1" t="s">
        <v>753</v>
      </c>
      <c r="C263" s="1" t="s">
        <v>814</v>
      </c>
      <c r="D263" s="1" t="s">
        <v>688</v>
      </c>
      <c r="E263" s="1" t="s">
        <v>142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816</v>
      </c>
      <c r="FS263" s="13" t="s">
        <v>816</v>
      </c>
      <c r="FT263" s="13" t="s">
        <v>816</v>
      </c>
      <c r="FU263" s="13"/>
      <c r="FV263" s="13" t="s">
        <v>816</v>
      </c>
      <c r="FW263" s="13" t="s">
        <v>816</v>
      </c>
      <c r="FX263" s="13" t="s">
        <v>816</v>
      </c>
      <c r="FY263" s="13" t="s">
        <v>816</v>
      </c>
      <c r="FZ263" s="13" t="s">
        <v>816</v>
      </c>
      <c r="GA263" s="13" t="s">
        <v>816</v>
      </c>
      <c r="GB263" s="13" t="s">
        <v>816</v>
      </c>
      <c r="GE263" s="13" t="s">
        <v>816</v>
      </c>
      <c r="GF263" s="13" t="s">
        <v>816</v>
      </c>
      <c r="GH263" s="13" t="s">
        <v>816</v>
      </c>
    </row>
    <row r="264" spans="1:190" ht="12.75" customHeight="1" x14ac:dyDescent="0.2">
      <c r="A264" s="1" t="s">
        <v>141</v>
      </c>
      <c r="B264" s="1" t="s">
        <v>753</v>
      </c>
      <c r="C264" s="1" t="s">
        <v>814</v>
      </c>
      <c r="D264" s="1" t="s">
        <v>688</v>
      </c>
      <c r="E264" s="1" t="s">
        <v>142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816</v>
      </c>
      <c r="FS264" s="13" t="s">
        <v>816</v>
      </c>
      <c r="FT264" s="13" t="s">
        <v>816</v>
      </c>
      <c r="FU264" s="13"/>
      <c r="FV264" s="13" t="s">
        <v>816</v>
      </c>
      <c r="FW264" s="13" t="s">
        <v>816</v>
      </c>
      <c r="FX264" s="13" t="s">
        <v>816</v>
      </c>
      <c r="FY264" s="13" t="s">
        <v>816</v>
      </c>
      <c r="FZ264" s="13" t="s">
        <v>816</v>
      </c>
      <c r="GA264" s="13" t="s">
        <v>816</v>
      </c>
      <c r="GB264" s="13" t="s">
        <v>816</v>
      </c>
      <c r="GE264" s="13" t="s">
        <v>816</v>
      </c>
      <c r="GF264" s="13" t="s">
        <v>816</v>
      </c>
      <c r="GH264" s="13" t="s">
        <v>816</v>
      </c>
    </row>
    <row r="265" spans="1:190" ht="12.75" customHeight="1" x14ac:dyDescent="0.2">
      <c r="A265" s="1" t="s">
        <v>141</v>
      </c>
      <c r="B265" s="1" t="s">
        <v>753</v>
      </c>
      <c r="C265" s="1" t="s">
        <v>814</v>
      </c>
      <c r="D265" s="1" t="s">
        <v>688</v>
      </c>
      <c r="E265" s="1" t="s">
        <v>142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816</v>
      </c>
      <c r="FS265" s="13" t="s">
        <v>816</v>
      </c>
      <c r="FT265" s="13" t="s">
        <v>816</v>
      </c>
      <c r="FU265" s="13"/>
      <c r="FV265" s="13" t="s">
        <v>816</v>
      </c>
      <c r="FW265" s="13" t="s">
        <v>816</v>
      </c>
      <c r="FX265" s="13" t="s">
        <v>816</v>
      </c>
      <c r="FY265" s="13" t="s">
        <v>816</v>
      </c>
      <c r="FZ265" s="13" t="s">
        <v>816</v>
      </c>
      <c r="GA265" s="13" t="s">
        <v>816</v>
      </c>
      <c r="GB265" s="13" t="s">
        <v>816</v>
      </c>
      <c r="GE265" s="13" t="s">
        <v>816</v>
      </c>
      <c r="GF265" s="13" t="s">
        <v>816</v>
      </c>
      <c r="GH265" s="13" t="s">
        <v>816</v>
      </c>
    </row>
    <row r="266" spans="1:190" ht="12.75" customHeight="1" x14ac:dyDescent="0.2">
      <c r="A266" s="1" t="s">
        <v>136</v>
      </c>
      <c r="B266" s="1" t="s">
        <v>662</v>
      </c>
      <c r="C266" s="1" t="s">
        <v>814</v>
      </c>
      <c r="D266" s="1" t="s">
        <v>691</v>
      </c>
      <c r="E266" s="1" t="s">
        <v>142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816</v>
      </c>
      <c r="FS266" s="13" t="s">
        <v>816</v>
      </c>
      <c r="FT266" s="13" t="s">
        <v>816</v>
      </c>
      <c r="FU266" s="13"/>
      <c r="FV266" s="13" t="s">
        <v>816</v>
      </c>
      <c r="FW266" s="13" t="s">
        <v>816</v>
      </c>
      <c r="FX266" s="13" t="s">
        <v>816</v>
      </c>
      <c r="FY266" s="13" t="s">
        <v>816</v>
      </c>
      <c r="FZ266" s="13" t="s">
        <v>816</v>
      </c>
      <c r="GA266" s="13" t="s">
        <v>816</v>
      </c>
      <c r="GB266" s="13" t="s">
        <v>816</v>
      </c>
      <c r="GE266" s="13" t="s">
        <v>816</v>
      </c>
      <c r="GF266" s="13" t="s">
        <v>816</v>
      </c>
      <c r="GH266" s="13" t="s">
        <v>816</v>
      </c>
    </row>
    <row r="267" spans="1:190" ht="12.75" customHeight="1" x14ac:dyDescent="0.2">
      <c r="A267" s="1" t="s">
        <v>136</v>
      </c>
      <c r="B267" s="1" t="s">
        <v>662</v>
      </c>
      <c r="C267" s="1" t="s">
        <v>814</v>
      </c>
      <c r="D267" s="1" t="s">
        <v>691</v>
      </c>
      <c r="E267" s="1" t="s">
        <v>142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816</v>
      </c>
      <c r="FS267" s="13" t="s">
        <v>816</v>
      </c>
      <c r="FT267" s="13" t="s">
        <v>816</v>
      </c>
      <c r="FU267" s="13"/>
      <c r="FV267" s="13" t="s">
        <v>816</v>
      </c>
      <c r="FW267" s="13" t="s">
        <v>816</v>
      </c>
      <c r="FX267" s="13" t="s">
        <v>816</v>
      </c>
      <c r="FY267" s="13" t="s">
        <v>816</v>
      </c>
      <c r="FZ267" s="13" t="s">
        <v>816</v>
      </c>
      <c r="GA267" s="13" t="s">
        <v>816</v>
      </c>
      <c r="GB267" s="13" t="s">
        <v>816</v>
      </c>
      <c r="GE267" s="13" t="s">
        <v>816</v>
      </c>
      <c r="GF267" s="13" t="s">
        <v>816</v>
      </c>
      <c r="GH267" s="13" t="s">
        <v>816</v>
      </c>
    </row>
    <row r="268" spans="1:190" ht="12.75" customHeight="1" x14ac:dyDescent="0.2">
      <c r="A268" s="1" t="s">
        <v>136</v>
      </c>
      <c r="B268" s="1" t="s">
        <v>662</v>
      </c>
      <c r="C268" s="1" t="s">
        <v>814</v>
      </c>
      <c r="D268" s="1" t="s">
        <v>691</v>
      </c>
      <c r="E268" s="1" t="s">
        <v>142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816</v>
      </c>
      <c r="FS268" s="13" t="s">
        <v>816</v>
      </c>
      <c r="FT268" s="13" t="s">
        <v>816</v>
      </c>
      <c r="FU268" s="13"/>
      <c r="FV268" s="13" t="s">
        <v>816</v>
      </c>
      <c r="FW268" s="13" t="s">
        <v>816</v>
      </c>
      <c r="FX268" s="13" t="s">
        <v>816</v>
      </c>
      <c r="FY268" s="13" t="s">
        <v>816</v>
      </c>
      <c r="FZ268" s="13" t="s">
        <v>816</v>
      </c>
      <c r="GA268" s="13" t="s">
        <v>816</v>
      </c>
      <c r="GB268" s="13" t="s">
        <v>816</v>
      </c>
      <c r="GE268" s="13" t="s">
        <v>816</v>
      </c>
      <c r="GF268" s="13" t="s">
        <v>816</v>
      </c>
      <c r="GH268" s="13" t="s">
        <v>816</v>
      </c>
    </row>
    <row r="269" spans="1:190" ht="12.75" customHeight="1" x14ac:dyDescent="0.2">
      <c r="A269" s="1" t="s">
        <v>136</v>
      </c>
      <c r="B269" s="1" t="s">
        <v>662</v>
      </c>
      <c r="C269" s="1" t="s">
        <v>814</v>
      </c>
      <c r="D269" s="1" t="s">
        <v>691</v>
      </c>
      <c r="E269" s="1" t="s">
        <v>142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816</v>
      </c>
      <c r="FS269" s="13" t="s">
        <v>816</v>
      </c>
      <c r="FT269" s="13" t="s">
        <v>816</v>
      </c>
      <c r="FU269" s="13"/>
      <c r="FV269" s="13" t="s">
        <v>816</v>
      </c>
      <c r="FW269" s="13" t="s">
        <v>816</v>
      </c>
      <c r="FX269" s="13" t="s">
        <v>816</v>
      </c>
      <c r="FY269" s="13" t="s">
        <v>816</v>
      </c>
      <c r="FZ269" s="13" t="s">
        <v>816</v>
      </c>
      <c r="GA269" s="13" t="s">
        <v>816</v>
      </c>
      <c r="GB269" s="13" t="s">
        <v>816</v>
      </c>
      <c r="GE269" s="13" t="s">
        <v>816</v>
      </c>
      <c r="GF269" s="13" t="s">
        <v>816</v>
      </c>
      <c r="GH269" s="13" t="s">
        <v>816</v>
      </c>
    </row>
    <row r="270" spans="1:190" ht="12.75" customHeight="1" x14ac:dyDescent="0.2">
      <c r="A270" s="1" t="s">
        <v>136</v>
      </c>
      <c r="B270" s="1" t="s">
        <v>662</v>
      </c>
      <c r="C270" s="1" t="s">
        <v>814</v>
      </c>
      <c r="D270" s="1" t="s">
        <v>691</v>
      </c>
      <c r="E270" s="1" t="s">
        <v>142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816</v>
      </c>
      <c r="FS270" s="13" t="s">
        <v>816</v>
      </c>
      <c r="FT270" s="13" t="s">
        <v>816</v>
      </c>
      <c r="FU270" s="13"/>
      <c r="FV270" s="13" t="s">
        <v>816</v>
      </c>
      <c r="FW270" s="13" t="s">
        <v>816</v>
      </c>
      <c r="FX270" s="13" t="s">
        <v>816</v>
      </c>
      <c r="FY270" s="13" t="s">
        <v>816</v>
      </c>
      <c r="FZ270" s="13" t="s">
        <v>816</v>
      </c>
      <c r="GA270" s="13" t="s">
        <v>816</v>
      </c>
      <c r="GB270" s="13" t="s">
        <v>816</v>
      </c>
      <c r="GE270" s="13" t="s">
        <v>816</v>
      </c>
      <c r="GF270" s="13" t="s">
        <v>816</v>
      </c>
      <c r="GH270" s="13" t="s">
        <v>816</v>
      </c>
    </row>
    <row r="271" spans="1:190" ht="12.75" customHeight="1" x14ac:dyDescent="0.2">
      <c r="A271" s="1" t="s">
        <v>136</v>
      </c>
      <c r="B271" s="1" t="s">
        <v>662</v>
      </c>
      <c r="C271" s="1" t="s">
        <v>814</v>
      </c>
      <c r="D271" s="1" t="s">
        <v>691</v>
      </c>
      <c r="E271" s="1" t="s">
        <v>142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816</v>
      </c>
      <c r="FS271" s="13" t="s">
        <v>816</v>
      </c>
      <c r="FT271" s="13" t="s">
        <v>816</v>
      </c>
      <c r="FU271" s="13"/>
      <c r="FV271" s="13" t="s">
        <v>816</v>
      </c>
      <c r="FW271" s="13" t="s">
        <v>816</v>
      </c>
      <c r="FX271" s="13" t="s">
        <v>816</v>
      </c>
      <c r="FY271" s="13" t="s">
        <v>816</v>
      </c>
      <c r="FZ271" s="13" t="s">
        <v>816</v>
      </c>
      <c r="GA271" s="13" t="s">
        <v>816</v>
      </c>
      <c r="GB271" s="13" t="s">
        <v>816</v>
      </c>
      <c r="GE271" s="13" t="s">
        <v>816</v>
      </c>
      <c r="GF271" s="13" t="s">
        <v>816</v>
      </c>
      <c r="GH271" s="13" t="s">
        <v>816</v>
      </c>
    </row>
    <row r="272" spans="1:190" ht="12.75" customHeight="1" x14ac:dyDescent="0.2">
      <c r="A272" s="1" t="s">
        <v>136</v>
      </c>
      <c r="B272" s="1" t="s">
        <v>662</v>
      </c>
      <c r="C272" s="1" t="s">
        <v>814</v>
      </c>
      <c r="D272" s="1" t="s">
        <v>691</v>
      </c>
      <c r="E272" s="1" t="s">
        <v>142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816</v>
      </c>
      <c r="FS272" s="13" t="s">
        <v>816</v>
      </c>
      <c r="FT272" s="13" t="s">
        <v>816</v>
      </c>
      <c r="FU272" s="13"/>
      <c r="FV272" s="13" t="s">
        <v>816</v>
      </c>
      <c r="FW272" s="13" t="s">
        <v>816</v>
      </c>
      <c r="FX272" s="13" t="s">
        <v>816</v>
      </c>
      <c r="FY272" s="13" t="s">
        <v>816</v>
      </c>
      <c r="FZ272" s="13" t="s">
        <v>816</v>
      </c>
      <c r="GA272" s="13" t="s">
        <v>816</v>
      </c>
      <c r="GB272" s="13" t="s">
        <v>816</v>
      </c>
      <c r="GE272" s="13" t="s">
        <v>816</v>
      </c>
      <c r="GF272" s="13" t="s">
        <v>816</v>
      </c>
      <c r="GH272" s="13" t="s">
        <v>816</v>
      </c>
    </row>
    <row r="273" spans="1:190" ht="12.75" customHeight="1" x14ac:dyDescent="0.2">
      <c r="A273" s="1" t="s">
        <v>136</v>
      </c>
      <c r="B273" s="1" t="s">
        <v>662</v>
      </c>
      <c r="C273" s="1" t="s">
        <v>814</v>
      </c>
      <c r="D273" s="1" t="s">
        <v>691</v>
      </c>
      <c r="E273" s="1" t="s">
        <v>142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816</v>
      </c>
      <c r="FS273" s="13" t="s">
        <v>816</v>
      </c>
      <c r="FT273" s="13" t="s">
        <v>816</v>
      </c>
      <c r="FU273" s="13"/>
      <c r="FV273" s="13" t="s">
        <v>816</v>
      </c>
      <c r="FW273" s="13" t="s">
        <v>816</v>
      </c>
      <c r="FX273" s="13" t="s">
        <v>816</v>
      </c>
      <c r="FY273" s="13" t="s">
        <v>816</v>
      </c>
      <c r="FZ273" s="13" t="s">
        <v>816</v>
      </c>
      <c r="GA273" s="13" t="s">
        <v>816</v>
      </c>
      <c r="GB273" s="13" t="s">
        <v>816</v>
      </c>
      <c r="GE273" s="13" t="s">
        <v>816</v>
      </c>
      <c r="GF273" s="13" t="s">
        <v>816</v>
      </c>
      <c r="GH273" s="13" t="s">
        <v>816</v>
      </c>
    </row>
    <row r="274" spans="1:190" ht="12.75" customHeight="1" x14ac:dyDescent="0.2">
      <c r="A274" s="1" t="s">
        <v>288</v>
      </c>
      <c r="B274" s="1" t="s">
        <v>288</v>
      </c>
      <c r="C274" s="1" t="s">
        <v>814</v>
      </c>
      <c r="D274" s="1" t="s">
        <v>692</v>
      </c>
      <c r="E274" s="1" t="s">
        <v>142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816</v>
      </c>
      <c r="FS274" s="13" t="s">
        <v>816</v>
      </c>
      <c r="FT274" s="13" t="s">
        <v>816</v>
      </c>
      <c r="FU274" s="13"/>
      <c r="FV274" s="13" t="s">
        <v>816</v>
      </c>
      <c r="FW274" s="13" t="s">
        <v>816</v>
      </c>
      <c r="FX274" s="13" t="s">
        <v>816</v>
      </c>
      <c r="FY274" s="13" t="s">
        <v>816</v>
      </c>
      <c r="FZ274" s="13" t="s">
        <v>816</v>
      </c>
      <c r="GA274" s="13" t="s">
        <v>816</v>
      </c>
      <c r="GB274" s="13" t="s">
        <v>816</v>
      </c>
      <c r="GE274" s="13" t="s">
        <v>816</v>
      </c>
      <c r="GF274" s="13" t="s">
        <v>816</v>
      </c>
      <c r="GH274" s="13" t="s">
        <v>816</v>
      </c>
    </row>
    <row r="275" spans="1:190" ht="12.75" customHeight="1" x14ac:dyDescent="0.2">
      <c r="A275" s="1" t="s">
        <v>288</v>
      </c>
      <c r="B275" s="1" t="s">
        <v>288</v>
      </c>
      <c r="C275" s="1" t="s">
        <v>814</v>
      </c>
      <c r="D275" s="1" t="s">
        <v>692</v>
      </c>
      <c r="E275" s="1" t="s">
        <v>142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816</v>
      </c>
      <c r="FS275" s="13" t="s">
        <v>816</v>
      </c>
      <c r="FT275" s="13" t="s">
        <v>816</v>
      </c>
      <c r="FU275" s="13"/>
      <c r="FV275" s="13" t="s">
        <v>816</v>
      </c>
      <c r="FW275" s="13" t="s">
        <v>816</v>
      </c>
      <c r="FX275" s="13" t="s">
        <v>816</v>
      </c>
      <c r="FY275" s="13" t="s">
        <v>816</v>
      </c>
      <c r="FZ275" s="13" t="s">
        <v>816</v>
      </c>
      <c r="GA275" s="13" t="s">
        <v>816</v>
      </c>
      <c r="GB275" s="13" t="s">
        <v>816</v>
      </c>
      <c r="GE275" s="13" t="s">
        <v>816</v>
      </c>
      <c r="GF275" s="13" t="s">
        <v>816</v>
      </c>
      <c r="GH275" s="13" t="s">
        <v>816</v>
      </c>
    </row>
    <row r="276" spans="1:190" ht="12.75" customHeight="1" x14ac:dyDescent="0.2">
      <c r="A276" s="1" t="s">
        <v>288</v>
      </c>
      <c r="B276" s="1" t="s">
        <v>288</v>
      </c>
      <c r="C276" s="1" t="s">
        <v>814</v>
      </c>
      <c r="D276" s="1" t="s">
        <v>692</v>
      </c>
      <c r="E276" s="1" t="s">
        <v>142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816</v>
      </c>
      <c r="FS276" s="13" t="s">
        <v>816</v>
      </c>
      <c r="FT276" s="13" t="s">
        <v>816</v>
      </c>
      <c r="FU276" s="13"/>
      <c r="FV276" s="13" t="s">
        <v>816</v>
      </c>
      <c r="FW276" s="13" t="s">
        <v>816</v>
      </c>
      <c r="FX276" s="13" t="s">
        <v>816</v>
      </c>
      <c r="FY276" s="13" t="s">
        <v>816</v>
      </c>
      <c r="FZ276" s="13" t="s">
        <v>816</v>
      </c>
      <c r="GA276" s="13" t="s">
        <v>816</v>
      </c>
      <c r="GB276" s="13" t="s">
        <v>816</v>
      </c>
      <c r="GE276" s="13" t="s">
        <v>816</v>
      </c>
      <c r="GF276" s="13" t="s">
        <v>816</v>
      </c>
      <c r="GH276" s="13" t="s">
        <v>816</v>
      </c>
    </row>
    <row r="277" spans="1:190" ht="12.75" customHeight="1" x14ac:dyDescent="0.2">
      <c r="A277" s="1" t="s">
        <v>288</v>
      </c>
      <c r="B277" s="1" t="s">
        <v>288</v>
      </c>
      <c r="C277" s="1" t="s">
        <v>814</v>
      </c>
      <c r="D277" s="1" t="s">
        <v>692</v>
      </c>
      <c r="E277" s="1" t="s">
        <v>142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816</v>
      </c>
      <c r="FS277" s="13" t="s">
        <v>816</v>
      </c>
      <c r="FT277" s="13" t="s">
        <v>816</v>
      </c>
      <c r="FU277" s="13"/>
      <c r="FV277" s="13" t="s">
        <v>816</v>
      </c>
      <c r="FW277" s="13" t="s">
        <v>816</v>
      </c>
      <c r="FX277" s="13" t="s">
        <v>816</v>
      </c>
      <c r="FY277" s="13" t="s">
        <v>816</v>
      </c>
      <c r="FZ277" s="13" t="s">
        <v>816</v>
      </c>
      <c r="GA277" s="13" t="s">
        <v>816</v>
      </c>
      <c r="GB277" s="13" t="s">
        <v>816</v>
      </c>
      <c r="GE277" s="13" t="s">
        <v>816</v>
      </c>
      <c r="GF277" s="13" t="s">
        <v>816</v>
      </c>
      <c r="GH277" s="13" t="s">
        <v>816</v>
      </c>
    </row>
    <row r="278" spans="1:190" ht="12.75" customHeight="1" x14ac:dyDescent="0.2">
      <c r="A278" s="1" t="s">
        <v>288</v>
      </c>
      <c r="B278" s="1" t="s">
        <v>288</v>
      </c>
      <c r="C278" s="1" t="s">
        <v>814</v>
      </c>
      <c r="D278" s="1" t="s">
        <v>692</v>
      </c>
      <c r="E278" s="1" t="s">
        <v>142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816</v>
      </c>
      <c r="FS278" s="13" t="s">
        <v>816</v>
      </c>
      <c r="FT278" s="13" t="s">
        <v>816</v>
      </c>
      <c r="FU278" s="13"/>
      <c r="FV278" s="13" t="s">
        <v>816</v>
      </c>
      <c r="FW278" s="13" t="s">
        <v>816</v>
      </c>
      <c r="FX278" s="13" t="s">
        <v>816</v>
      </c>
      <c r="FY278" s="13" t="s">
        <v>816</v>
      </c>
      <c r="FZ278" s="13" t="s">
        <v>816</v>
      </c>
      <c r="GA278" s="13" t="s">
        <v>816</v>
      </c>
      <c r="GB278" s="13" t="s">
        <v>816</v>
      </c>
      <c r="GE278" s="13" t="s">
        <v>816</v>
      </c>
      <c r="GF278" s="13" t="s">
        <v>816</v>
      </c>
      <c r="GH278" s="13" t="s">
        <v>816</v>
      </c>
    </row>
    <row r="279" spans="1:190" ht="12.75" customHeight="1" x14ac:dyDescent="0.2">
      <c r="A279" s="1" t="s">
        <v>288</v>
      </c>
      <c r="B279" s="1" t="s">
        <v>288</v>
      </c>
      <c r="C279" s="1" t="s">
        <v>814</v>
      </c>
      <c r="D279" s="1" t="s">
        <v>692</v>
      </c>
      <c r="E279" s="1" t="s">
        <v>142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816</v>
      </c>
      <c r="FS279" s="13" t="s">
        <v>816</v>
      </c>
      <c r="FT279" s="13" t="s">
        <v>816</v>
      </c>
      <c r="FU279" s="13"/>
      <c r="FV279" s="13" t="s">
        <v>816</v>
      </c>
      <c r="FW279" s="13" t="s">
        <v>816</v>
      </c>
      <c r="FX279" s="13" t="s">
        <v>816</v>
      </c>
      <c r="FY279" s="13" t="s">
        <v>816</v>
      </c>
      <c r="FZ279" s="13" t="s">
        <v>816</v>
      </c>
      <c r="GA279" s="13" t="s">
        <v>816</v>
      </c>
      <c r="GB279" s="13" t="s">
        <v>816</v>
      </c>
      <c r="GE279" s="13" t="s">
        <v>816</v>
      </c>
      <c r="GF279" s="13" t="s">
        <v>816</v>
      </c>
      <c r="GH279" s="13" t="s">
        <v>816</v>
      </c>
    </row>
    <row r="280" spans="1:190" ht="12.75" customHeight="1" x14ac:dyDescent="0.2">
      <c r="A280" s="1" t="s">
        <v>288</v>
      </c>
      <c r="B280" s="1" t="s">
        <v>288</v>
      </c>
      <c r="C280" s="1" t="s">
        <v>814</v>
      </c>
      <c r="D280" s="1" t="s">
        <v>692</v>
      </c>
      <c r="E280" s="1" t="s">
        <v>142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816</v>
      </c>
      <c r="FS280" s="13" t="s">
        <v>816</v>
      </c>
      <c r="FT280" s="13" t="s">
        <v>816</v>
      </c>
      <c r="FU280" s="13"/>
      <c r="FV280" s="13" t="s">
        <v>816</v>
      </c>
      <c r="FW280" s="13" t="s">
        <v>816</v>
      </c>
      <c r="FX280" s="13" t="s">
        <v>816</v>
      </c>
      <c r="FY280" s="13" t="s">
        <v>816</v>
      </c>
      <c r="FZ280" s="13" t="s">
        <v>816</v>
      </c>
      <c r="GA280" s="13" t="s">
        <v>816</v>
      </c>
      <c r="GB280" s="13" t="s">
        <v>816</v>
      </c>
      <c r="GE280" s="13" t="s">
        <v>816</v>
      </c>
      <c r="GF280" s="13" t="s">
        <v>816</v>
      </c>
      <c r="GH280" s="13" t="s">
        <v>816</v>
      </c>
    </row>
    <row r="281" spans="1:190" ht="12.75" customHeight="1" x14ac:dyDescent="0.2">
      <c r="A281" s="1" t="s">
        <v>288</v>
      </c>
      <c r="B281" s="1" t="s">
        <v>288</v>
      </c>
      <c r="C281" s="1" t="s">
        <v>814</v>
      </c>
      <c r="D281" s="1" t="s">
        <v>692</v>
      </c>
      <c r="E281" s="1" t="s">
        <v>142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816</v>
      </c>
      <c r="FS281" s="13" t="s">
        <v>816</v>
      </c>
      <c r="FT281" s="13" t="s">
        <v>816</v>
      </c>
      <c r="FU281" s="13"/>
      <c r="FV281" s="13" t="s">
        <v>816</v>
      </c>
      <c r="FW281" s="13" t="s">
        <v>816</v>
      </c>
      <c r="FX281" s="13" t="s">
        <v>816</v>
      </c>
      <c r="FY281" s="13" t="s">
        <v>816</v>
      </c>
      <c r="FZ281" s="13" t="s">
        <v>816</v>
      </c>
      <c r="GA281" s="13" t="s">
        <v>816</v>
      </c>
      <c r="GB281" s="13" t="s">
        <v>816</v>
      </c>
      <c r="GE281" s="13" t="s">
        <v>816</v>
      </c>
      <c r="GF281" s="13" t="s">
        <v>816</v>
      </c>
      <c r="GH281" s="13" t="s">
        <v>816</v>
      </c>
    </row>
    <row r="282" spans="1:190" ht="12.75" customHeight="1" x14ac:dyDescent="0.2">
      <c r="A282" s="1" t="s">
        <v>367</v>
      </c>
      <c r="B282" s="1" t="s">
        <v>660</v>
      </c>
      <c r="C282" s="1" t="s">
        <v>814</v>
      </c>
      <c r="D282" s="1" t="s">
        <v>700</v>
      </c>
      <c r="E282" s="1" t="s">
        <v>142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816</v>
      </c>
      <c r="FS282" s="13" t="s">
        <v>816</v>
      </c>
      <c r="FT282" s="13" t="s">
        <v>816</v>
      </c>
      <c r="FU282" s="13"/>
      <c r="FV282" s="13" t="s">
        <v>816</v>
      </c>
      <c r="FW282" s="13" t="s">
        <v>816</v>
      </c>
      <c r="FX282" s="13" t="s">
        <v>816</v>
      </c>
      <c r="FY282" s="13" t="s">
        <v>816</v>
      </c>
      <c r="FZ282" s="13" t="s">
        <v>816</v>
      </c>
      <c r="GA282" s="13" t="s">
        <v>816</v>
      </c>
      <c r="GB282" s="13" t="s">
        <v>816</v>
      </c>
      <c r="GE282" s="13" t="s">
        <v>816</v>
      </c>
      <c r="GF282" s="13" t="s">
        <v>816</v>
      </c>
      <c r="GH282" s="13" t="s">
        <v>816</v>
      </c>
    </row>
    <row r="283" spans="1:190" ht="12.75" customHeight="1" x14ac:dyDescent="0.2">
      <c r="A283" s="1" t="s">
        <v>367</v>
      </c>
      <c r="B283" s="1" t="s">
        <v>660</v>
      </c>
      <c r="C283" s="1" t="s">
        <v>814</v>
      </c>
      <c r="D283" s="1" t="s">
        <v>700</v>
      </c>
      <c r="E283" s="1" t="s">
        <v>142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816</v>
      </c>
      <c r="FS283" s="13" t="s">
        <v>816</v>
      </c>
      <c r="FT283" s="13" t="s">
        <v>816</v>
      </c>
      <c r="FU283" s="13"/>
      <c r="FV283" s="13" t="s">
        <v>816</v>
      </c>
      <c r="FW283" s="13" t="s">
        <v>816</v>
      </c>
      <c r="FX283" s="13" t="s">
        <v>816</v>
      </c>
      <c r="FY283" s="13" t="s">
        <v>816</v>
      </c>
      <c r="FZ283" s="13" t="s">
        <v>816</v>
      </c>
      <c r="GA283" s="13" t="s">
        <v>816</v>
      </c>
      <c r="GB283" s="13" t="s">
        <v>816</v>
      </c>
      <c r="GE283" s="13" t="s">
        <v>816</v>
      </c>
      <c r="GF283" s="13" t="s">
        <v>816</v>
      </c>
      <c r="GH283" s="13" t="s">
        <v>816</v>
      </c>
    </row>
    <row r="284" spans="1:190" ht="12.75" customHeight="1" x14ac:dyDescent="0.2">
      <c r="A284" s="1" t="s">
        <v>367</v>
      </c>
      <c r="B284" s="1" t="s">
        <v>660</v>
      </c>
      <c r="C284" s="1" t="s">
        <v>814</v>
      </c>
      <c r="D284" s="1" t="s">
        <v>700</v>
      </c>
      <c r="E284" s="1" t="s">
        <v>142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816</v>
      </c>
      <c r="FS284" s="13" t="s">
        <v>816</v>
      </c>
      <c r="FT284" s="13" t="s">
        <v>816</v>
      </c>
      <c r="FU284" s="13"/>
      <c r="FV284" s="13" t="s">
        <v>816</v>
      </c>
      <c r="FW284" s="13" t="s">
        <v>816</v>
      </c>
      <c r="FX284" s="13" t="s">
        <v>816</v>
      </c>
      <c r="FY284" s="13" t="s">
        <v>816</v>
      </c>
      <c r="FZ284" s="13" t="s">
        <v>816</v>
      </c>
      <c r="GA284" s="13" t="s">
        <v>816</v>
      </c>
      <c r="GB284" s="13" t="s">
        <v>816</v>
      </c>
      <c r="GE284" s="13" t="s">
        <v>816</v>
      </c>
      <c r="GF284" s="13" t="s">
        <v>816</v>
      </c>
      <c r="GH284" s="13" t="s">
        <v>816</v>
      </c>
    </row>
    <row r="285" spans="1:190" ht="12.75" customHeight="1" x14ac:dyDescent="0.2">
      <c r="A285" s="1" t="s">
        <v>367</v>
      </c>
      <c r="B285" s="1" t="s">
        <v>660</v>
      </c>
      <c r="C285" s="1" t="s">
        <v>814</v>
      </c>
      <c r="D285" s="1" t="s">
        <v>700</v>
      </c>
      <c r="E285" s="1" t="s">
        <v>142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816</v>
      </c>
      <c r="FS285" s="13" t="s">
        <v>816</v>
      </c>
      <c r="FT285" s="13" t="s">
        <v>816</v>
      </c>
      <c r="FU285" s="13"/>
      <c r="FV285" s="13" t="s">
        <v>816</v>
      </c>
      <c r="FW285" s="13" t="s">
        <v>816</v>
      </c>
      <c r="FX285" s="13" t="s">
        <v>816</v>
      </c>
      <c r="FY285" s="13" t="s">
        <v>816</v>
      </c>
      <c r="FZ285" s="13" t="s">
        <v>816</v>
      </c>
      <c r="GA285" s="13" t="s">
        <v>816</v>
      </c>
      <c r="GB285" s="13" t="s">
        <v>816</v>
      </c>
      <c r="GE285" s="13" t="s">
        <v>816</v>
      </c>
      <c r="GF285" s="13" t="s">
        <v>816</v>
      </c>
      <c r="GH285" s="13" t="s">
        <v>816</v>
      </c>
    </row>
    <row r="286" spans="1:190" ht="12.75" customHeight="1" x14ac:dyDescent="0.2">
      <c r="A286" s="1" t="s">
        <v>367</v>
      </c>
      <c r="B286" s="1" t="s">
        <v>660</v>
      </c>
      <c r="C286" s="1" t="s">
        <v>814</v>
      </c>
      <c r="D286" s="1" t="s">
        <v>700</v>
      </c>
      <c r="E286" s="1" t="s">
        <v>142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816</v>
      </c>
      <c r="FS286" s="13" t="s">
        <v>816</v>
      </c>
      <c r="FT286" s="13" t="s">
        <v>816</v>
      </c>
      <c r="FU286" s="13"/>
      <c r="FV286" s="13" t="s">
        <v>816</v>
      </c>
      <c r="FW286" s="13" t="s">
        <v>816</v>
      </c>
      <c r="FX286" s="13" t="s">
        <v>816</v>
      </c>
      <c r="FY286" s="13" t="s">
        <v>816</v>
      </c>
      <c r="FZ286" s="13" t="s">
        <v>816</v>
      </c>
      <c r="GA286" s="13" t="s">
        <v>816</v>
      </c>
      <c r="GB286" s="13" t="s">
        <v>816</v>
      </c>
      <c r="GE286" s="13" t="s">
        <v>816</v>
      </c>
      <c r="GF286" s="13" t="s">
        <v>816</v>
      </c>
      <c r="GH286" s="13" t="s">
        <v>816</v>
      </c>
    </row>
    <row r="287" spans="1:190" ht="12.75" customHeight="1" x14ac:dyDescent="0.2">
      <c r="A287" s="1" t="s">
        <v>367</v>
      </c>
      <c r="B287" s="1" t="s">
        <v>660</v>
      </c>
      <c r="C287" s="1" t="s">
        <v>814</v>
      </c>
      <c r="D287" s="1" t="s">
        <v>700</v>
      </c>
      <c r="E287" s="1" t="s">
        <v>142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816</v>
      </c>
      <c r="FS287" s="13" t="s">
        <v>816</v>
      </c>
      <c r="FT287" s="13" t="s">
        <v>816</v>
      </c>
      <c r="FU287" s="13"/>
      <c r="FV287" s="13" t="s">
        <v>816</v>
      </c>
      <c r="FW287" s="13" t="s">
        <v>816</v>
      </c>
      <c r="FX287" s="13" t="s">
        <v>816</v>
      </c>
      <c r="FY287" s="13" t="s">
        <v>816</v>
      </c>
      <c r="FZ287" s="13" t="s">
        <v>816</v>
      </c>
      <c r="GA287" s="13" t="s">
        <v>816</v>
      </c>
      <c r="GB287" s="13" t="s">
        <v>816</v>
      </c>
      <c r="GE287" s="13" t="s">
        <v>816</v>
      </c>
      <c r="GF287" s="13" t="s">
        <v>816</v>
      </c>
      <c r="GH287" s="13" t="s">
        <v>816</v>
      </c>
    </row>
    <row r="288" spans="1:190" ht="12.75" customHeight="1" x14ac:dyDescent="0.2">
      <c r="A288" s="1" t="s">
        <v>367</v>
      </c>
      <c r="B288" s="1" t="s">
        <v>660</v>
      </c>
      <c r="C288" s="1" t="s">
        <v>814</v>
      </c>
      <c r="D288" s="1" t="s">
        <v>700</v>
      </c>
      <c r="E288" s="1" t="s">
        <v>142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816</v>
      </c>
      <c r="FS288" s="13" t="s">
        <v>816</v>
      </c>
      <c r="FT288" s="13" t="s">
        <v>816</v>
      </c>
      <c r="FU288" s="13"/>
      <c r="FV288" s="13" t="s">
        <v>816</v>
      </c>
      <c r="FW288" s="13" t="s">
        <v>816</v>
      </c>
      <c r="FX288" s="13" t="s">
        <v>816</v>
      </c>
      <c r="FY288" s="13" t="s">
        <v>816</v>
      </c>
      <c r="FZ288" s="13" t="s">
        <v>816</v>
      </c>
      <c r="GA288" s="13" t="s">
        <v>816</v>
      </c>
      <c r="GB288" s="13" t="s">
        <v>816</v>
      </c>
      <c r="GE288" s="13" t="s">
        <v>816</v>
      </c>
      <c r="GF288" s="13" t="s">
        <v>816</v>
      </c>
      <c r="GH288" s="13" t="s">
        <v>816</v>
      </c>
    </row>
    <row r="289" spans="1:190" ht="12.75" customHeight="1" x14ac:dyDescent="0.2">
      <c r="A289" s="1" t="s">
        <v>367</v>
      </c>
      <c r="B289" s="1" t="s">
        <v>660</v>
      </c>
      <c r="C289" s="1" t="s">
        <v>814</v>
      </c>
      <c r="D289" s="1" t="s">
        <v>700</v>
      </c>
      <c r="E289" s="1" t="s">
        <v>142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816</v>
      </c>
      <c r="FS289" s="13" t="s">
        <v>816</v>
      </c>
      <c r="FT289" s="13" t="s">
        <v>816</v>
      </c>
      <c r="FU289" s="13"/>
      <c r="FV289" s="13" t="s">
        <v>816</v>
      </c>
      <c r="FW289" s="13" t="s">
        <v>816</v>
      </c>
      <c r="FX289" s="13" t="s">
        <v>816</v>
      </c>
      <c r="FY289" s="13" t="s">
        <v>816</v>
      </c>
      <c r="FZ289" s="13" t="s">
        <v>816</v>
      </c>
      <c r="GA289" s="13" t="s">
        <v>816</v>
      </c>
      <c r="GB289" s="13" t="s">
        <v>816</v>
      </c>
      <c r="GE289" s="13" t="s">
        <v>816</v>
      </c>
      <c r="GF289" s="13" t="s">
        <v>816</v>
      </c>
      <c r="GH289" s="13" t="s">
        <v>816</v>
      </c>
    </row>
    <row r="290" spans="1:190" ht="12.75" customHeight="1" x14ac:dyDescent="0.2">
      <c r="A290" s="1" t="s">
        <v>135</v>
      </c>
      <c r="B290" s="1" t="s">
        <v>663</v>
      </c>
      <c r="C290" s="1" t="s">
        <v>814</v>
      </c>
      <c r="D290" s="1" t="s">
        <v>701</v>
      </c>
      <c r="E290" s="1" t="s">
        <v>142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816</v>
      </c>
      <c r="FS290" s="13" t="s">
        <v>816</v>
      </c>
      <c r="FT290" s="13" t="s">
        <v>816</v>
      </c>
      <c r="FU290" s="13"/>
      <c r="FV290" s="13" t="s">
        <v>816</v>
      </c>
      <c r="FW290" s="13" t="s">
        <v>816</v>
      </c>
      <c r="FX290" s="13" t="s">
        <v>816</v>
      </c>
      <c r="FY290" s="13" t="s">
        <v>816</v>
      </c>
      <c r="FZ290" s="13" t="s">
        <v>816</v>
      </c>
      <c r="GA290" s="13" t="s">
        <v>816</v>
      </c>
      <c r="GB290" s="13" t="s">
        <v>816</v>
      </c>
      <c r="GE290" s="13" t="s">
        <v>816</v>
      </c>
      <c r="GF290" s="13" t="s">
        <v>816</v>
      </c>
      <c r="GH290" s="13" t="s">
        <v>816</v>
      </c>
    </row>
    <row r="291" spans="1:190" ht="12.75" customHeight="1" x14ac:dyDescent="0.2">
      <c r="A291" s="1" t="s">
        <v>135</v>
      </c>
      <c r="B291" s="1" t="s">
        <v>663</v>
      </c>
      <c r="C291" s="1" t="s">
        <v>814</v>
      </c>
      <c r="D291" s="1" t="s">
        <v>701</v>
      </c>
      <c r="E291" s="1" t="s">
        <v>142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816</v>
      </c>
      <c r="FS291" s="13" t="s">
        <v>816</v>
      </c>
      <c r="FT291" s="13" t="s">
        <v>816</v>
      </c>
      <c r="FU291" s="13"/>
      <c r="FV291" s="13" t="s">
        <v>816</v>
      </c>
      <c r="FW291" s="13" t="s">
        <v>816</v>
      </c>
      <c r="FX291" s="13" t="s">
        <v>816</v>
      </c>
      <c r="FY291" s="13" t="s">
        <v>816</v>
      </c>
      <c r="FZ291" s="13" t="s">
        <v>816</v>
      </c>
      <c r="GA291" s="13" t="s">
        <v>816</v>
      </c>
      <c r="GB291" s="13" t="s">
        <v>816</v>
      </c>
      <c r="GE291" s="13" t="s">
        <v>816</v>
      </c>
      <c r="GF291" s="13" t="s">
        <v>816</v>
      </c>
      <c r="GH291" s="13" t="s">
        <v>816</v>
      </c>
    </row>
    <row r="292" spans="1:190" ht="12.75" customHeight="1" x14ac:dyDescent="0.2">
      <c r="A292" s="1" t="s">
        <v>135</v>
      </c>
      <c r="B292" s="1" t="s">
        <v>663</v>
      </c>
      <c r="C292" s="1" t="s">
        <v>814</v>
      </c>
      <c r="D292" s="1" t="s">
        <v>701</v>
      </c>
      <c r="E292" s="1" t="s">
        <v>142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816</v>
      </c>
      <c r="FS292" s="13" t="s">
        <v>816</v>
      </c>
      <c r="FT292" s="13" t="s">
        <v>816</v>
      </c>
      <c r="FU292" s="13"/>
      <c r="FV292" s="13" t="s">
        <v>816</v>
      </c>
      <c r="FW292" s="13" t="s">
        <v>816</v>
      </c>
      <c r="FX292" s="13" t="s">
        <v>816</v>
      </c>
      <c r="FY292" s="13" t="s">
        <v>816</v>
      </c>
      <c r="FZ292" s="13" t="s">
        <v>816</v>
      </c>
      <c r="GA292" s="13" t="s">
        <v>816</v>
      </c>
      <c r="GB292" s="13" t="s">
        <v>816</v>
      </c>
      <c r="GE292" s="13" t="s">
        <v>816</v>
      </c>
      <c r="GF292" s="13" t="s">
        <v>816</v>
      </c>
      <c r="GH292" s="13" t="s">
        <v>816</v>
      </c>
    </row>
    <row r="293" spans="1:190" ht="12.75" customHeight="1" x14ac:dyDescent="0.2">
      <c r="A293" s="1" t="s">
        <v>135</v>
      </c>
      <c r="B293" s="1" t="s">
        <v>663</v>
      </c>
      <c r="C293" s="1" t="s">
        <v>814</v>
      </c>
      <c r="D293" s="1" t="s">
        <v>701</v>
      </c>
      <c r="E293" s="1" t="s">
        <v>142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816</v>
      </c>
      <c r="FS293" s="13" t="s">
        <v>816</v>
      </c>
      <c r="FT293" s="13" t="s">
        <v>816</v>
      </c>
      <c r="FU293" s="13"/>
      <c r="FV293" s="13" t="s">
        <v>816</v>
      </c>
      <c r="FW293" s="13" t="s">
        <v>816</v>
      </c>
      <c r="FX293" s="13" t="s">
        <v>816</v>
      </c>
      <c r="FY293" s="13" t="s">
        <v>816</v>
      </c>
      <c r="FZ293" s="13" t="s">
        <v>816</v>
      </c>
      <c r="GA293" s="13" t="s">
        <v>816</v>
      </c>
      <c r="GB293" s="13" t="s">
        <v>816</v>
      </c>
      <c r="GE293" s="13" t="s">
        <v>816</v>
      </c>
      <c r="GF293" s="13" t="s">
        <v>816</v>
      </c>
      <c r="GH293" s="13" t="s">
        <v>816</v>
      </c>
    </row>
    <row r="294" spans="1:190" ht="12.75" customHeight="1" x14ac:dyDescent="0.2">
      <c r="A294" s="1" t="s">
        <v>135</v>
      </c>
      <c r="B294" s="1" t="s">
        <v>663</v>
      </c>
      <c r="C294" s="1" t="s">
        <v>814</v>
      </c>
      <c r="D294" s="1" t="s">
        <v>701</v>
      </c>
      <c r="E294" s="1" t="s">
        <v>142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816</v>
      </c>
      <c r="FS294" s="13" t="s">
        <v>816</v>
      </c>
      <c r="FT294" s="13" t="s">
        <v>816</v>
      </c>
      <c r="FU294" s="13"/>
      <c r="FV294" s="13" t="s">
        <v>816</v>
      </c>
      <c r="FW294" s="13" t="s">
        <v>816</v>
      </c>
      <c r="FX294" s="13" t="s">
        <v>816</v>
      </c>
      <c r="FY294" s="13" t="s">
        <v>816</v>
      </c>
      <c r="FZ294" s="13" t="s">
        <v>816</v>
      </c>
      <c r="GA294" s="13" t="s">
        <v>816</v>
      </c>
      <c r="GB294" s="13" t="s">
        <v>816</v>
      </c>
      <c r="GE294" s="13" t="s">
        <v>816</v>
      </c>
      <c r="GF294" s="13" t="s">
        <v>816</v>
      </c>
      <c r="GH294" s="13" t="s">
        <v>816</v>
      </c>
    </row>
    <row r="295" spans="1:190" ht="12.75" customHeight="1" x14ac:dyDescent="0.2">
      <c r="A295" s="1" t="s">
        <v>135</v>
      </c>
      <c r="B295" s="1" t="s">
        <v>663</v>
      </c>
      <c r="C295" s="1" t="s">
        <v>814</v>
      </c>
      <c r="D295" s="1" t="s">
        <v>701</v>
      </c>
      <c r="E295" s="1" t="s">
        <v>142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816</v>
      </c>
      <c r="FS295" s="13" t="s">
        <v>816</v>
      </c>
      <c r="FT295" s="13" t="s">
        <v>816</v>
      </c>
      <c r="FU295" s="13"/>
      <c r="FV295" s="13" t="s">
        <v>816</v>
      </c>
      <c r="FW295" s="13" t="s">
        <v>816</v>
      </c>
      <c r="FX295" s="13" t="s">
        <v>816</v>
      </c>
      <c r="FY295" s="13" t="s">
        <v>816</v>
      </c>
      <c r="FZ295" s="13" t="s">
        <v>816</v>
      </c>
      <c r="GA295" s="13" t="s">
        <v>816</v>
      </c>
      <c r="GB295" s="13" t="s">
        <v>816</v>
      </c>
      <c r="GE295" s="13" t="s">
        <v>816</v>
      </c>
      <c r="GF295" s="13" t="s">
        <v>816</v>
      </c>
      <c r="GH295" s="13" t="s">
        <v>816</v>
      </c>
    </row>
    <row r="296" spans="1:190" ht="12.75" customHeight="1" x14ac:dyDescent="0.2">
      <c r="A296" s="1" t="s">
        <v>135</v>
      </c>
      <c r="B296" s="1" t="s">
        <v>663</v>
      </c>
      <c r="C296" s="1" t="s">
        <v>814</v>
      </c>
      <c r="D296" s="1" t="s">
        <v>701</v>
      </c>
      <c r="E296" s="1" t="s">
        <v>142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816</v>
      </c>
      <c r="FS296" s="13" t="s">
        <v>816</v>
      </c>
      <c r="FT296" s="13" t="s">
        <v>816</v>
      </c>
      <c r="FU296" s="13"/>
      <c r="FV296" s="13" t="s">
        <v>816</v>
      </c>
      <c r="FW296" s="13" t="s">
        <v>816</v>
      </c>
      <c r="FX296" s="13" t="s">
        <v>816</v>
      </c>
      <c r="FY296" s="13" t="s">
        <v>816</v>
      </c>
      <c r="FZ296" s="13" t="s">
        <v>816</v>
      </c>
      <c r="GA296" s="13" t="s">
        <v>816</v>
      </c>
      <c r="GB296" s="13" t="s">
        <v>816</v>
      </c>
      <c r="GE296" s="13" t="s">
        <v>816</v>
      </c>
      <c r="GF296" s="13" t="s">
        <v>816</v>
      </c>
      <c r="GH296" s="13" t="s">
        <v>816</v>
      </c>
    </row>
    <row r="297" spans="1:190" ht="12.75" customHeight="1" x14ac:dyDescent="0.2">
      <c r="A297" s="1" t="s">
        <v>135</v>
      </c>
      <c r="B297" s="1" t="s">
        <v>663</v>
      </c>
      <c r="C297" s="1" t="s">
        <v>814</v>
      </c>
      <c r="D297" s="1" t="s">
        <v>701</v>
      </c>
      <c r="E297" s="1" t="s">
        <v>142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816</v>
      </c>
      <c r="FS297" s="13" t="s">
        <v>816</v>
      </c>
      <c r="FT297" s="13" t="s">
        <v>816</v>
      </c>
      <c r="FU297" s="13"/>
      <c r="FV297" s="13" t="s">
        <v>816</v>
      </c>
      <c r="FW297" s="13" t="s">
        <v>816</v>
      </c>
      <c r="FX297" s="13" t="s">
        <v>816</v>
      </c>
      <c r="FY297" s="13" t="s">
        <v>816</v>
      </c>
      <c r="FZ297" s="13" t="s">
        <v>816</v>
      </c>
      <c r="GA297" s="13" t="s">
        <v>816</v>
      </c>
      <c r="GB297" s="13" t="s">
        <v>816</v>
      </c>
      <c r="GE297" s="13" t="s">
        <v>816</v>
      </c>
      <c r="GF297" s="13" t="s">
        <v>816</v>
      </c>
      <c r="GH297" s="13" t="s">
        <v>816</v>
      </c>
    </row>
    <row r="298" spans="1:190" ht="12.75" customHeight="1" x14ac:dyDescent="0.2">
      <c r="A298" s="1" t="s">
        <v>153</v>
      </c>
      <c r="B298" s="1" t="s">
        <v>754</v>
      </c>
      <c r="C298" s="1" t="s">
        <v>814</v>
      </c>
      <c r="D298" s="1" t="s">
        <v>715</v>
      </c>
      <c r="E298" s="1" t="s">
        <v>142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816</v>
      </c>
      <c r="FS298" s="13" t="s">
        <v>816</v>
      </c>
      <c r="FT298" s="13" t="s">
        <v>816</v>
      </c>
      <c r="FU298" s="13"/>
      <c r="FV298" s="13" t="s">
        <v>816</v>
      </c>
      <c r="FW298" s="13" t="s">
        <v>816</v>
      </c>
      <c r="FX298" s="13" t="s">
        <v>816</v>
      </c>
      <c r="FY298" s="13" t="s">
        <v>816</v>
      </c>
      <c r="FZ298" s="13" t="s">
        <v>816</v>
      </c>
      <c r="GA298" s="13" t="s">
        <v>816</v>
      </c>
      <c r="GB298" s="13" t="s">
        <v>816</v>
      </c>
      <c r="GE298" s="13" t="s">
        <v>816</v>
      </c>
      <c r="GF298" s="13" t="s">
        <v>816</v>
      </c>
      <c r="GH298" s="13" t="s">
        <v>816</v>
      </c>
    </row>
    <row r="299" spans="1:190" ht="12.75" customHeight="1" x14ac:dyDescent="0.2">
      <c r="A299" s="1" t="s">
        <v>153</v>
      </c>
      <c r="B299" s="1" t="s">
        <v>754</v>
      </c>
      <c r="C299" s="1" t="s">
        <v>814</v>
      </c>
      <c r="D299" s="1" t="s">
        <v>715</v>
      </c>
      <c r="E299" s="1" t="s">
        <v>142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816</v>
      </c>
      <c r="FS299" s="13" t="s">
        <v>816</v>
      </c>
      <c r="FT299" s="13" t="s">
        <v>816</v>
      </c>
      <c r="FU299" s="13"/>
      <c r="FV299" s="13" t="s">
        <v>816</v>
      </c>
      <c r="FW299" s="13" t="s">
        <v>816</v>
      </c>
      <c r="FX299" s="13" t="s">
        <v>816</v>
      </c>
      <c r="FY299" s="13" t="s">
        <v>816</v>
      </c>
      <c r="FZ299" s="13" t="s">
        <v>816</v>
      </c>
      <c r="GA299" s="13" t="s">
        <v>816</v>
      </c>
      <c r="GB299" s="13" t="s">
        <v>816</v>
      </c>
      <c r="GE299" s="13" t="s">
        <v>816</v>
      </c>
      <c r="GF299" s="13" t="s">
        <v>816</v>
      </c>
      <c r="GH299" s="13" t="s">
        <v>816</v>
      </c>
    </row>
    <row r="300" spans="1:190" ht="12.75" customHeight="1" x14ac:dyDescent="0.2">
      <c r="A300" s="1" t="s">
        <v>153</v>
      </c>
      <c r="B300" s="1" t="s">
        <v>754</v>
      </c>
      <c r="C300" s="1" t="s">
        <v>814</v>
      </c>
      <c r="D300" s="1" t="s">
        <v>715</v>
      </c>
      <c r="E300" s="1" t="s">
        <v>142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816</v>
      </c>
      <c r="FS300" s="13" t="s">
        <v>816</v>
      </c>
      <c r="FT300" s="13" t="s">
        <v>816</v>
      </c>
      <c r="FU300" s="13"/>
      <c r="FV300" s="13" t="s">
        <v>816</v>
      </c>
      <c r="FW300" s="13" t="s">
        <v>816</v>
      </c>
      <c r="FX300" s="13" t="s">
        <v>816</v>
      </c>
      <c r="FY300" s="13" t="s">
        <v>816</v>
      </c>
      <c r="FZ300" s="13" t="s">
        <v>816</v>
      </c>
      <c r="GA300" s="13" t="s">
        <v>816</v>
      </c>
      <c r="GB300" s="13" t="s">
        <v>816</v>
      </c>
      <c r="GE300" s="13" t="s">
        <v>816</v>
      </c>
      <c r="GF300" s="13" t="s">
        <v>816</v>
      </c>
      <c r="GH300" s="13" t="s">
        <v>816</v>
      </c>
    </row>
    <row r="301" spans="1:190" ht="12.75" customHeight="1" x14ac:dyDescent="0.2">
      <c r="A301" s="1" t="s">
        <v>153</v>
      </c>
      <c r="B301" s="1" t="s">
        <v>754</v>
      </c>
      <c r="C301" s="1" t="s">
        <v>814</v>
      </c>
      <c r="D301" s="1" t="s">
        <v>715</v>
      </c>
      <c r="E301" s="1" t="s">
        <v>142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816</v>
      </c>
      <c r="FS301" s="13" t="s">
        <v>816</v>
      </c>
      <c r="FT301" s="13" t="s">
        <v>816</v>
      </c>
      <c r="FU301" s="13"/>
      <c r="FV301" s="13" t="s">
        <v>816</v>
      </c>
      <c r="FW301" s="13" t="s">
        <v>816</v>
      </c>
      <c r="FX301" s="13" t="s">
        <v>816</v>
      </c>
      <c r="FY301" s="13" t="s">
        <v>816</v>
      </c>
      <c r="FZ301" s="13" t="s">
        <v>816</v>
      </c>
      <c r="GA301" s="13" t="s">
        <v>816</v>
      </c>
      <c r="GB301" s="13" t="s">
        <v>816</v>
      </c>
      <c r="GE301" s="13" t="s">
        <v>816</v>
      </c>
      <c r="GF301" s="13" t="s">
        <v>816</v>
      </c>
      <c r="GH301" s="13" t="s">
        <v>816</v>
      </c>
    </row>
    <row r="302" spans="1:190" ht="12.75" customHeight="1" x14ac:dyDescent="0.2">
      <c r="A302" s="1" t="s">
        <v>153</v>
      </c>
      <c r="B302" s="1" t="s">
        <v>754</v>
      </c>
      <c r="C302" s="1" t="s">
        <v>814</v>
      </c>
      <c r="D302" s="1" t="s">
        <v>715</v>
      </c>
      <c r="E302" s="1" t="s">
        <v>142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816</v>
      </c>
      <c r="FS302" s="13" t="s">
        <v>816</v>
      </c>
      <c r="FT302" s="13" t="s">
        <v>816</v>
      </c>
      <c r="FU302" s="13"/>
      <c r="FV302" s="13" t="s">
        <v>816</v>
      </c>
      <c r="FW302" s="13" t="s">
        <v>816</v>
      </c>
      <c r="FX302" s="13" t="s">
        <v>816</v>
      </c>
      <c r="FY302" s="13" t="s">
        <v>816</v>
      </c>
      <c r="FZ302" s="13" t="s">
        <v>816</v>
      </c>
      <c r="GA302" s="13" t="s">
        <v>816</v>
      </c>
      <c r="GB302" s="13" t="s">
        <v>816</v>
      </c>
      <c r="GE302" s="13" t="s">
        <v>816</v>
      </c>
      <c r="GF302" s="13" t="s">
        <v>816</v>
      </c>
      <c r="GH302" s="13" t="s">
        <v>816</v>
      </c>
    </row>
    <row r="303" spans="1:190" ht="12.75" customHeight="1" x14ac:dyDescent="0.2">
      <c r="A303" s="1" t="s">
        <v>153</v>
      </c>
      <c r="B303" s="1" t="s">
        <v>754</v>
      </c>
      <c r="C303" s="1" t="s">
        <v>814</v>
      </c>
      <c r="D303" s="1" t="s">
        <v>715</v>
      </c>
      <c r="E303" s="1" t="s">
        <v>142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816</v>
      </c>
      <c r="FS303" s="13" t="s">
        <v>816</v>
      </c>
      <c r="FT303" s="13" t="s">
        <v>816</v>
      </c>
      <c r="FU303" s="13"/>
      <c r="FV303" s="13" t="s">
        <v>816</v>
      </c>
      <c r="FW303" s="13" t="s">
        <v>816</v>
      </c>
      <c r="FX303" s="13" t="s">
        <v>816</v>
      </c>
      <c r="FY303" s="13" t="s">
        <v>816</v>
      </c>
      <c r="FZ303" s="13" t="s">
        <v>816</v>
      </c>
      <c r="GA303" s="13" t="s">
        <v>816</v>
      </c>
      <c r="GB303" s="13" t="s">
        <v>816</v>
      </c>
      <c r="GE303" s="13" t="s">
        <v>816</v>
      </c>
      <c r="GF303" s="13" t="s">
        <v>816</v>
      </c>
      <c r="GH303" s="13" t="s">
        <v>816</v>
      </c>
    </row>
    <row r="304" spans="1:190" ht="12.75" customHeight="1" x14ac:dyDescent="0.2">
      <c r="A304" s="1" t="s">
        <v>153</v>
      </c>
      <c r="B304" s="1" t="s">
        <v>754</v>
      </c>
      <c r="C304" s="1" t="s">
        <v>814</v>
      </c>
      <c r="D304" s="1" t="s">
        <v>715</v>
      </c>
      <c r="E304" s="1" t="s">
        <v>142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816</v>
      </c>
      <c r="FS304" s="13" t="s">
        <v>816</v>
      </c>
      <c r="FT304" s="13" t="s">
        <v>816</v>
      </c>
      <c r="FU304" s="13"/>
      <c r="FV304" s="13" t="s">
        <v>816</v>
      </c>
      <c r="FW304" s="13" t="s">
        <v>816</v>
      </c>
      <c r="FX304" s="13" t="s">
        <v>816</v>
      </c>
      <c r="FY304" s="13" t="s">
        <v>816</v>
      </c>
      <c r="FZ304" s="13" t="s">
        <v>816</v>
      </c>
      <c r="GA304" s="13" t="s">
        <v>816</v>
      </c>
      <c r="GB304" s="13" t="s">
        <v>816</v>
      </c>
      <c r="GE304" s="13" t="s">
        <v>816</v>
      </c>
      <c r="GF304" s="13" t="s">
        <v>816</v>
      </c>
      <c r="GH304" s="13" t="s">
        <v>816</v>
      </c>
    </row>
    <row r="305" spans="1:190" ht="12.75" customHeight="1" x14ac:dyDescent="0.2">
      <c r="A305" s="1" t="s">
        <v>153</v>
      </c>
      <c r="B305" s="1" t="s">
        <v>754</v>
      </c>
      <c r="C305" s="1" t="s">
        <v>814</v>
      </c>
      <c r="D305" s="1" t="s">
        <v>715</v>
      </c>
      <c r="E305" s="1" t="s">
        <v>142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816</v>
      </c>
      <c r="FS305" s="13" t="s">
        <v>816</v>
      </c>
      <c r="FT305" s="13" t="s">
        <v>816</v>
      </c>
      <c r="FU305" s="13"/>
      <c r="FV305" s="13" t="s">
        <v>816</v>
      </c>
      <c r="FW305" s="13" t="s">
        <v>816</v>
      </c>
      <c r="FX305" s="13" t="s">
        <v>816</v>
      </c>
      <c r="FY305" s="13" t="s">
        <v>816</v>
      </c>
      <c r="FZ305" s="13" t="s">
        <v>816</v>
      </c>
      <c r="GA305" s="13" t="s">
        <v>816</v>
      </c>
      <c r="GB305" s="13" t="s">
        <v>816</v>
      </c>
      <c r="GE305" s="13" t="s">
        <v>816</v>
      </c>
      <c r="GF305" s="13" t="s">
        <v>816</v>
      </c>
      <c r="GH305" s="13" t="s">
        <v>816</v>
      </c>
    </row>
    <row r="306" spans="1:190" ht="12.75" customHeight="1" x14ac:dyDescent="0.2">
      <c r="A306" s="1" t="s">
        <v>138</v>
      </c>
      <c r="B306" s="1" t="s">
        <v>755</v>
      </c>
      <c r="C306" s="1" t="s">
        <v>814</v>
      </c>
      <c r="D306" s="1" t="s">
        <v>719</v>
      </c>
      <c r="E306" s="1" t="s">
        <v>142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816</v>
      </c>
      <c r="FS306" s="13" t="s">
        <v>816</v>
      </c>
      <c r="FT306" s="13" t="s">
        <v>816</v>
      </c>
      <c r="FU306" s="13"/>
      <c r="FV306" s="13" t="s">
        <v>816</v>
      </c>
      <c r="FW306" s="13" t="s">
        <v>816</v>
      </c>
      <c r="FX306" s="13" t="s">
        <v>816</v>
      </c>
      <c r="FY306" s="13" t="s">
        <v>816</v>
      </c>
      <c r="FZ306" s="13" t="s">
        <v>816</v>
      </c>
      <c r="GA306" s="13" t="s">
        <v>816</v>
      </c>
      <c r="GB306" s="13" t="s">
        <v>816</v>
      </c>
      <c r="GE306" s="13" t="s">
        <v>816</v>
      </c>
      <c r="GF306" s="13" t="s">
        <v>816</v>
      </c>
      <c r="GH306" s="13" t="s">
        <v>816</v>
      </c>
    </row>
    <row r="307" spans="1:190" ht="12.75" customHeight="1" x14ac:dyDescent="0.2">
      <c r="A307" s="1" t="s">
        <v>138</v>
      </c>
      <c r="B307" s="1" t="s">
        <v>755</v>
      </c>
      <c r="C307" s="1" t="s">
        <v>814</v>
      </c>
      <c r="D307" s="1" t="s">
        <v>719</v>
      </c>
      <c r="E307" s="1" t="s">
        <v>142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816</v>
      </c>
      <c r="FS307" s="13" t="s">
        <v>816</v>
      </c>
      <c r="FT307" s="13" t="s">
        <v>816</v>
      </c>
      <c r="FU307" s="13"/>
      <c r="FV307" s="13" t="s">
        <v>816</v>
      </c>
      <c r="FW307" s="13" t="s">
        <v>816</v>
      </c>
      <c r="FX307" s="13" t="s">
        <v>816</v>
      </c>
      <c r="FY307" s="13" t="s">
        <v>816</v>
      </c>
      <c r="FZ307" s="13" t="s">
        <v>816</v>
      </c>
      <c r="GA307" s="13" t="s">
        <v>816</v>
      </c>
      <c r="GB307" s="13" t="s">
        <v>816</v>
      </c>
      <c r="GE307" s="13" t="s">
        <v>816</v>
      </c>
      <c r="GF307" s="13" t="s">
        <v>816</v>
      </c>
      <c r="GH307" s="13" t="s">
        <v>816</v>
      </c>
    </row>
    <row r="308" spans="1:190" ht="12.75" customHeight="1" x14ac:dyDescent="0.2">
      <c r="A308" s="1" t="s">
        <v>138</v>
      </c>
      <c r="B308" s="1" t="s">
        <v>755</v>
      </c>
      <c r="C308" s="1" t="s">
        <v>814</v>
      </c>
      <c r="D308" s="1" t="s">
        <v>719</v>
      </c>
      <c r="E308" s="1" t="s">
        <v>142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816</v>
      </c>
      <c r="FS308" s="13" t="s">
        <v>816</v>
      </c>
      <c r="FT308" s="13" t="s">
        <v>816</v>
      </c>
      <c r="FU308" s="13"/>
      <c r="FV308" s="13" t="s">
        <v>816</v>
      </c>
      <c r="FW308" s="13" t="s">
        <v>816</v>
      </c>
      <c r="FX308" s="13" t="s">
        <v>816</v>
      </c>
      <c r="FY308" s="13" t="s">
        <v>816</v>
      </c>
      <c r="FZ308" s="13" t="s">
        <v>816</v>
      </c>
      <c r="GA308" s="13" t="s">
        <v>816</v>
      </c>
      <c r="GB308" s="13" t="s">
        <v>816</v>
      </c>
      <c r="GE308" s="13" t="s">
        <v>816</v>
      </c>
      <c r="GF308" s="13" t="s">
        <v>816</v>
      </c>
      <c r="GH308" s="13" t="s">
        <v>816</v>
      </c>
    </row>
    <row r="309" spans="1:190" ht="12.75" customHeight="1" x14ac:dyDescent="0.2">
      <c r="A309" s="1" t="s">
        <v>138</v>
      </c>
      <c r="B309" s="1" t="s">
        <v>755</v>
      </c>
      <c r="C309" s="1" t="s">
        <v>814</v>
      </c>
      <c r="D309" s="1" t="s">
        <v>719</v>
      </c>
      <c r="E309" s="1" t="s">
        <v>142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816</v>
      </c>
      <c r="FS309" s="13" t="s">
        <v>816</v>
      </c>
      <c r="FT309" s="13" t="s">
        <v>816</v>
      </c>
      <c r="FU309" s="13"/>
      <c r="FV309" s="13" t="s">
        <v>816</v>
      </c>
      <c r="FW309" s="13" t="s">
        <v>816</v>
      </c>
      <c r="FX309" s="13" t="s">
        <v>816</v>
      </c>
      <c r="FY309" s="13" t="s">
        <v>816</v>
      </c>
      <c r="FZ309" s="13" t="s">
        <v>816</v>
      </c>
      <c r="GA309" s="13" t="s">
        <v>816</v>
      </c>
      <c r="GB309" s="13" t="s">
        <v>816</v>
      </c>
      <c r="GE309" s="13" t="s">
        <v>816</v>
      </c>
      <c r="GF309" s="13" t="s">
        <v>816</v>
      </c>
      <c r="GH309" s="13" t="s">
        <v>816</v>
      </c>
    </row>
    <row r="310" spans="1:190" ht="12.75" customHeight="1" x14ac:dyDescent="0.2">
      <c r="A310" s="1" t="s">
        <v>138</v>
      </c>
      <c r="B310" s="1" t="s">
        <v>755</v>
      </c>
      <c r="C310" s="1" t="s">
        <v>814</v>
      </c>
      <c r="D310" s="1" t="s">
        <v>719</v>
      </c>
      <c r="E310" s="1" t="s">
        <v>142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816</v>
      </c>
      <c r="FS310" s="13" t="s">
        <v>816</v>
      </c>
      <c r="FT310" s="13" t="s">
        <v>816</v>
      </c>
      <c r="FU310" s="13"/>
      <c r="FV310" s="13" t="s">
        <v>816</v>
      </c>
      <c r="FW310" s="13" t="s">
        <v>816</v>
      </c>
      <c r="FX310" s="13" t="s">
        <v>816</v>
      </c>
      <c r="FY310" s="13" t="s">
        <v>816</v>
      </c>
      <c r="FZ310" s="13" t="s">
        <v>816</v>
      </c>
      <c r="GA310" s="13" t="s">
        <v>816</v>
      </c>
      <c r="GB310" s="13" t="s">
        <v>816</v>
      </c>
      <c r="GE310" s="13" t="s">
        <v>816</v>
      </c>
      <c r="GF310" s="13" t="s">
        <v>816</v>
      </c>
      <c r="GH310" s="13" t="s">
        <v>816</v>
      </c>
    </row>
    <row r="311" spans="1:190" ht="12.75" customHeight="1" x14ac:dyDescent="0.2">
      <c r="A311" s="1" t="s">
        <v>138</v>
      </c>
      <c r="B311" s="1" t="s">
        <v>755</v>
      </c>
      <c r="C311" s="1" t="s">
        <v>814</v>
      </c>
      <c r="D311" s="1" t="s">
        <v>719</v>
      </c>
      <c r="E311" s="1" t="s">
        <v>142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816</v>
      </c>
      <c r="FS311" s="13" t="s">
        <v>816</v>
      </c>
      <c r="FT311" s="13" t="s">
        <v>816</v>
      </c>
      <c r="FU311" s="13"/>
      <c r="FV311" s="13" t="s">
        <v>816</v>
      </c>
      <c r="FW311" s="13" t="s">
        <v>816</v>
      </c>
      <c r="FX311" s="13" t="s">
        <v>816</v>
      </c>
      <c r="FY311" s="13" t="s">
        <v>816</v>
      </c>
      <c r="FZ311" s="13" t="s">
        <v>816</v>
      </c>
      <c r="GA311" s="13" t="s">
        <v>816</v>
      </c>
      <c r="GB311" s="13" t="s">
        <v>816</v>
      </c>
      <c r="GE311" s="13" t="s">
        <v>816</v>
      </c>
      <c r="GF311" s="13" t="s">
        <v>816</v>
      </c>
      <c r="GH311" s="13" t="s">
        <v>816</v>
      </c>
    </row>
    <row r="312" spans="1:190" ht="12.75" customHeight="1" x14ac:dyDescent="0.2">
      <c r="A312" s="1" t="s">
        <v>138</v>
      </c>
      <c r="B312" s="1" t="s">
        <v>755</v>
      </c>
      <c r="C312" s="1" t="s">
        <v>814</v>
      </c>
      <c r="D312" s="1" t="s">
        <v>719</v>
      </c>
      <c r="E312" s="1" t="s">
        <v>142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816</v>
      </c>
      <c r="FS312" s="13" t="s">
        <v>816</v>
      </c>
      <c r="FT312" s="13" t="s">
        <v>816</v>
      </c>
      <c r="FU312" s="13"/>
      <c r="FV312" s="13" t="s">
        <v>816</v>
      </c>
      <c r="FW312" s="13" t="s">
        <v>816</v>
      </c>
      <c r="FX312" s="13" t="s">
        <v>816</v>
      </c>
      <c r="FY312" s="13" t="s">
        <v>816</v>
      </c>
      <c r="FZ312" s="13" t="s">
        <v>816</v>
      </c>
      <c r="GA312" s="13" t="s">
        <v>816</v>
      </c>
      <c r="GB312" s="13" t="s">
        <v>816</v>
      </c>
      <c r="GE312" s="13" t="s">
        <v>816</v>
      </c>
      <c r="GF312" s="13" t="s">
        <v>816</v>
      </c>
      <c r="GH312" s="13" t="s">
        <v>816</v>
      </c>
    </row>
    <row r="313" spans="1:190" ht="12.75" customHeight="1" x14ac:dyDescent="0.2">
      <c r="A313" s="1" t="s">
        <v>138</v>
      </c>
      <c r="B313" s="1" t="s">
        <v>755</v>
      </c>
      <c r="C313" s="1" t="s">
        <v>814</v>
      </c>
      <c r="D313" s="1" t="s">
        <v>719</v>
      </c>
      <c r="E313" s="1" t="s">
        <v>142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816</v>
      </c>
      <c r="FS313" s="13" t="s">
        <v>816</v>
      </c>
      <c r="FT313" s="13" t="s">
        <v>816</v>
      </c>
      <c r="FU313" s="13"/>
      <c r="FV313" s="13" t="s">
        <v>816</v>
      </c>
      <c r="FW313" s="13" t="s">
        <v>816</v>
      </c>
      <c r="FX313" s="13" t="s">
        <v>816</v>
      </c>
      <c r="FY313" s="13" t="s">
        <v>816</v>
      </c>
      <c r="FZ313" s="13" t="s">
        <v>816</v>
      </c>
      <c r="GA313" s="13" t="s">
        <v>816</v>
      </c>
      <c r="GB313" s="13" t="s">
        <v>816</v>
      </c>
      <c r="GE313" s="13" t="s">
        <v>816</v>
      </c>
      <c r="GF313" s="13" t="s">
        <v>816</v>
      </c>
      <c r="GH313" s="13" t="s">
        <v>816</v>
      </c>
    </row>
    <row r="314" spans="1:190" ht="12.75" customHeight="1" x14ac:dyDescent="0.2">
      <c r="A314" s="1" t="s">
        <v>132</v>
      </c>
      <c r="B314" s="1" t="s">
        <v>756</v>
      </c>
      <c r="C314" s="1" t="s">
        <v>814</v>
      </c>
      <c r="D314" s="1" t="s">
        <v>716</v>
      </c>
      <c r="E314" s="1" t="s">
        <v>142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816</v>
      </c>
      <c r="FS314" s="13" t="s">
        <v>816</v>
      </c>
      <c r="FT314" s="13" t="s">
        <v>816</v>
      </c>
      <c r="FU314" s="13"/>
      <c r="FV314" s="13" t="s">
        <v>816</v>
      </c>
      <c r="FW314" s="13" t="s">
        <v>816</v>
      </c>
      <c r="FX314" s="13" t="s">
        <v>816</v>
      </c>
      <c r="FY314" s="13" t="s">
        <v>816</v>
      </c>
      <c r="FZ314" s="13" t="s">
        <v>816</v>
      </c>
      <c r="GA314" s="13" t="s">
        <v>816</v>
      </c>
      <c r="GB314" s="13" t="s">
        <v>816</v>
      </c>
      <c r="GE314" s="13" t="s">
        <v>816</v>
      </c>
      <c r="GF314" s="13" t="s">
        <v>816</v>
      </c>
      <c r="GH314" s="13" t="s">
        <v>816</v>
      </c>
    </row>
    <row r="315" spans="1:190" ht="12.75" customHeight="1" x14ac:dyDescent="0.2">
      <c r="A315" s="1" t="s">
        <v>132</v>
      </c>
      <c r="B315" s="1" t="s">
        <v>756</v>
      </c>
      <c r="C315" s="1" t="s">
        <v>814</v>
      </c>
      <c r="D315" s="1" t="s">
        <v>716</v>
      </c>
      <c r="E315" s="1" t="s">
        <v>142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816</v>
      </c>
      <c r="FS315" s="13" t="s">
        <v>816</v>
      </c>
      <c r="FT315" s="13" t="s">
        <v>816</v>
      </c>
      <c r="FU315" s="13"/>
      <c r="FV315" s="13" t="s">
        <v>816</v>
      </c>
      <c r="FW315" s="13" t="s">
        <v>816</v>
      </c>
      <c r="FX315" s="13" t="s">
        <v>816</v>
      </c>
      <c r="FY315" s="13" t="s">
        <v>816</v>
      </c>
      <c r="FZ315" s="13" t="s">
        <v>816</v>
      </c>
      <c r="GA315" s="13" t="s">
        <v>816</v>
      </c>
      <c r="GB315" s="13" t="s">
        <v>816</v>
      </c>
      <c r="GE315" s="13" t="s">
        <v>816</v>
      </c>
      <c r="GF315" s="13" t="s">
        <v>816</v>
      </c>
      <c r="GH315" s="13" t="s">
        <v>816</v>
      </c>
    </row>
    <row r="316" spans="1:190" ht="12.75" customHeight="1" x14ac:dyDescent="0.2">
      <c r="A316" s="1" t="s">
        <v>132</v>
      </c>
      <c r="B316" s="1" t="s">
        <v>756</v>
      </c>
      <c r="C316" s="1" t="s">
        <v>814</v>
      </c>
      <c r="D316" s="1" t="s">
        <v>716</v>
      </c>
      <c r="E316" s="1" t="s">
        <v>142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816</v>
      </c>
      <c r="FS316" s="13" t="s">
        <v>816</v>
      </c>
      <c r="FT316" s="13" t="s">
        <v>816</v>
      </c>
      <c r="FU316" s="13"/>
      <c r="FV316" s="13" t="s">
        <v>816</v>
      </c>
      <c r="FW316" s="13" t="s">
        <v>816</v>
      </c>
      <c r="FX316" s="13" t="s">
        <v>816</v>
      </c>
      <c r="FY316" s="13" t="s">
        <v>816</v>
      </c>
      <c r="FZ316" s="13" t="s">
        <v>816</v>
      </c>
      <c r="GA316" s="13" t="s">
        <v>816</v>
      </c>
      <c r="GB316" s="13" t="s">
        <v>816</v>
      </c>
      <c r="GE316" s="13" t="s">
        <v>816</v>
      </c>
      <c r="GF316" s="13" t="s">
        <v>816</v>
      </c>
      <c r="GH316" s="13" t="s">
        <v>816</v>
      </c>
    </row>
    <row r="317" spans="1:190" ht="12.75" customHeight="1" x14ac:dyDescent="0.2">
      <c r="A317" s="1" t="s">
        <v>132</v>
      </c>
      <c r="B317" s="1" t="s">
        <v>756</v>
      </c>
      <c r="C317" s="1" t="s">
        <v>814</v>
      </c>
      <c r="D317" s="1" t="s">
        <v>716</v>
      </c>
      <c r="E317" s="1" t="s">
        <v>142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816</v>
      </c>
      <c r="FS317" s="13" t="s">
        <v>816</v>
      </c>
      <c r="FT317" s="13" t="s">
        <v>816</v>
      </c>
      <c r="FU317" s="13"/>
      <c r="FV317" s="13" t="s">
        <v>816</v>
      </c>
      <c r="FW317" s="13" t="s">
        <v>816</v>
      </c>
      <c r="FX317" s="13" t="s">
        <v>816</v>
      </c>
      <c r="FY317" s="13" t="s">
        <v>816</v>
      </c>
      <c r="FZ317" s="13" t="s">
        <v>816</v>
      </c>
      <c r="GA317" s="13" t="s">
        <v>816</v>
      </c>
      <c r="GB317" s="13" t="s">
        <v>816</v>
      </c>
      <c r="GE317" s="13" t="s">
        <v>816</v>
      </c>
      <c r="GF317" s="13" t="s">
        <v>816</v>
      </c>
      <c r="GH317" s="13" t="s">
        <v>816</v>
      </c>
    </row>
    <row r="318" spans="1:190" ht="12.75" customHeight="1" x14ac:dyDescent="0.2">
      <c r="A318" s="1" t="s">
        <v>132</v>
      </c>
      <c r="B318" s="1" t="s">
        <v>756</v>
      </c>
      <c r="C318" s="1" t="s">
        <v>814</v>
      </c>
      <c r="D318" s="1" t="s">
        <v>716</v>
      </c>
      <c r="E318" s="1" t="s">
        <v>142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816</v>
      </c>
      <c r="FS318" s="13" t="s">
        <v>816</v>
      </c>
      <c r="FT318" s="13" t="s">
        <v>816</v>
      </c>
      <c r="FU318" s="13"/>
      <c r="FV318" s="13" t="s">
        <v>816</v>
      </c>
      <c r="FW318" s="13" t="s">
        <v>816</v>
      </c>
      <c r="FX318" s="13" t="s">
        <v>816</v>
      </c>
      <c r="FY318" s="13" t="s">
        <v>816</v>
      </c>
      <c r="FZ318" s="13" t="s">
        <v>816</v>
      </c>
      <c r="GA318" s="13" t="s">
        <v>816</v>
      </c>
      <c r="GB318" s="13" t="s">
        <v>816</v>
      </c>
      <c r="GE318" s="13" t="s">
        <v>816</v>
      </c>
      <c r="GF318" s="13" t="s">
        <v>816</v>
      </c>
      <c r="GH318" s="13" t="s">
        <v>816</v>
      </c>
    </row>
    <row r="319" spans="1:190" ht="12.75" customHeight="1" x14ac:dyDescent="0.2">
      <c r="A319" s="1" t="s">
        <v>132</v>
      </c>
      <c r="B319" s="1" t="s">
        <v>756</v>
      </c>
      <c r="C319" s="1" t="s">
        <v>814</v>
      </c>
      <c r="D319" s="1" t="s">
        <v>716</v>
      </c>
      <c r="E319" s="1" t="s">
        <v>142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816</v>
      </c>
      <c r="FS319" s="13" t="s">
        <v>816</v>
      </c>
      <c r="FT319" s="13" t="s">
        <v>816</v>
      </c>
      <c r="FU319" s="13"/>
      <c r="FV319" s="13" t="s">
        <v>816</v>
      </c>
      <c r="FW319" s="13" t="s">
        <v>816</v>
      </c>
      <c r="FX319" s="13" t="s">
        <v>816</v>
      </c>
      <c r="FY319" s="13" t="s">
        <v>816</v>
      </c>
      <c r="FZ319" s="13" t="s">
        <v>816</v>
      </c>
      <c r="GA319" s="13" t="s">
        <v>816</v>
      </c>
      <c r="GB319" s="13" t="s">
        <v>816</v>
      </c>
      <c r="GE319" s="13" t="s">
        <v>816</v>
      </c>
      <c r="GF319" s="13" t="s">
        <v>816</v>
      </c>
      <c r="GH319" s="13" t="s">
        <v>816</v>
      </c>
    </row>
    <row r="320" spans="1:190" ht="12.75" customHeight="1" x14ac:dyDescent="0.2">
      <c r="A320" s="1" t="s">
        <v>132</v>
      </c>
      <c r="B320" s="1" t="s">
        <v>756</v>
      </c>
      <c r="C320" s="1" t="s">
        <v>814</v>
      </c>
      <c r="D320" s="1" t="s">
        <v>716</v>
      </c>
      <c r="E320" s="1" t="s">
        <v>142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816</v>
      </c>
      <c r="FS320" s="13" t="s">
        <v>816</v>
      </c>
      <c r="FT320" s="13" t="s">
        <v>816</v>
      </c>
      <c r="FU320" s="13"/>
      <c r="FV320" s="13" t="s">
        <v>816</v>
      </c>
      <c r="FW320" s="13" t="s">
        <v>816</v>
      </c>
      <c r="FX320" s="13" t="s">
        <v>816</v>
      </c>
      <c r="FY320" s="13" t="s">
        <v>816</v>
      </c>
      <c r="FZ320" s="13" t="s">
        <v>816</v>
      </c>
      <c r="GA320" s="13" t="s">
        <v>816</v>
      </c>
      <c r="GB320" s="13" t="s">
        <v>816</v>
      </c>
      <c r="GE320" s="13" t="s">
        <v>816</v>
      </c>
      <c r="GF320" s="13" t="s">
        <v>816</v>
      </c>
      <c r="GH320" s="13" t="s">
        <v>816</v>
      </c>
    </row>
    <row r="321" spans="1:190" ht="12.75" customHeight="1" x14ac:dyDescent="0.2">
      <c r="A321" s="1" t="s">
        <v>132</v>
      </c>
      <c r="B321" s="1" t="s">
        <v>756</v>
      </c>
      <c r="C321" s="1" t="s">
        <v>814</v>
      </c>
      <c r="D321" s="1" t="s">
        <v>716</v>
      </c>
      <c r="E321" s="1" t="s">
        <v>142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816</v>
      </c>
      <c r="FS321" s="13" t="s">
        <v>816</v>
      </c>
      <c r="FT321" s="13" t="s">
        <v>816</v>
      </c>
      <c r="FU321" s="13"/>
      <c r="FV321" s="13" t="s">
        <v>816</v>
      </c>
      <c r="FW321" s="13" t="s">
        <v>816</v>
      </c>
      <c r="FX321" s="13" t="s">
        <v>816</v>
      </c>
      <c r="FY321" s="13" t="s">
        <v>816</v>
      </c>
      <c r="FZ321" s="13" t="s">
        <v>816</v>
      </c>
      <c r="GA321" s="13" t="s">
        <v>816</v>
      </c>
      <c r="GB321" s="13" t="s">
        <v>816</v>
      </c>
      <c r="GE321" s="13" t="s">
        <v>816</v>
      </c>
      <c r="GF321" s="13" t="s">
        <v>816</v>
      </c>
      <c r="GH321" s="13" t="s">
        <v>816</v>
      </c>
    </row>
    <row r="322" spans="1:190" ht="12.75" customHeight="1" x14ac:dyDescent="0.2">
      <c r="A322" s="1" t="s">
        <v>137</v>
      </c>
      <c r="B322" s="1" t="s">
        <v>758</v>
      </c>
      <c r="C322" s="1" t="s">
        <v>814</v>
      </c>
      <c r="D322" s="1" t="s">
        <v>717</v>
      </c>
      <c r="E322" s="1" t="s">
        <v>142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816</v>
      </c>
      <c r="FS322" s="13" t="s">
        <v>816</v>
      </c>
      <c r="FT322" s="13" t="s">
        <v>816</v>
      </c>
      <c r="FU322" s="13"/>
      <c r="FV322" s="13" t="s">
        <v>816</v>
      </c>
      <c r="FW322" s="13" t="s">
        <v>816</v>
      </c>
      <c r="FX322" s="13" t="s">
        <v>816</v>
      </c>
      <c r="FY322" s="13" t="s">
        <v>816</v>
      </c>
      <c r="FZ322" s="13" t="s">
        <v>816</v>
      </c>
      <c r="GA322" s="13" t="s">
        <v>816</v>
      </c>
      <c r="GB322" s="13" t="s">
        <v>816</v>
      </c>
      <c r="GE322" s="13" t="s">
        <v>816</v>
      </c>
      <c r="GF322" s="13" t="s">
        <v>816</v>
      </c>
      <c r="GH322" s="13" t="s">
        <v>816</v>
      </c>
    </row>
    <row r="323" spans="1:190" ht="12.75" customHeight="1" x14ac:dyDescent="0.2">
      <c r="A323" s="1" t="s">
        <v>137</v>
      </c>
      <c r="B323" s="1" t="s">
        <v>758</v>
      </c>
      <c r="C323" s="1" t="s">
        <v>814</v>
      </c>
      <c r="D323" s="1" t="s">
        <v>717</v>
      </c>
      <c r="E323" s="1" t="s">
        <v>142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816</v>
      </c>
      <c r="FS323" s="13" t="s">
        <v>816</v>
      </c>
      <c r="FT323" s="13" t="s">
        <v>816</v>
      </c>
      <c r="FU323" s="13"/>
      <c r="FV323" s="13" t="s">
        <v>816</v>
      </c>
      <c r="FW323" s="13" t="s">
        <v>816</v>
      </c>
      <c r="FX323" s="13" t="s">
        <v>816</v>
      </c>
      <c r="FY323" s="13" t="s">
        <v>816</v>
      </c>
      <c r="FZ323" s="13" t="s">
        <v>816</v>
      </c>
      <c r="GA323" s="13" t="s">
        <v>816</v>
      </c>
      <c r="GB323" s="13" t="s">
        <v>816</v>
      </c>
      <c r="GE323" s="13" t="s">
        <v>816</v>
      </c>
      <c r="GF323" s="13" t="s">
        <v>816</v>
      </c>
      <c r="GH323" s="13" t="s">
        <v>816</v>
      </c>
    </row>
    <row r="324" spans="1:190" ht="12.75" customHeight="1" x14ac:dyDescent="0.2">
      <c r="A324" s="1" t="s">
        <v>137</v>
      </c>
      <c r="B324" s="1" t="s">
        <v>758</v>
      </c>
      <c r="C324" s="1" t="s">
        <v>814</v>
      </c>
      <c r="D324" s="1" t="s">
        <v>717</v>
      </c>
      <c r="E324" s="1" t="s">
        <v>142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816</v>
      </c>
      <c r="FS324" s="13" t="s">
        <v>816</v>
      </c>
      <c r="FT324" s="13" t="s">
        <v>816</v>
      </c>
      <c r="FU324" s="13"/>
      <c r="FV324" s="13" t="s">
        <v>816</v>
      </c>
      <c r="FW324" s="13" t="s">
        <v>816</v>
      </c>
      <c r="FX324" s="13" t="s">
        <v>816</v>
      </c>
      <c r="FY324" s="13" t="s">
        <v>816</v>
      </c>
      <c r="FZ324" s="13" t="s">
        <v>816</v>
      </c>
      <c r="GA324" s="13" t="s">
        <v>816</v>
      </c>
      <c r="GB324" s="13" t="s">
        <v>816</v>
      </c>
      <c r="GE324" s="13" t="s">
        <v>816</v>
      </c>
      <c r="GF324" s="13" t="s">
        <v>816</v>
      </c>
      <c r="GH324" s="13" t="s">
        <v>816</v>
      </c>
    </row>
    <row r="325" spans="1:190" ht="12.75" customHeight="1" x14ac:dyDescent="0.2">
      <c r="A325" s="1" t="s">
        <v>137</v>
      </c>
      <c r="B325" s="1" t="s">
        <v>758</v>
      </c>
      <c r="C325" s="1" t="s">
        <v>814</v>
      </c>
      <c r="D325" s="1" t="s">
        <v>717</v>
      </c>
      <c r="E325" s="1" t="s">
        <v>142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816</v>
      </c>
      <c r="FS325" s="13" t="s">
        <v>816</v>
      </c>
      <c r="FT325" s="13" t="s">
        <v>816</v>
      </c>
      <c r="FU325" s="13"/>
      <c r="FV325" s="13" t="s">
        <v>816</v>
      </c>
      <c r="FW325" s="13" t="s">
        <v>816</v>
      </c>
      <c r="FX325" s="13" t="s">
        <v>816</v>
      </c>
      <c r="FY325" s="13" t="s">
        <v>816</v>
      </c>
      <c r="FZ325" s="13" t="s">
        <v>816</v>
      </c>
      <c r="GA325" s="13" t="s">
        <v>816</v>
      </c>
      <c r="GB325" s="13" t="s">
        <v>816</v>
      </c>
      <c r="GE325" s="13" t="s">
        <v>816</v>
      </c>
      <c r="GF325" s="13" t="s">
        <v>816</v>
      </c>
      <c r="GH325" s="13" t="s">
        <v>816</v>
      </c>
    </row>
    <row r="326" spans="1:190" ht="12.75" customHeight="1" x14ac:dyDescent="0.2">
      <c r="A326" s="1" t="s">
        <v>137</v>
      </c>
      <c r="B326" s="1" t="s">
        <v>758</v>
      </c>
      <c r="C326" s="1" t="s">
        <v>814</v>
      </c>
      <c r="D326" s="1" t="s">
        <v>717</v>
      </c>
      <c r="E326" s="1" t="s">
        <v>142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816</v>
      </c>
      <c r="FS326" s="13" t="s">
        <v>816</v>
      </c>
      <c r="FT326" s="13" t="s">
        <v>816</v>
      </c>
      <c r="FU326" s="13"/>
      <c r="FV326" s="13" t="s">
        <v>816</v>
      </c>
      <c r="FW326" s="13" t="s">
        <v>816</v>
      </c>
      <c r="FX326" s="13" t="s">
        <v>816</v>
      </c>
      <c r="FY326" s="13" t="s">
        <v>816</v>
      </c>
      <c r="FZ326" s="13" t="s">
        <v>816</v>
      </c>
      <c r="GA326" s="13" t="s">
        <v>816</v>
      </c>
      <c r="GB326" s="13" t="s">
        <v>816</v>
      </c>
      <c r="GE326" s="13" t="s">
        <v>816</v>
      </c>
      <c r="GF326" s="13" t="s">
        <v>816</v>
      </c>
      <c r="GH326" s="13" t="s">
        <v>816</v>
      </c>
    </row>
    <row r="327" spans="1:190" ht="12.75" customHeight="1" x14ac:dyDescent="0.2">
      <c r="A327" s="1" t="s">
        <v>137</v>
      </c>
      <c r="B327" s="1" t="s">
        <v>758</v>
      </c>
      <c r="C327" s="1" t="s">
        <v>814</v>
      </c>
      <c r="D327" s="1" t="s">
        <v>717</v>
      </c>
      <c r="E327" s="1" t="s">
        <v>142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816</v>
      </c>
      <c r="FS327" s="13" t="s">
        <v>816</v>
      </c>
      <c r="FT327" s="13" t="s">
        <v>816</v>
      </c>
      <c r="FU327" s="13"/>
      <c r="FV327" s="13" t="s">
        <v>816</v>
      </c>
      <c r="FW327" s="13" t="s">
        <v>816</v>
      </c>
      <c r="FX327" s="13" t="s">
        <v>816</v>
      </c>
      <c r="FY327" s="13" t="s">
        <v>816</v>
      </c>
      <c r="FZ327" s="13" t="s">
        <v>816</v>
      </c>
      <c r="GA327" s="13" t="s">
        <v>816</v>
      </c>
      <c r="GB327" s="13" t="s">
        <v>816</v>
      </c>
      <c r="GE327" s="13" t="s">
        <v>816</v>
      </c>
      <c r="GF327" s="13" t="s">
        <v>816</v>
      </c>
      <c r="GH327" s="13" t="s">
        <v>816</v>
      </c>
    </row>
    <row r="328" spans="1:190" ht="12.75" customHeight="1" x14ac:dyDescent="0.2">
      <c r="A328" s="1" t="s">
        <v>137</v>
      </c>
      <c r="B328" s="1" t="s">
        <v>758</v>
      </c>
      <c r="C328" s="1" t="s">
        <v>814</v>
      </c>
      <c r="D328" s="1" t="s">
        <v>717</v>
      </c>
      <c r="E328" s="1" t="s">
        <v>142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816</v>
      </c>
      <c r="FS328" s="13" t="s">
        <v>816</v>
      </c>
      <c r="FT328" s="13" t="s">
        <v>816</v>
      </c>
      <c r="FU328" s="13"/>
      <c r="FV328" s="13" t="s">
        <v>816</v>
      </c>
      <c r="FW328" s="13" t="s">
        <v>816</v>
      </c>
      <c r="FX328" s="13" t="s">
        <v>816</v>
      </c>
      <c r="FY328" s="13" t="s">
        <v>816</v>
      </c>
      <c r="FZ328" s="13" t="s">
        <v>816</v>
      </c>
      <c r="GA328" s="13" t="s">
        <v>816</v>
      </c>
      <c r="GB328" s="13" t="s">
        <v>816</v>
      </c>
      <c r="GE328" s="13" t="s">
        <v>816</v>
      </c>
      <c r="GF328" s="13" t="s">
        <v>816</v>
      </c>
      <c r="GH328" s="13" t="s">
        <v>816</v>
      </c>
    </row>
    <row r="329" spans="1:190" ht="12.75" customHeight="1" x14ac:dyDescent="0.2">
      <c r="A329" s="1" t="s">
        <v>137</v>
      </c>
      <c r="B329" s="1" t="s">
        <v>758</v>
      </c>
      <c r="C329" s="1" t="s">
        <v>814</v>
      </c>
      <c r="D329" s="1" t="s">
        <v>717</v>
      </c>
      <c r="E329" s="1" t="s">
        <v>142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816</v>
      </c>
      <c r="FS329" s="13" t="s">
        <v>816</v>
      </c>
      <c r="FT329" s="13" t="s">
        <v>816</v>
      </c>
      <c r="FU329" s="13"/>
      <c r="FV329" s="13" t="s">
        <v>816</v>
      </c>
      <c r="FW329" s="13" t="s">
        <v>816</v>
      </c>
      <c r="FX329" s="13" t="s">
        <v>816</v>
      </c>
      <c r="FY329" s="13" t="s">
        <v>816</v>
      </c>
      <c r="FZ329" s="13" t="s">
        <v>816</v>
      </c>
      <c r="GA329" s="13" t="s">
        <v>816</v>
      </c>
      <c r="GB329" s="13" t="s">
        <v>816</v>
      </c>
      <c r="GE329" s="13" t="s">
        <v>816</v>
      </c>
      <c r="GF329" s="13" t="s">
        <v>816</v>
      </c>
      <c r="GH329" s="13" t="s">
        <v>816</v>
      </c>
    </row>
    <row r="330" spans="1:190" ht="12.75" customHeight="1" x14ac:dyDescent="0.2">
      <c r="A330" s="1" t="s">
        <v>133</v>
      </c>
      <c r="B330" s="1" t="s">
        <v>759</v>
      </c>
      <c r="C330" s="1" t="s">
        <v>814</v>
      </c>
      <c r="D330" s="1" t="s">
        <v>718</v>
      </c>
      <c r="E330" s="1" t="s">
        <v>142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816</v>
      </c>
      <c r="FS330" s="13" t="s">
        <v>816</v>
      </c>
      <c r="FT330" s="13" t="s">
        <v>816</v>
      </c>
      <c r="FU330" s="13"/>
      <c r="FV330" s="13" t="s">
        <v>816</v>
      </c>
      <c r="FW330" s="13" t="s">
        <v>816</v>
      </c>
      <c r="FX330" s="13" t="s">
        <v>816</v>
      </c>
      <c r="FY330" s="13" t="s">
        <v>816</v>
      </c>
      <c r="FZ330" s="13" t="s">
        <v>816</v>
      </c>
      <c r="GA330" s="13" t="s">
        <v>816</v>
      </c>
      <c r="GB330" s="13" t="s">
        <v>816</v>
      </c>
      <c r="GE330" s="13" t="s">
        <v>816</v>
      </c>
      <c r="GF330" s="13" t="s">
        <v>816</v>
      </c>
      <c r="GH330" s="13" t="s">
        <v>816</v>
      </c>
    </row>
    <row r="331" spans="1:190" ht="12.75" customHeight="1" x14ac:dyDescent="0.2">
      <c r="A331" s="1" t="s">
        <v>133</v>
      </c>
      <c r="B331" s="1" t="s">
        <v>759</v>
      </c>
      <c r="C331" s="1" t="s">
        <v>814</v>
      </c>
      <c r="D331" s="1" t="s">
        <v>718</v>
      </c>
      <c r="E331" s="1" t="s">
        <v>142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816</v>
      </c>
      <c r="FS331" s="13" t="s">
        <v>816</v>
      </c>
      <c r="FT331" s="13" t="s">
        <v>816</v>
      </c>
      <c r="FU331" s="13"/>
      <c r="FV331" s="13" t="s">
        <v>816</v>
      </c>
      <c r="FW331" s="13" t="s">
        <v>816</v>
      </c>
      <c r="FX331" s="13" t="s">
        <v>816</v>
      </c>
      <c r="FY331" s="13" t="s">
        <v>816</v>
      </c>
      <c r="FZ331" s="13" t="s">
        <v>816</v>
      </c>
      <c r="GA331" s="13" t="s">
        <v>816</v>
      </c>
      <c r="GB331" s="13" t="s">
        <v>816</v>
      </c>
      <c r="GE331" s="13" t="s">
        <v>816</v>
      </c>
      <c r="GF331" s="13" t="s">
        <v>816</v>
      </c>
      <c r="GH331" s="13" t="s">
        <v>816</v>
      </c>
    </row>
    <row r="332" spans="1:190" ht="12.75" customHeight="1" x14ac:dyDescent="0.2">
      <c r="A332" s="1" t="s">
        <v>133</v>
      </c>
      <c r="B332" s="1" t="s">
        <v>759</v>
      </c>
      <c r="C332" s="1" t="s">
        <v>814</v>
      </c>
      <c r="D332" s="1" t="s">
        <v>718</v>
      </c>
      <c r="E332" s="1" t="s">
        <v>142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816</v>
      </c>
      <c r="FS332" s="13" t="s">
        <v>816</v>
      </c>
      <c r="FT332" s="13" t="s">
        <v>816</v>
      </c>
      <c r="FU332" s="13"/>
      <c r="FV332" s="13" t="s">
        <v>816</v>
      </c>
      <c r="FW332" s="13" t="s">
        <v>816</v>
      </c>
      <c r="FX332" s="13" t="s">
        <v>816</v>
      </c>
      <c r="FY332" s="13" t="s">
        <v>816</v>
      </c>
      <c r="FZ332" s="13" t="s">
        <v>816</v>
      </c>
      <c r="GA332" s="13" t="s">
        <v>816</v>
      </c>
      <c r="GB332" s="13" t="s">
        <v>816</v>
      </c>
      <c r="GE332" s="13" t="s">
        <v>816</v>
      </c>
      <c r="GF332" s="13" t="s">
        <v>816</v>
      </c>
      <c r="GH332" s="13" t="s">
        <v>816</v>
      </c>
    </row>
    <row r="333" spans="1:190" ht="12.75" customHeight="1" x14ac:dyDescent="0.2">
      <c r="A333" s="1" t="s">
        <v>133</v>
      </c>
      <c r="B333" s="1" t="s">
        <v>759</v>
      </c>
      <c r="C333" s="1" t="s">
        <v>814</v>
      </c>
      <c r="D333" s="1" t="s">
        <v>718</v>
      </c>
      <c r="E333" s="1" t="s">
        <v>142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816</v>
      </c>
      <c r="FS333" s="13" t="s">
        <v>816</v>
      </c>
      <c r="FT333" s="13" t="s">
        <v>816</v>
      </c>
      <c r="FU333" s="13"/>
      <c r="FV333" s="13" t="s">
        <v>816</v>
      </c>
      <c r="FW333" s="13" t="s">
        <v>816</v>
      </c>
      <c r="FX333" s="13" t="s">
        <v>816</v>
      </c>
      <c r="FY333" s="13" t="s">
        <v>816</v>
      </c>
      <c r="FZ333" s="13" t="s">
        <v>816</v>
      </c>
      <c r="GA333" s="13" t="s">
        <v>816</v>
      </c>
      <c r="GB333" s="13" t="s">
        <v>816</v>
      </c>
      <c r="GE333" s="13" t="s">
        <v>816</v>
      </c>
      <c r="GF333" s="13" t="s">
        <v>816</v>
      </c>
      <c r="GH333" s="13" t="s">
        <v>816</v>
      </c>
    </row>
    <row r="334" spans="1:190" ht="12.75" customHeight="1" x14ac:dyDescent="0.2">
      <c r="A334" s="1" t="s">
        <v>133</v>
      </c>
      <c r="B334" s="1" t="s">
        <v>759</v>
      </c>
      <c r="C334" s="1" t="s">
        <v>814</v>
      </c>
      <c r="D334" s="1" t="s">
        <v>718</v>
      </c>
      <c r="E334" s="1" t="s">
        <v>142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816</v>
      </c>
      <c r="FS334" s="13" t="s">
        <v>816</v>
      </c>
      <c r="FT334" s="13" t="s">
        <v>816</v>
      </c>
      <c r="FU334" s="13"/>
      <c r="FV334" s="13" t="s">
        <v>816</v>
      </c>
      <c r="FW334" s="13" t="s">
        <v>816</v>
      </c>
      <c r="FX334" s="13" t="s">
        <v>816</v>
      </c>
      <c r="FY334" s="13" t="s">
        <v>816</v>
      </c>
      <c r="FZ334" s="13" t="s">
        <v>816</v>
      </c>
      <c r="GA334" s="13" t="s">
        <v>816</v>
      </c>
      <c r="GB334" s="13" t="s">
        <v>816</v>
      </c>
      <c r="GE334" s="13" t="s">
        <v>816</v>
      </c>
      <c r="GF334" s="13" t="s">
        <v>816</v>
      </c>
      <c r="GH334" s="13" t="s">
        <v>816</v>
      </c>
    </row>
    <row r="335" spans="1:190" ht="12.75" customHeight="1" x14ac:dyDescent="0.2">
      <c r="A335" s="1" t="s">
        <v>133</v>
      </c>
      <c r="B335" s="1" t="s">
        <v>759</v>
      </c>
      <c r="C335" s="1" t="s">
        <v>814</v>
      </c>
      <c r="D335" s="1" t="s">
        <v>718</v>
      </c>
      <c r="E335" s="1" t="s">
        <v>142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816</v>
      </c>
      <c r="FS335" s="13" t="s">
        <v>816</v>
      </c>
      <c r="FT335" s="13" t="s">
        <v>816</v>
      </c>
      <c r="FU335" s="13"/>
      <c r="FV335" s="13" t="s">
        <v>816</v>
      </c>
      <c r="FW335" s="13" t="s">
        <v>816</v>
      </c>
      <c r="FX335" s="13" t="s">
        <v>816</v>
      </c>
      <c r="FY335" s="13" t="s">
        <v>816</v>
      </c>
      <c r="FZ335" s="13" t="s">
        <v>816</v>
      </c>
      <c r="GA335" s="13" t="s">
        <v>816</v>
      </c>
      <c r="GB335" s="13" t="s">
        <v>816</v>
      </c>
      <c r="GE335" s="13" t="s">
        <v>816</v>
      </c>
      <c r="GF335" s="13" t="s">
        <v>816</v>
      </c>
      <c r="GH335" s="13" t="s">
        <v>816</v>
      </c>
    </row>
    <row r="336" spans="1:190" ht="12.75" customHeight="1" x14ac:dyDescent="0.2">
      <c r="A336" s="1" t="s">
        <v>133</v>
      </c>
      <c r="B336" s="1" t="s">
        <v>759</v>
      </c>
      <c r="C336" s="1" t="s">
        <v>814</v>
      </c>
      <c r="D336" s="1" t="s">
        <v>718</v>
      </c>
      <c r="E336" s="1" t="s">
        <v>142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816</v>
      </c>
      <c r="FS336" s="13" t="s">
        <v>816</v>
      </c>
      <c r="FT336" s="13" t="s">
        <v>816</v>
      </c>
      <c r="FU336" s="13"/>
      <c r="FV336" s="13" t="s">
        <v>816</v>
      </c>
      <c r="FW336" s="13" t="s">
        <v>816</v>
      </c>
      <c r="FX336" s="13" t="s">
        <v>816</v>
      </c>
      <c r="FY336" s="13" t="s">
        <v>816</v>
      </c>
      <c r="FZ336" s="13" t="s">
        <v>816</v>
      </c>
      <c r="GA336" s="13" t="s">
        <v>816</v>
      </c>
      <c r="GB336" s="13" t="s">
        <v>816</v>
      </c>
      <c r="GE336" s="13" t="s">
        <v>816</v>
      </c>
      <c r="GF336" s="13" t="s">
        <v>816</v>
      </c>
      <c r="GH336" s="13" t="s">
        <v>816</v>
      </c>
    </row>
    <row r="337" spans="1:193" ht="12.75" customHeight="1" x14ac:dyDescent="0.2">
      <c r="A337" s="1" t="s">
        <v>133</v>
      </c>
      <c r="B337" s="1" t="s">
        <v>759</v>
      </c>
      <c r="C337" s="1" t="s">
        <v>814</v>
      </c>
      <c r="D337" s="1" t="s">
        <v>718</v>
      </c>
      <c r="E337" s="1" t="s">
        <v>142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816</v>
      </c>
      <c r="FS337" s="13" t="s">
        <v>816</v>
      </c>
      <c r="FT337" s="13" t="s">
        <v>816</v>
      </c>
      <c r="FU337" s="13"/>
      <c r="FV337" s="13" t="s">
        <v>816</v>
      </c>
      <c r="FW337" s="13" t="s">
        <v>816</v>
      </c>
      <c r="FX337" s="13" t="s">
        <v>816</v>
      </c>
      <c r="FY337" s="13" t="s">
        <v>816</v>
      </c>
      <c r="FZ337" s="13" t="s">
        <v>816</v>
      </c>
      <c r="GA337" s="13" t="s">
        <v>816</v>
      </c>
      <c r="GB337" s="13" t="s">
        <v>816</v>
      </c>
      <c r="GE337" s="13" t="s">
        <v>816</v>
      </c>
      <c r="GF337" s="13" t="s">
        <v>816</v>
      </c>
      <c r="GH337" s="13" t="s">
        <v>816</v>
      </c>
    </row>
    <row r="338" spans="1:193" ht="12.75" customHeight="1" x14ac:dyDescent="0.2">
      <c r="A338" s="1" t="s">
        <v>54</v>
      </c>
      <c r="D338" s="1" t="s">
        <v>585</v>
      </c>
      <c r="E338" s="1" t="s">
        <v>129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656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653</v>
      </c>
      <c r="FS338" s="1" t="s">
        <v>653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652</v>
      </c>
      <c r="FZ338" s="13" t="s">
        <v>651</v>
      </c>
      <c r="GA338" s="1">
        <v>202</v>
      </c>
      <c r="GB338" s="1">
        <v>202</v>
      </c>
      <c r="GD338" s="1" t="s">
        <v>655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654</v>
      </c>
    </row>
    <row r="339" spans="1:193" ht="12.75" customHeight="1" x14ac:dyDescent="0.2">
      <c r="A339" s="1" t="s">
        <v>54</v>
      </c>
      <c r="D339" s="1" t="s">
        <v>585</v>
      </c>
      <c r="E339" s="1" t="s">
        <v>129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656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653</v>
      </c>
      <c r="FS339" s="1" t="s">
        <v>653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652</v>
      </c>
      <c r="FZ339" s="13" t="s">
        <v>651</v>
      </c>
      <c r="GA339" s="1">
        <v>202</v>
      </c>
      <c r="GB339" s="1">
        <v>202</v>
      </c>
      <c r="GD339" s="1" t="s">
        <v>655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654</v>
      </c>
    </row>
    <row r="340" spans="1:193" ht="12.75" customHeight="1" x14ac:dyDescent="0.2">
      <c r="A340" s="1" t="s">
        <v>54</v>
      </c>
      <c r="D340" s="1" t="s">
        <v>585</v>
      </c>
      <c r="E340" s="1" t="s">
        <v>129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656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653</v>
      </c>
      <c r="FS340" s="1" t="s">
        <v>653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652</v>
      </c>
      <c r="FZ340" s="13" t="s">
        <v>651</v>
      </c>
      <c r="GA340" s="1">
        <v>202</v>
      </c>
      <c r="GB340" s="1">
        <v>202</v>
      </c>
      <c r="GD340" s="1" t="s">
        <v>655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654</v>
      </c>
    </row>
    <row r="341" spans="1:193" ht="12.75" customHeight="1" x14ac:dyDescent="0.2">
      <c r="A341" s="1" t="s">
        <v>54</v>
      </c>
      <c r="D341" s="1" t="s">
        <v>585</v>
      </c>
      <c r="E341" s="1" t="s">
        <v>129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656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653</v>
      </c>
      <c r="FS341" s="1" t="s">
        <v>653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652</v>
      </c>
      <c r="FZ341" s="13" t="s">
        <v>651</v>
      </c>
      <c r="GA341" s="1">
        <v>202</v>
      </c>
      <c r="GB341" s="1">
        <v>202</v>
      </c>
      <c r="GD341" s="1" t="s">
        <v>655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654</v>
      </c>
    </row>
    <row r="342" spans="1:193" ht="12.75" customHeight="1" x14ac:dyDescent="0.2">
      <c r="A342" s="1" t="s">
        <v>54</v>
      </c>
      <c r="D342" s="1" t="s">
        <v>585</v>
      </c>
      <c r="E342" s="1" t="s">
        <v>129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656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653</v>
      </c>
      <c r="FS342" s="1" t="s">
        <v>653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652</v>
      </c>
      <c r="FZ342" s="13" t="s">
        <v>651</v>
      </c>
      <c r="GA342" s="1">
        <v>202</v>
      </c>
      <c r="GB342" s="1">
        <v>202</v>
      </c>
      <c r="GD342" s="1" t="s">
        <v>655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654</v>
      </c>
    </row>
    <row r="343" spans="1:193" ht="12.75" customHeight="1" x14ac:dyDescent="0.2">
      <c r="A343" s="1" t="s">
        <v>54</v>
      </c>
      <c r="D343" s="1" t="s">
        <v>585</v>
      </c>
      <c r="E343" s="1" t="s">
        <v>129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656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653</v>
      </c>
      <c r="FS343" s="1" t="s">
        <v>653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652</v>
      </c>
      <c r="FZ343" s="13" t="s">
        <v>651</v>
      </c>
      <c r="GA343" s="1">
        <v>202</v>
      </c>
      <c r="GB343" s="1">
        <v>202</v>
      </c>
      <c r="GD343" s="1" t="s">
        <v>655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654</v>
      </c>
    </row>
    <row r="344" spans="1:193" ht="12.75" customHeight="1" x14ac:dyDescent="0.2">
      <c r="A344" s="1" t="s">
        <v>54</v>
      </c>
      <c r="D344" s="1" t="s">
        <v>585</v>
      </c>
      <c r="E344" s="1" t="s">
        <v>129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656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653</v>
      </c>
      <c r="FS344" s="1" t="s">
        <v>653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652</v>
      </c>
      <c r="FZ344" s="13" t="s">
        <v>651</v>
      </c>
      <c r="GA344" s="1">
        <v>202</v>
      </c>
      <c r="GB344" s="1">
        <v>202</v>
      </c>
      <c r="GD344" s="1" t="s">
        <v>655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654</v>
      </c>
    </row>
    <row r="345" spans="1:193" ht="12.75" customHeight="1" x14ac:dyDescent="0.2">
      <c r="A345" s="1" t="s">
        <v>54</v>
      </c>
      <c r="D345" s="1" t="s">
        <v>585</v>
      </c>
      <c r="E345" s="1" t="s">
        <v>129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656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653</v>
      </c>
      <c r="FS345" s="1" t="s">
        <v>653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652</v>
      </c>
      <c r="FZ345" s="13" t="s">
        <v>651</v>
      </c>
      <c r="GA345" s="1">
        <v>202</v>
      </c>
      <c r="GB345" s="1">
        <v>202</v>
      </c>
      <c r="GD345" s="1" t="s">
        <v>655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654</v>
      </c>
    </row>
    <row r="346" spans="1:193" ht="12.75" customHeight="1" x14ac:dyDescent="0.2">
      <c r="A346" s="1" t="s">
        <v>375</v>
      </c>
      <c r="D346" s="1" t="s">
        <v>591</v>
      </c>
      <c r="E346" s="1" t="s">
        <v>129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656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653</v>
      </c>
      <c r="FS346" s="1" t="s">
        <v>653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652</v>
      </c>
      <c r="FZ346" s="13" t="s">
        <v>651</v>
      </c>
      <c r="GA346" s="1">
        <v>202</v>
      </c>
      <c r="GB346" s="1">
        <v>202</v>
      </c>
      <c r="GD346" s="1" t="s">
        <v>655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654</v>
      </c>
    </row>
    <row r="347" spans="1:193" ht="12.75" customHeight="1" x14ac:dyDescent="0.2">
      <c r="A347" s="1" t="s">
        <v>375</v>
      </c>
      <c r="D347" s="1" t="s">
        <v>591</v>
      </c>
      <c r="E347" s="1" t="s">
        <v>129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656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653</v>
      </c>
      <c r="FS347" s="1" t="s">
        <v>653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652</v>
      </c>
      <c r="FZ347" s="13" t="s">
        <v>651</v>
      </c>
      <c r="GA347" s="1">
        <v>202</v>
      </c>
      <c r="GB347" s="1">
        <v>202</v>
      </c>
      <c r="GD347" s="1" t="s">
        <v>655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654</v>
      </c>
    </row>
    <row r="348" spans="1:193" ht="12.75" customHeight="1" x14ac:dyDescent="0.2">
      <c r="A348" s="1" t="s">
        <v>375</v>
      </c>
      <c r="D348" s="1" t="s">
        <v>591</v>
      </c>
      <c r="E348" s="1" t="s">
        <v>129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656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653</v>
      </c>
      <c r="FS348" s="1" t="s">
        <v>653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652</v>
      </c>
      <c r="FZ348" s="13" t="s">
        <v>651</v>
      </c>
      <c r="GA348" s="1">
        <v>202</v>
      </c>
      <c r="GB348" s="1">
        <v>202</v>
      </c>
      <c r="GD348" s="1" t="s">
        <v>655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654</v>
      </c>
    </row>
    <row r="349" spans="1:193" ht="12.75" customHeight="1" x14ac:dyDescent="0.2">
      <c r="A349" s="1" t="s">
        <v>375</v>
      </c>
      <c r="D349" s="1" t="s">
        <v>591</v>
      </c>
      <c r="E349" s="1" t="s">
        <v>129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656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653</v>
      </c>
      <c r="FS349" s="1" t="s">
        <v>653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652</v>
      </c>
      <c r="FZ349" s="13" t="s">
        <v>651</v>
      </c>
      <c r="GA349" s="1">
        <v>202</v>
      </c>
      <c r="GB349" s="1">
        <v>202</v>
      </c>
      <c r="GD349" s="1" t="s">
        <v>655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654</v>
      </c>
    </row>
    <row r="350" spans="1:193" ht="12.75" customHeight="1" x14ac:dyDescent="0.2">
      <c r="A350" s="1" t="s">
        <v>375</v>
      </c>
      <c r="D350" s="1" t="s">
        <v>591</v>
      </c>
      <c r="E350" s="1" t="s">
        <v>129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656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653</v>
      </c>
      <c r="FS350" s="1" t="s">
        <v>653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652</v>
      </c>
      <c r="FZ350" s="13" t="s">
        <v>651</v>
      </c>
      <c r="GA350" s="1">
        <v>202</v>
      </c>
      <c r="GB350" s="1">
        <v>202</v>
      </c>
      <c r="GD350" s="1" t="s">
        <v>655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654</v>
      </c>
    </row>
    <row r="351" spans="1:193" ht="12.75" customHeight="1" x14ac:dyDescent="0.2">
      <c r="A351" s="1" t="s">
        <v>375</v>
      </c>
      <c r="D351" s="1" t="s">
        <v>591</v>
      </c>
      <c r="E351" s="1" t="s">
        <v>129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656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653</v>
      </c>
      <c r="FS351" s="1" t="s">
        <v>653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652</v>
      </c>
      <c r="FZ351" s="13" t="s">
        <v>651</v>
      </c>
      <c r="GA351" s="1">
        <v>202</v>
      </c>
      <c r="GB351" s="1">
        <v>202</v>
      </c>
      <c r="GD351" s="1" t="s">
        <v>655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654</v>
      </c>
    </row>
    <row r="352" spans="1:193" ht="12.75" customHeight="1" x14ac:dyDescent="0.2">
      <c r="A352" s="1" t="s">
        <v>375</v>
      </c>
      <c r="D352" s="1" t="s">
        <v>591</v>
      </c>
      <c r="E352" s="1" t="s">
        <v>129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656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653</v>
      </c>
      <c r="FS352" s="1" t="s">
        <v>653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652</v>
      </c>
      <c r="FZ352" s="13" t="s">
        <v>651</v>
      </c>
      <c r="GA352" s="1">
        <v>202</v>
      </c>
      <c r="GB352" s="1">
        <v>202</v>
      </c>
      <c r="GD352" s="1" t="s">
        <v>655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654</v>
      </c>
    </row>
    <row r="353" spans="1:193" ht="12.75" customHeight="1" x14ac:dyDescent="0.2">
      <c r="A353" s="1" t="s">
        <v>375</v>
      </c>
      <c r="D353" s="1" t="s">
        <v>591</v>
      </c>
      <c r="E353" s="1" t="s">
        <v>129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656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653</v>
      </c>
      <c r="FS353" s="1" t="s">
        <v>653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652</v>
      </c>
      <c r="FZ353" s="13" t="s">
        <v>651</v>
      </c>
      <c r="GA353" s="1">
        <v>202</v>
      </c>
      <c r="GB353" s="1">
        <v>202</v>
      </c>
      <c r="GD353" s="1" t="s">
        <v>655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654</v>
      </c>
    </row>
    <row r="354" spans="1:193" ht="12.75" customHeight="1" x14ac:dyDescent="0.2">
      <c r="A354" s="1" t="s">
        <v>29</v>
      </c>
      <c r="D354" s="1" t="s">
        <v>29</v>
      </c>
      <c r="E354" s="1" t="s">
        <v>129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656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653</v>
      </c>
      <c r="FS354" s="1" t="s">
        <v>653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652</v>
      </c>
      <c r="FZ354" s="13" t="s">
        <v>651</v>
      </c>
      <c r="GA354" s="1">
        <v>202</v>
      </c>
      <c r="GB354" s="1">
        <v>202</v>
      </c>
      <c r="GD354" s="1" t="s">
        <v>655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654</v>
      </c>
    </row>
    <row r="355" spans="1:193" ht="12.75" customHeight="1" x14ac:dyDescent="0.2">
      <c r="A355" s="1" t="s">
        <v>29</v>
      </c>
      <c r="D355" s="1" t="s">
        <v>29</v>
      </c>
      <c r="E355" s="1" t="s">
        <v>129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656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653</v>
      </c>
      <c r="FS355" s="1" t="s">
        <v>653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652</v>
      </c>
      <c r="FZ355" s="13" t="s">
        <v>651</v>
      </c>
      <c r="GA355" s="1">
        <v>202</v>
      </c>
      <c r="GB355" s="1">
        <v>202</v>
      </c>
      <c r="GD355" s="1" t="s">
        <v>655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654</v>
      </c>
    </row>
    <row r="356" spans="1:193" ht="12.75" customHeight="1" x14ac:dyDescent="0.2">
      <c r="A356" s="1" t="s">
        <v>29</v>
      </c>
      <c r="D356" s="1" t="s">
        <v>29</v>
      </c>
      <c r="E356" s="1" t="s">
        <v>129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656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653</v>
      </c>
      <c r="FS356" s="1" t="s">
        <v>653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652</v>
      </c>
      <c r="FZ356" s="13" t="s">
        <v>651</v>
      </c>
      <c r="GA356" s="1">
        <v>202</v>
      </c>
      <c r="GB356" s="1">
        <v>202</v>
      </c>
      <c r="GD356" s="1" t="s">
        <v>655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654</v>
      </c>
    </row>
    <row r="357" spans="1:193" ht="12.75" customHeight="1" x14ac:dyDescent="0.2">
      <c r="A357" s="1" t="s">
        <v>29</v>
      </c>
      <c r="D357" s="1" t="s">
        <v>29</v>
      </c>
      <c r="E357" s="1" t="s">
        <v>129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656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653</v>
      </c>
      <c r="FS357" s="1" t="s">
        <v>653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652</v>
      </c>
      <c r="FZ357" s="13" t="s">
        <v>651</v>
      </c>
      <c r="GA357" s="1">
        <v>202</v>
      </c>
      <c r="GB357" s="1">
        <v>202</v>
      </c>
      <c r="GD357" s="1" t="s">
        <v>655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654</v>
      </c>
    </row>
    <row r="358" spans="1:193" ht="12.75" customHeight="1" x14ac:dyDescent="0.2">
      <c r="A358" s="1" t="s">
        <v>29</v>
      </c>
      <c r="D358" s="1" t="s">
        <v>29</v>
      </c>
      <c r="E358" s="1" t="s">
        <v>129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656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653</v>
      </c>
      <c r="FS358" s="1" t="s">
        <v>653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652</v>
      </c>
      <c r="FZ358" s="13" t="s">
        <v>651</v>
      </c>
      <c r="GA358" s="1">
        <v>202</v>
      </c>
      <c r="GB358" s="1">
        <v>202</v>
      </c>
      <c r="GD358" s="1" t="s">
        <v>655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654</v>
      </c>
    </row>
    <row r="359" spans="1:193" ht="12.75" customHeight="1" x14ac:dyDescent="0.2">
      <c r="A359" s="1" t="s">
        <v>29</v>
      </c>
      <c r="D359" s="1" t="s">
        <v>29</v>
      </c>
      <c r="E359" s="1" t="s">
        <v>129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656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653</v>
      </c>
      <c r="FS359" s="1" t="s">
        <v>653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652</v>
      </c>
      <c r="FZ359" s="13" t="s">
        <v>651</v>
      </c>
      <c r="GA359" s="1">
        <v>202</v>
      </c>
      <c r="GB359" s="1">
        <v>202</v>
      </c>
      <c r="GD359" s="1" t="s">
        <v>655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654</v>
      </c>
    </row>
    <row r="360" spans="1:193" ht="12.75" customHeight="1" x14ac:dyDescent="0.2">
      <c r="A360" s="1" t="s">
        <v>29</v>
      </c>
      <c r="D360" s="1" t="s">
        <v>29</v>
      </c>
      <c r="E360" s="1" t="s">
        <v>129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656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653</v>
      </c>
      <c r="FS360" s="1" t="s">
        <v>653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652</v>
      </c>
      <c r="FZ360" s="13" t="s">
        <v>651</v>
      </c>
      <c r="GA360" s="1">
        <v>202</v>
      </c>
      <c r="GB360" s="1">
        <v>202</v>
      </c>
      <c r="GD360" s="1" t="s">
        <v>655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654</v>
      </c>
    </row>
    <row r="361" spans="1:193" ht="12.75" customHeight="1" x14ac:dyDescent="0.2">
      <c r="A361" s="1" t="s">
        <v>29</v>
      </c>
      <c r="D361" s="1" t="s">
        <v>29</v>
      </c>
      <c r="E361" s="1" t="s">
        <v>129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656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653</v>
      </c>
      <c r="FS361" s="1" t="s">
        <v>653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652</v>
      </c>
      <c r="FZ361" s="13" t="s">
        <v>651</v>
      </c>
      <c r="GA361" s="1">
        <v>202</v>
      </c>
      <c r="GB361" s="1">
        <v>202</v>
      </c>
      <c r="GD361" s="1" t="s">
        <v>655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654</v>
      </c>
    </row>
    <row r="362" spans="1:193" ht="12.75" customHeight="1" x14ac:dyDescent="0.2">
      <c r="A362" s="1" t="s">
        <v>84</v>
      </c>
      <c r="D362" s="1" t="s">
        <v>587</v>
      </c>
      <c r="E362" s="1" t="s">
        <v>129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656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653</v>
      </c>
      <c r="FS362" s="1" t="s">
        <v>653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652</v>
      </c>
      <c r="FZ362" s="13" t="s">
        <v>651</v>
      </c>
      <c r="GA362" s="1">
        <v>202</v>
      </c>
      <c r="GB362" s="1">
        <v>202</v>
      </c>
      <c r="GD362" s="1" t="s">
        <v>655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654</v>
      </c>
    </row>
    <row r="363" spans="1:193" ht="12.75" customHeight="1" x14ac:dyDescent="0.2">
      <c r="A363" s="1" t="s">
        <v>84</v>
      </c>
      <c r="D363" s="1" t="s">
        <v>587</v>
      </c>
      <c r="E363" s="1" t="s">
        <v>129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656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653</v>
      </c>
      <c r="FS363" s="1" t="s">
        <v>653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652</v>
      </c>
      <c r="FZ363" s="13" t="s">
        <v>651</v>
      </c>
      <c r="GA363" s="1">
        <v>202</v>
      </c>
      <c r="GB363" s="1">
        <v>202</v>
      </c>
      <c r="GD363" s="1" t="s">
        <v>655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654</v>
      </c>
    </row>
    <row r="364" spans="1:193" ht="12.75" customHeight="1" x14ac:dyDescent="0.2">
      <c r="A364" s="1" t="s">
        <v>84</v>
      </c>
      <c r="D364" s="1" t="s">
        <v>587</v>
      </c>
      <c r="E364" s="1" t="s">
        <v>129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656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653</v>
      </c>
      <c r="FS364" s="1" t="s">
        <v>653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652</v>
      </c>
      <c r="FZ364" s="13" t="s">
        <v>651</v>
      </c>
      <c r="GA364" s="1">
        <v>202</v>
      </c>
      <c r="GB364" s="1">
        <v>202</v>
      </c>
      <c r="GD364" s="1" t="s">
        <v>655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654</v>
      </c>
    </row>
    <row r="365" spans="1:193" ht="12.75" customHeight="1" x14ac:dyDescent="0.2">
      <c r="A365" s="1" t="s">
        <v>84</v>
      </c>
      <c r="D365" s="1" t="s">
        <v>587</v>
      </c>
      <c r="E365" s="1" t="s">
        <v>129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656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653</v>
      </c>
      <c r="FS365" s="1" t="s">
        <v>653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652</v>
      </c>
      <c r="FZ365" s="13" t="s">
        <v>651</v>
      </c>
      <c r="GA365" s="1">
        <v>202</v>
      </c>
      <c r="GB365" s="1">
        <v>202</v>
      </c>
      <c r="GD365" s="1" t="s">
        <v>655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654</v>
      </c>
    </row>
    <row r="366" spans="1:193" ht="12.75" customHeight="1" x14ac:dyDescent="0.2">
      <c r="A366" s="1" t="s">
        <v>84</v>
      </c>
      <c r="D366" s="1" t="s">
        <v>587</v>
      </c>
      <c r="E366" s="1" t="s">
        <v>129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656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653</v>
      </c>
      <c r="FS366" s="1" t="s">
        <v>653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652</v>
      </c>
      <c r="FZ366" s="13" t="s">
        <v>651</v>
      </c>
      <c r="GA366" s="1">
        <v>202</v>
      </c>
      <c r="GB366" s="1">
        <v>202</v>
      </c>
      <c r="GD366" s="1" t="s">
        <v>655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654</v>
      </c>
    </row>
    <row r="367" spans="1:193" ht="12.75" customHeight="1" x14ac:dyDescent="0.2">
      <c r="A367" s="1" t="s">
        <v>84</v>
      </c>
      <c r="D367" s="1" t="s">
        <v>587</v>
      </c>
      <c r="E367" s="1" t="s">
        <v>129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656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653</v>
      </c>
      <c r="FS367" s="1" t="s">
        <v>653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652</v>
      </c>
      <c r="FZ367" s="13" t="s">
        <v>651</v>
      </c>
      <c r="GA367" s="1">
        <v>202</v>
      </c>
      <c r="GB367" s="1">
        <v>202</v>
      </c>
      <c r="GD367" s="1" t="s">
        <v>655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654</v>
      </c>
    </row>
    <row r="368" spans="1:193" ht="12.75" customHeight="1" x14ac:dyDescent="0.2">
      <c r="A368" s="1" t="s">
        <v>84</v>
      </c>
      <c r="D368" s="1" t="s">
        <v>587</v>
      </c>
      <c r="E368" s="1" t="s">
        <v>129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656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653</v>
      </c>
      <c r="FS368" s="1" t="s">
        <v>653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652</v>
      </c>
      <c r="FZ368" s="13" t="s">
        <v>651</v>
      </c>
      <c r="GA368" s="1">
        <v>202</v>
      </c>
      <c r="GB368" s="1">
        <v>202</v>
      </c>
      <c r="GD368" s="1" t="s">
        <v>655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654</v>
      </c>
    </row>
    <row r="369" spans="1:193" ht="12.75" customHeight="1" x14ac:dyDescent="0.2">
      <c r="A369" s="1" t="s">
        <v>84</v>
      </c>
      <c r="D369" s="1" t="s">
        <v>587</v>
      </c>
      <c r="E369" s="1" t="s">
        <v>129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656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653</v>
      </c>
      <c r="FS369" s="1" t="s">
        <v>653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652</v>
      </c>
      <c r="FZ369" s="13" t="s">
        <v>651</v>
      </c>
      <c r="GA369" s="1">
        <v>202</v>
      </c>
      <c r="GB369" s="1">
        <v>202</v>
      </c>
      <c r="GD369" s="1" t="s">
        <v>655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654</v>
      </c>
    </row>
    <row r="370" spans="1:193" ht="12.75" customHeight="1" x14ac:dyDescent="0.2">
      <c r="A370" s="1" t="s">
        <v>194</v>
      </c>
      <c r="D370" s="1" t="s">
        <v>593</v>
      </c>
      <c r="E370" s="1" t="s">
        <v>129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656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653</v>
      </c>
      <c r="FS370" s="1" t="s">
        <v>653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652</v>
      </c>
      <c r="FZ370" s="13" t="s">
        <v>651</v>
      </c>
      <c r="GA370" s="1">
        <v>202</v>
      </c>
      <c r="GB370" s="1">
        <v>202</v>
      </c>
      <c r="GD370" s="1" t="s">
        <v>655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654</v>
      </c>
    </row>
    <row r="371" spans="1:193" ht="12.75" customHeight="1" x14ac:dyDescent="0.2">
      <c r="A371" s="1" t="s">
        <v>194</v>
      </c>
      <c r="D371" s="1" t="s">
        <v>593</v>
      </c>
      <c r="E371" s="1" t="s">
        <v>129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656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653</v>
      </c>
      <c r="FS371" s="1" t="s">
        <v>653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652</v>
      </c>
      <c r="FZ371" s="13" t="s">
        <v>651</v>
      </c>
      <c r="GA371" s="1">
        <v>202</v>
      </c>
      <c r="GB371" s="1">
        <v>202</v>
      </c>
      <c r="GD371" s="1" t="s">
        <v>655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654</v>
      </c>
    </row>
    <row r="372" spans="1:193" ht="12.75" customHeight="1" x14ac:dyDescent="0.2">
      <c r="A372" s="1" t="s">
        <v>194</v>
      </c>
      <c r="D372" s="1" t="s">
        <v>593</v>
      </c>
      <c r="E372" s="1" t="s">
        <v>129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656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653</v>
      </c>
      <c r="FS372" s="1" t="s">
        <v>653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652</v>
      </c>
      <c r="FZ372" s="13" t="s">
        <v>651</v>
      </c>
      <c r="GA372" s="1">
        <v>202</v>
      </c>
      <c r="GB372" s="1">
        <v>202</v>
      </c>
      <c r="GD372" s="1" t="s">
        <v>655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654</v>
      </c>
    </row>
    <row r="373" spans="1:193" ht="12.75" customHeight="1" x14ac:dyDescent="0.2">
      <c r="A373" s="1" t="s">
        <v>194</v>
      </c>
      <c r="D373" s="1" t="s">
        <v>593</v>
      </c>
      <c r="E373" s="1" t="s">
        <v>129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656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653</v>
      </c>
      <c r="FS373" s="1" t="s">
        <v>653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652</v>
      </c>
      <c r="FZ373" s="13" t="s">
        <v>651</v>
      </c>
      <c r="GA373" s="1">
        <v>202</v>
      </c>
      <c r="GB373" s="1">
        <v>202</v>
      </c>
      <c r="GD373" s="1" t="s">
        <v>655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654</v>
      </c>
    </row>
    <row r="374" spans="1:193" ht="12.75" customHeight="1" x14ac:dyDescent="0.2">
      <c r="A374" s="1" t="s">
        <v>194</v>
      </c>
      <c r="D374" s="1" t="s">
        <v>593</v>
      </c>
      <c r="E374" s="1" t="s">
        <v>129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656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653</v>
      </c>
      <c r="FS374" s="1" t="s">
        <v>653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652</v>
      </c>
      <c r="FZ374" s="13" t="s">
        <v>651</v>
      </c>
      <c r="GA374" s="1">
        <v>202</v>
      </c>
      <c r="GB374" s="1">
        <v>202</v>
      </c>
      <c r="GD374" s="1" t="s">
        <v>655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654</v>
      </c>
    </row>
    <row r="375" spans="1:193" ht="12.75" customHeight="1" x14ac:dyDescent="0.2">
      <c r="A375" s="1" t="s">
        <v>194</v>
      </c>
      <c r="D375" s="1" t="s">
        <v>593</v>
      </c>
      <c r="E375" s="1" t="s">
        <v>129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656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653</v>
      </c>
      <c r="FS375" s="1" t="s">
        <v>653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652</v>
      </c>
      <c r="FZ375" s="13" t="s">
        <v>651</v>
      </c>
      <c r="GA375" s="1">
        <v>202</v>
      </c>
      <c r="GB375" s="1">
        <v>202</v>
      </c>
      <c r="GD375" s="1" t="s">
        <v>655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654</v>
      </c>
    </row>
    <row r="376" spans="1:193" ht="12.75" customHeight="1" x14ac:dyDescent="0.2">
      <c r="A376" s="1" t="s">
        <v>194</v>
      </c>
      <c r="D376" s="1" t="s">
        <v>593</v>
      </c>
      <c r="E376" s="1" t="s">
        <v>129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656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653</v>
      </c>
      <c r="FS376" s="1" t="s">
        <v>653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652</v>
      </c>
      <c r="FZ376" s="13" t="s">
        <v>651</v>
      </c>
      <c r="GA376" s="1">
        <v>202</v>
      </c>
      <c r="GB376" s="1">
        <v>202</v>
      </c>
      <c r="GD376" s="1" t="s">
        <v>655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654</v>
      </c>
    </row>
    <row r="377" spans="1:193" ht="12.75" customHeight="1" x14ac:dyDescent="0.2">
      <c r="A377" s="1" t="s">
        <v>194</v>
      </c>
      <c r="D377" s="1" t="s">
        <v>593</v>
      </c>
      <c r="E377" s="1" t="s">
        <v>129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656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653</v>
      </c>
      <c r="FS377" s="1" t="s">
        <v>653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652</v>
      </c>
      <c r="FZ377" s="13" t="s">
        <v>651</v>
      </c>
      <c r="GA377" s="1">
        <v>202</v>
      </c>
      <c r="GB377" s="1">
        <v>202</v>
      </c>
      <c r="GD377" s="1" t="s">
        <v>655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654</v>
      </c>
    </row>
    <row r="378" spans="1:193" ht="12.75" customHeight="1" x14ac:dyDescent="0.2">
      <c r="A378" s="1" t="s">
        <v>581</v>
      </c>
      <c r="D378" s="1" t="s">
        <v>588</v>
      </c>
      <c r="E378" s="1" t="s">
        <v>129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656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653</v>
      </c>
      <c r="FS378" s="1" t="s">
        <v>653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652</v>
      </c>
      <c r="FZ378" s="13" t="s">
        <v>651</v>
      </c>
      <c r="GA378" s="1">
        <v>202</v>
      </c>
      <c r="GB378" s="1">
        <v>202</v>
      </c>
      <c r="GD378" s="1" t="s">
        <v>655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654</v>
      </c>
    </row>
    <row r="379" spans="1:193" ht="12.75" customHeight="1" x14ac:dyDescent="0.2">
      <c r="A379" s="1" t="s">
        <v>581</v>
      </c>
      <c r="D379" s="1" t="s">
        <v>588</v>
      </c>
      <c r="E379" s="1" t="s">
        <v>129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656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653</v>
      </c>
      <c r="FS379" s="1" t="s">
        <v>653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652</v>
      </c>
      <c r="FZ379" s="13" t="s">
        <v>651</v>
      </c>
      <c r="GA379" s="1">
        <v>202</v>
      </c>
      <c r="GB379" s="1">
        <v>202</v>
      </c>
      <c r="GD379" s="1" t="s">
        <v>655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654</v>
      </c>
    </row>
    <row r="380" spans="1:193" ht="12.75" customHeight="1" x14ac:dyDescent="0.2">
      <c r="A380" s="1" t="s">
        <v>581</v>
      </c>
      <c r="D380" s="1" t="s">
        <v>588</v>
      </c>
      <c r="E380" s="1" t="s">
        <v>129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656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653</v>
      </c>
      <c r="FS380" s="1" t="s">
        <v>653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652</v>
      </c>
      <c r="FZ380" s="13" t="s">
        <v>651</v>
      </c>
      <c r="GA380" s="1">
        <v>202</v>
      </c>
      <c r="GB380" s="1">
        <v>202</v>
      </c>
      <c r="GD380" s="1" t="s">
        <v>655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654</v>
      </c>
    </row>
    <row r="381" spans="1:193" ht="12.75" customHeight="1" x14ac:dyDescent="0.2">
      <c r="A381" s="1" t="s">
        <v>581</v>
      </c>
      <c r="D381" s="1" t="s">
        <v>588</v>
      </c>
      <c r="E381" s="1" t="s">
        <v>129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656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653</v>
      </c>
      <c r="FS381" s="1" t="s">
        <v>653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652</v>
      </c>
      <c r="FZ381" s="13" t="s">
        <v>651</v>
      </c>
      <c r="GA381" s="1">
        <v>202</v>
      </c>
      <c r="GB381" s="1">
        <v>202</v>
      </c>
      <c r="GD381" s="1" t="s">
        <v>655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654</v>
      </c>
    </row>
    <row r="382" spans="1:193" ht="12.75" customHeight="1" x14ac:dyDescent="0.2">
      <c r="A382" s="1" t="s">
        <v>581</v>
      </c>
      <c r="D382" s="1" t="s">
        <v>588</v>
      </c>
      <c r="E382" s="1" t="s">
        <v>129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656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653</v>
      </c>
      <c r="FS382" s="1" t="s">
        <v>653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652</v>
      </c>
      <c r="FZ382" s="13" t="s">
        <v>651</v>
      </c>
      <c r="GA382" s="1">
        <v>202</v>
      </c>
      <c r="GB382" s="1">
        <v>202</v>
      </c>
      <c r="GD382" s="1" t="s">
        <v>655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654</v>
      </c>
    </row>
    <row r="383" spans="1:193" ht="12.75" customHeight="1" x14ac:dyDescent="0.2">
      <c r="A383" s="1" t="s">
        <v>581</v>
      </c>
      <c r="D383" s="1" t="s">
        <v>588</v>
      </c>
      <c r="E383" s="1" t="s">
        <v>129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656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653</v>
      </c>
      <c r="FS383" s="1" t="s">
        <v>653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652</v>
      </c>
      <c r="FZ383" s="13" t="s">
        <v>651</v>
      </c>
      <c r="GA383" s="1">
        <v>202</v>
      </c>
      <c r="GB383" s="1">
        <v>202</v>
      </c>
      <c r="GD383" s="1" t="s">
        <v>655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654</v>
      </c>
    </row>
    <row r="384" spans="1:193" ht="12.75" customHeight="1" x14ac:dyDescent="0.2">
      <c r="A384" s="1" t="s">
        <v>581</v>
      </c>
      <c r="D384" s="1" t="s">
        <v>588</v>
      </c>
      <c r="E384" s="1" t="s">
        <v>129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656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653</v>
      </c>
      <c r="FS384" s="1" t="s">
        <v>653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652</v>
      </c>
      <c r="FZ384" s="13" t="s">
        <v>651</v>
      </c>
      <c r="GA384" s="1">
        <v>202</v>
      </c>
      <c r="GB384" s="1">
        <v>202</v>
      </c>
      <c r="GD384" s="1" t="s">
        <v>655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654</v>
      </c>
    </row>
    <row r="385" spans="1:193" ht="12.75" customHeight="1" x14ac:dyDescent="0.2">
      <c r="A385" s="1" t="s">
        <v>581</v>
      </c>
      <c r="D385" s="1" t="s">
        <v>588</v>
      </c>
      <c r="E385" s="1" t="s">
        <v>129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656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653</v>
      </c>
      <c r="FS385" s="1" t="s">
        <v>653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652</v>
      </c>
      <c r="FZ385" s="13" t="s">
        <v>651</v>
      </c>
      <c r="GA385" s="1">
        <v>202</v>
      </c>
      <c r="GB385" s="1">
        <v>202</v>
      </c>
      <c r="GD385" s="1" t="s">
        <v>655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654</v>
      </c>
    </row>
    <row r="386" spans="1:193" ht="12.75" customHeight="1" x14ac:dyDescent="0.2">
      <c r="A386" s="1" t="s">
        <v>77</v>
      </c>
      <c r="D386" s="1" t="s">
        <v>589</v>
      </c>
      <c r="E386" s="1" t="s">
        <v>129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657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653</v>
      </c>
      <c r="FS386" s="1" t="s">
        <v>653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652</v>
      </c>
      <c r="FZ386" s="13" t="s">
        <v>651</v>
      </c>
      <c r="GA386" s="1">
        <v>202</v>
      </c>
      <c r="GB386" s="1">
        <v>202</v>
      </c>
      <c r="GD386" s="1" t="s">
        <v>655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654</v>
      </c>
    </row>
    <row r="387" spans="1:193" ht="12.75" customHeight="1" x14ac:dyDescent="0.2">
      <c r="A387" s="1" t="s">
        <v>77</v>
      </c>
      <c r="D387" s="1" t="s">
        <v>589</v>
      </c>
      <c r="E387" s="1" t="s">
        <v>129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657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653</v>
      </c>
      <c r="FS387" s="1" t="s">
        <v>653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652</v>
      </c>
      <c r="FZ387" s="13" t="s">
        <v>651</v>
      </c>
      <c r="GA387" s="1">
        <v>202</v>
      </c>
      <c r="GB387" s="1">
        <v>202</v>
      </c>
      <c r="GD387" s="1" t="s">
        <v>655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654</v>
      </c>
    </row>
    <row r="388" spans="1:193" ht="12.75" customHeight="1" x14ac:dyDescent="0.2">
      <c r="A388" s="1" t="s">
        <v>77</v>
      </c>
      <c r="D388" s="1" t="s">
        <v>589</v>
      </c>
      <c r="E388" s="1" t="s">
        <v>129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657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653</v>
      </c>
      <c r="FS388" s="1" t="s">
        <v>653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652</v>
      </c>
      <c r="FZ388" s="13" t="s">
        <v>651</v>
      </c>
      <c r="GA388" s="1">
        <v>202</v>
      </c>
      <c r="GB388" s="1">
        <v>202</v>
      </c>
      <c r="GD388" s="1" t="s">
        <v>655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654</v>
      </c>
    </row>
    <row r="389" spans="1:193" ht="12.75" customHeight="1" x14ac:dyDescent="0.2">
      <c r="A389" s="1" t="s">
        <v>77</v>
      </c>
      <c r="D389" s="1" t="s">
        <v>589</v>
      </c>
      <c r="E389" s="1" t="s">
        <v>129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657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653</v>
      </c>
      <c r="FS389" s="1" t="s">
        <v>653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652</v>
      </c>
      <c r="FZ389" s="13" t="s">
        <v>651</v>
      </c>
      <c r="GA389" s="1">
        <v>202</v>
      </c>
      <c r="GB389" s="1">
        <v>202</v>
      </c>
      <c r="GD389" s="1" t="s">
        <v>655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654</v>
      </c>
    </row>
    <row r="390" spans="1:193" ht="12.75" customHeight="1" x14ac:dyDescent="0.2">
      <c r="A390" s="1" t="s">
        <v>77</v>
      </c>
      <c r="D390" s="1" t="s">
        <v>589</v>
      </c>
      <c r="E390" s="1" t="s">
        <v>129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657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653</v>
      </c>
      <c r="FS390" s="1" t="s">
        <v>653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652</v>
      </c>
      <c r="FZ390" s="13" t="s">
        <v>651</v>
      </c>
      <c r="GA390" s="1">
        <v>202</v>
      </c>
      <c r="GB390" s="1">
        <v>202</v>
      </c>
      <c r="GD390" s="1" t="s">
        <v>655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654</v>
      </c>
    </row>
    <row r="391" spans="1:193" ht="12.75" customHeight="1" x14ac:dyDescent="0.2">
      <c r="A391" s="1" t="s">
        <v>77</v>
      </c>
      <c r="D391" s="1" t="s">
        <v>589</v>
      </c>
      <c r="E391" s="1" t="s">
        <v>129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657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653</v>
      </c>
      <c r="FS391" s="1" t="s">
        <v>653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652</v>
      </c>
      <c r="FZ391" s="13" t="s">
        <v>651</v>
      </c>
      <c r="GA391" s="1">
        <v>202</v>
      </c>
      <c r="GB391" s="1">
        <v>202</v>
      </c>
      <c r="GD391" s="1" t="s">
        <v>655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654</v>
      </c>
    </row>
    <row r="392" spans="1:193" ht="12.75" customHeight="1" x14ac:dyDescent="0.2">
      <c r="A392" s="1" t="s">
        <v>77</v>
      </c>
      <c r="D392" s="1" t="s">
        <v>589</v>
      </c>
      <c r="E392" s="1" t="s">
        <v>129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657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653</v>
      </c>
      <c r="FS392" s="1" t="s">
        <v>653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652</v>
      </c>
      <c r="FZ392" s="13" t="s">
        <v>651</v>
      </c>
      <c r="GA392" s="1">
        <v>202</v>
      </c>
      <c r="GB392" s="1">
        <v>202</v>
      </c>
      <c r="GD392" s="1" t="s">
        <v>655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654</v>
      </c>
    </row>
    <row r="393" spans="1:193" ht="12.75" customHeight="1" x14ac:dyDescent="0.2">
      <c r="A393" s="1" t="s">
        <v>77</v>
      </c>
      <c r="D393" s="1" t="s">
        <v>589</v>
      </c>
      <c r="E393" s="1" t="s">
        <v>129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657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653</v>
      </c>
      <c r="FS393" s="1" t="s">
        <v>653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652</v>
      </c>
      <c r="FZ393" s="13" t="s">
        <v>651</v>
      </c>
      <c r="GA393" s="1">
        <v>202</v>
      </c>
      <c r="GB393" s="1">
        <v>202</v>
      </c>
      <c r="GD393" s="1" t="s">
        <v>655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654</v>
      </c>
    </row>
    <row r="394" spans="1:193" ht="12.75" customHeight="1" x14ac:dyDescent="0.2">
      <c r="A394" s="1" t="s">
        <v>81</v>
      </c>
      <c r="D394" s="1" t="s">
        <v>81</v>
      </c>
      <c r="E394" s="1" t="s">
        <v>129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656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653</v>
      </c>
      <c r="FS394" s="1" t="s">
        <v>653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652</v>
      </c>
      <c r="FZ394" s="13" t="s">
        <v>651</v>
      </c>
      <c r="GA394" s="1">
        <v>202</v>
      </c>
      <c r="GB394" s="1">
        <v>202</v>
      </c>
      <c r="GD394" s="1" t="s">
        <v>655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654</v>
      </c>
    </row>
    <row r="395" spans="1:193" ht="12.75" customHeight="1" x14ac:dyDescent="0.2">
      <c r="A395" s="1" t="s">
        <v>81</v>
      </c>
      <c r="D395" s="1" t="s">
        <v>81</v>
      </c>
      <c r="E395" s="1" t="s">
        <v>129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656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653</v>
      </c>
      <c r="FS395" s="1" t="s">
        <v>653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652</v>
      </c>
      <c r="FZ395" s="13" t="s">
        <v>651</v>
      </c>
      <c r="GA395" s="1">
        <v>202</v>
      </c>
      <c r="GB395" s="1">
        <v>202</v>
      </c>
      <c r="GD395" s="1" t="s">
        <v>655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654</v>
      </c>
    </row>
    <row r="396" spans="1:193" ht="12.75" customHeight="1" x14ac:dyDescent="0.2">
      <c r="A396" s="1" t="s">
        <v>81</v>
      </c>
      <c r="D396" s="1" t="s">
        <v>81</v>
      </c>
      <c r="E396" s="1" t="s">
        <v>129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656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653</v>
      </c>
      <c r="FS396" s="1" t="s">
        <v>653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652</v>
      </c>
      <c r="FZ396" s="13" t="s">
        <v>651</v>
      </c>
      <c r="GA396" s="1">
        <v>202</v>
      </c>
      <c r="GB396" s="1">
        <v>202</v>
      </c>
      <c r="GD396" s="1" t="s">
        <v>655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654</v>
      </c>
    </row>
    <row r="397" spans="1:193" ht="12.75" customHeight="1" x14ac:dyDescent="0.2">
      <c r="A397" s="1" t="s">
        <v>81</v>
      </c>
      <c r="D397" s="1" t="s">
        <v>81</v>
      </c>
      <c r="E397" s="1" t="s">
        <v>129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656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653</v>
      </c>
      <c r="FS397" s="1" t="s">
        <v>653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652</v>
      </c>
      <c r="FZ397" s="13" t="s">
        <v>651</v>
      </c>
      <c r="GA397" s="1">
        <v>202</v>
      </c>
      <c r="GB397" s="1">
        <v>202</v>
      </c>
      <c r="GD397" s="1" t="s">
        <v>655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654</v>
      </c>
    </row>
    <row r="398" spans="1:193" ht="12.75" customHeight="1" x14ac:dyDescent="0.2">
      <c r="A398" s="1" t="s">
        <v>81</v>
      </c>
      <c r="D398" s="1" t="s">
        <v>81</v>
      </c>
      <c r="E398" s="1" t="s">
        <v>129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656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653</v>
      </c>
      <c r="FS398" s="1" t="s">
        <v>653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652</v>
      </c>
      <c r="FZ398" s="13" t="s">
        <v>651</v>
      </c>
      <c r="GA398" s="1">
        <v>202</v>
      </c>
      <c r="GB398" s="1">
        <v>202</v>
      </c>
      <c r="GD398" s="1" t="s">
        <v>655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654</v>
      </c>
    </row>
    <row r="399" spans="1:193" ht="12.75" customHeight="1" x14ac:dyDescent="0.2">
      <c r="A399" s="1" t="s">
        <v>81</v>
      </c>
      <c r="D399" s="1" t="s">
        <v>81</v>
      </c>
      <c r="E399" s="1" t="s">
        <v>129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656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653</v>
      </c>
      <c r="FS399" s="1" t="s">
        <v>653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652</v>
      </c>
      <c r="FZ399" s="13" t="s">
        <v>651</v>
      </c>
      <c r="GA399" s="1">
        <v>202</v>
      </c>
      <c r="GB399" s="1">
        <v>202</v>
      </c>
      <c r="GD399" s="1" t="s">
        <v>655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654</v>
      </c>
    </row>
    <row r="400" spans="1:193" ht="12.75" customHeight="1" x14ac:dyDescent="0.2">
      <c r="A400" s="1" t="s">
        <v>81</v>
      </c>
      <c r="D400" s="1" t="s">
        <v>81</v>
      </c>
      <c r="E400" s="1" t="s">
        <v>129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656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653</v>
      </c>
      <c r="FS400" s="1" t="s">
        <v>653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652</v>
      </c>
      <c r="FZ400" s="13" t="s">
        <v>651</v>
      </c>
      <c r="GA400" s="1">
        <v>202</v>
      </c>
      <c r="GB400" s="1">
        <v>202</v>
      </c>
      <c r="GD400" s="1" t="s">
        <v>655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654</v>
      </c>
    </row>
    <row r="401" spans="1:193" ht="12.75" customHeight="1" x14ac:dyDescent="0.2">
      <c r="A401" s="1" t="s">
        <v>81</v>
      </c>
      <c r="D401" s="1" t="s">
        <v>81</v>
      </c>
      <c r="E401" s="1" t="s">
        <v>129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656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653</v>
      </c>
      <c r="FS401" s="1" t="s">
        <v>653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652</v>
      </c>
      <c r="FZ401" s="13" t="s">
        <v>651</v>
      </c>
      <c r="GA401" s="1">
        <v>202</v>
      </c>
      <c r="GB401" s="1">
        <v>202</v>
      </c>
      <c r="GD401" s="1" t="s">
        <v>655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654</v>
      </c>
    </row>
    <row r="402" spans="1:193" ht="12.75" customHeight="1" x14ac:dyDescent="0.2">
      <c r="A402" s="1" t="s">
        <v>41</v>
      </c>
      <c r="D402" s="1" t="s">
        <v>583</v>
      </c>
      <c r="E402" s="1" t="s">
        <v>129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656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653</v>
      </c>
      <c r="FS402" s="1" t="s">
        <v>653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652</v>
      </c>
      <c r="FZ402" s="13" t="s">
        <v>651</v>
      </c>
      <c r="GA402" s="1">
        <v>202</v>
      </c>
      <c r="GB402" s="1">
        <v>202</v>
      </c>
      <c r="GD402" s="1" t="s">
        <v>655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654</v>
      </c>
    </row>
    <row r="403" spans="1:193" ht="12.75" customHeight="1" x14ac:dyDescent="0.2">
      <c r="A403" s="1" t="s">
        <v>41</v>
      </c>
      <c r="D403" s="1" t="s">
        <v>583</v>
      </c>
      <c r="E403" s="1" t="s">
        <v>129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656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653</v>
      </c>
      <c r="FS403" s="1" t="s">
        <v>653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652</v>
      </c>
      <c r="FZ403" s="13" t="s">
        <v>651</v>
      </c>
      <c r="GA403" s="1">
        <v>202</v>
      </c>
      <c r="GB403" s="1">
        <v>202</v>
      </c>
      <c r="GD403" s="1" t="s">
        <v>655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654</v>
      </c>
    </row>
    <row r="404" spans="1:193" ht="12.75" customHeight="1" x14ac:dyDescent="0.2">
      <c r="A404" s="1" t="s">
        <v>41</v>
      </c>
      <c r="D404" s="1" t="s">
        <v>583</v>
      </c>
      <c r="E404" s="1" t="s">
        <v>129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656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653</v>
      </c>
      <c r="FS404" s="1" t="s">
        <v>653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652</v>
      </c>
      <c r="FZ404" s="13" t="s">
        <v>651</v>
      </c>
      <c r="GA404" s="1">
        <v>202</v>
      </c>
      <c r="GB404" s="1">
        <v>202</v>
      </c>
      <c r="GD404" s="1" t="s">
        <v>655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654</v>
      </c>
    </row>
    <row r="405" spans="1:193" ht="12.75" customHeight="1" x14ac:dyDescent="0.2">
      <c r="A405" s="1" t="s">
        <v>41</v>
      </c>
      <c r="D405" s="1" t="s">
        <v>583</v>
      </c>
      <c r="E405" s="1" t="s">
        <v>129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656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653</v>
      </c>
      <c r="FS405" s="1" t="s">
        <v>653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652</v>
      </c>
      <c r="FZ405" s="13" t="s">
        <v>651</v>
      </c>
      <c r="GA405" s="1">
        <v>202</v>
      </c>
      <c r="GB405" s="1">
        <v>202</v>
      </c>
      <c r="GD405" s="1" t="s">
        <v>655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654</v>
      </c>
    </row>
    <row r="406" spans="1:193" ht="12.75" customHeight="1" x14ac:dyDescent="0.2">
      <c r="A406" s="1" t="s">
        <v>41</v>
      </c>
      <c r="D406" s="1" t="s">
        <v>583</v>
      </c>
      <c r="E406" s="1" t="s">
        <v>129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656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653</v>
      </c>
      <c r="FS406" s="1" t="s">
        <v>653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652</v>
      </c>
      <c r="FZ406" s="13" t="s">
        <v>651</v>
      </c>
      <c r="GA406" s="1">
        <v>202</v>
      </c>
      <c r="GB406" s="1">
        <v>202</v>
      </c>
      <c r="GD406" s="1" t="s">
        <v>655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654</v>
      </c>
    </row>
    <row r="407" spans="1:193" ht="12.75" customHeight="1" x14ac:dyDescent="0.2">
      <c r="A407" s="1" t="s">
        <v>41</v>
      </c>
      <c r="D407" s="1" t="s">
        <v>583</v>
      </c>
      <c r="E407" s="1" t="s">
        <v>129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656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653</v>
      </c>
      <c r="FS407" s="1" t="s">
        <v>653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652</v>
      </c>
      <c r="FZ407" s="13" t="s">
        <v>651</v>
      </c>
      <c r="GA407" s="1">
        <v>202</v>
      </c>
      <c r="GB407" s="1">
        <v>202</v>
      </c>
      <c r="GD407" s="1" t="s">
        <v>655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654</v>
      </c>
    </row>
    <row r="408" spans="1:193" ht="12.75" customHeight="1" x14ac:dyDescent="0.2">
      <c r="A408" s="1" t="s">
        <v>41</v>
      </c>
      <c r="D408" s="1" t="s">
        <v>583</v>
      </c>
      <c r="E408" s="1" t="s">
        <v>129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656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653</v>
      </c>
      <c r="FS408" s="1" t="s">
        <v>653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652</v>
      </c>
      <c r="FZ408" s="13" t="s">
        <v>651</v>
      </c>
      <c r="GA408" s="1">
        <v>202</v>
      </c>
      <c r="GB408" s="1">
        <v>202</v>
      </c>
      <c r="GD408" s="1" t="s">
        <v>655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654</v>
      </c>
    </row>
    <row r="409" spans="1:193" ht="12.75" customHeight="1" x14ac:dyDescent="0.2">
      <c r="A409" s="1" t="s">
        <v>41</v>
      </c>
      <c r="D409" s="1" t="s">
        <v>583</v>
      </c>
      <c r="E409" s="1" t="s">
        <v>129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656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653</v>
      </c>
      <c r="FS409" s="1" t="s">
        <v>653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652</v>
      </c>
      <c r="FZ409" s="13" t="s">
        <v>651</v>
      </c>
      <c r="GA409" s="1">
        <v>202</v>
      </c>
      <c r="GB409" s="1">
        <v>202</v>
      </c>
      <c r="GD409" s="1" t="s">
        <v>655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654</v>
      </c>
    </row>
    <row r="410" spans="1:193" ht="12.75" customHeight="1" x14ac:dyDescent="0.2">
      <c r="A410" s="1" t="s">
        <v>80</v>
      </c>
      <c r="D410" s="1" t="s">
        <v>590</v>
      </c>
      <c r="E410" s="1" t="s">
        <v>129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656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653</v>
      </c>
      <c r="FS410" s="1" t="s">
        <v>653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652</v>
      </c>
      <c r="FZ410" s="13" t="s">
        <v>651</v>
      </c>
      <c r="GA410" s="1">
        <v>202</v>
      </c>
      <c r="GB410" s="1">
        <v>202</v>
      </c>
      <c r="GD410" s="1" t="s">
        <v>655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654</v>
      </c>
    </row>
    <row r="411" spans="1:193" ht="12.75" customHeight="1" x14ac:dyDescent="0.2">
      <c r="A411" s="1" t="s">
        <v>80</v>
      </c>
      <c r="D411" s="1" t="s">
        <v>590</v>
      </c>
      <c r="E411" s="1" t="s">
        <v>129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656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653</v>
      </c>
      <c r="FS411" s="1" t="s">
        <v>653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652</v>
      </c>
      <c r="FZ411" s="13" t="s">
        <v>651</v>
      </c>
      <c r="GA411" s="1">
        <v>202</v>
      </c>
      <c r="GB411" s="1">
        <v>202</v>
      </c>
      <c r="GD411" s="1" t="s">
        <v>655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654</v>
      </c>
    </row>
    <row r="412" spans="1:193" ht="12.75" customHeight="1" x14ac:dyDescent="0.2">
      <c r="A412" s="1" t="s">
        <v>80</v>
      </c>
      <c r="D412" s="1" t="s">
        <v>590</v>
      </c>
      <c r="E412" s="1" t="s">
        <v>129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656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653</v>
      </c>
      <c r="FS412" s="1" t="s">
        <v>653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652</v>
      </c>
      <c r="FZ412" s="13" t="s">
        <v>651</v>
      </c>
      <c r="GA412" s="1">
        <v>202</v>
      </c>
      <c r="GB412" s="1">
        <v>202</v>
      </c>
      <c r="GD412" s="1" t="s">
        <v>655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654</v>
      </c>
    </row>
    <row r="413" spans="1:193" ht="12.75" customHeight="1" x14ac:dyDescent="0.2">
      <c r="A413" s="1" t="s">
        <v>80</v>
      </c>
      <c r="D413" s="1" t="s">
        <v>590</v>
      </c>
      <c r="E413" s="1" t="s">
        <v>129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656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653</v>
      </c>
      <c r="FS413" s="1" t="s">
        <v>653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652</v>
      </c>
      <c r="FZ413" s="13" t="s">
        <v>651</v>
      </c>
      <c r="GA413" s="1">
        <v>202</v>
      </c>
      <c r="GB413" s="1">
        <v>202</v>
      </c>
      <c r="GD413" s="1" t="s">
        <v>655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654</v>
      </c>
    </row>
    <row r="414" spans="1:193" ht="12.75" customHeight="1" x14ac:dyDescent="0.2">
      <c r="A414" s="1" t="s">
        <v>80</v>
      </c>
      <c r="D414" s="1" t="s">
        <v>590</v>
      </c>
      <c r="E414" s="1" t="s">
        <v>129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656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653</v>
      </c>
      <c r="FS414" s="1" t="s">
        <v>653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652</v>
      </c>
      <c r="FZ414" s="13" t="s">
        <v>651</v>
      </c>
      <c r="GA414" s="1">
        <v>202</v>
      </c>
      <c r="GB414" s="1">
        <v>202</v>
      </c>
      <c r="GD414" s="1" t="s">
        <v>655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654</v>
      </c>
    </row>
    <row r="415" spans="1:193" ht="12.75" customHeight="1" x14ac:dyDescent="0.2">
      <c r="A415" s="1" t="s">
        <v>80</v>
      </c>
      <c r="D415" s="1" t="s">
        <v>590</v>
      </c>
      <c r="E415" s="1" t="s">
        <v>129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656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653</v>
      </c>
      <c r="FS415" s="1" t="s">
        <v>653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652</v>
      </c>
      <c r="FZ415" s="13" t="s">
        <v>651</v>
      </c>
      <c r="GA415" s="1">
        <v>202</v>
      </c>
      <c r="GB415" s="1">
        <v>202</v>
      </c>
      <c r="GD415" s="1" t="s">
        <v>655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654</v>
      </c>
    </row>
    <row r="416" spans="1:193" ht="12.75" customHeight="1" x14ac:dyDescent="0.2">
      <c r="A416" s="1" t="s">
        <v>80</v>
      </c>
      <c r="D416" s="1" t="s">
        <v>590</v>
      </c>
      <c r="E416" s="1" t="s">
        <v>129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656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653</v>
      </c>
      <c r="FS416" s="1" t="s">
        <v>653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652</v>
      </c>
      <c r="FZ416" s="13" t="s">
        <v>651</v>
      </c>
      <c r="GA416" s="1">
        <v>202</v>
      </c>
      <c r="GB416" s="1">
        <v>202</v>
      </c>
      <c r="GD416" s="1" t="s">
        <v>655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654</v>
      </c>
    </row>
    <row r="417" spans="1:193" ht="12.75" customHeight="1" x14ac:dyDescent="0.2">
      <c r="A417" s="1" t="s">
        <v>80</v>
      </c>
      <c r="D417" s="1" t="s">
        <v>590</v>
      </c>
      <c r="E417" s="1" t="s">
        <v>129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656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653</v>
      </c>
      <c r="FS417" s="1" t="s">
        <v>653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652</v>
      </c>
      <c r="FZ417" s="13" t="s">
        <v>651</v>
      </c>
      <c r="GA417" s="1">
        <v>202</v>
      </c>
      <c r="GB417" s="1">
        <v>202</v>
      </c>
      <c r="GD417" s="1" t="s">
        <v>655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654</v>
      </c>
    </row>
    <row r="418" spans="1:193" ht="12.75" customHeight="1" x14ac:dyDescent="0.2">
      <c r="A418" s="1" t="s">
        <v>953</v>
      </c>
      <c r="D418" s="1" t="s">
        <v>592</v>
      </c>
      <c r="E418" s="1" t="s">
        <v>129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658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653</v>
      </c>
      <c r="FS418" s="1" t="s">
        <v>653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652</v>
      </c>
      <c r="FZ418" s="13" t="s">
        <v>651</v>
      </c>
      <c r="GA418" s="1">
        <v>202</v>
      </c>
      <c r="GB418" s="1">
        <v>202</v>
      </c>
      <c r="GD418" s="1" t="s">
        <v>655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654</v>
      </c>
    </row>
    <row r="419" spans="1:193" ht="12.75" customHeight="1" x14ac:dyDescent="0.2">
      <c r="A419" s="1" t="s">
        <v>953</v>
      </c>
      <c r="D419" s="1" t="s">
        <v>592</v>
      </c>
      <c r="E419" s="1" t="s">
        <v>129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658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653</v>
      </c>
      <c r="FS419" s="1" t="s">
        <v>653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652</v>
      </c>
      <c r="FZ419" s="13" t="s">
        <v>651</v>
      </c>
      <c r="GA419" s="1">
        <v>202</v>
      </c>
      <c r="GB419" s="1">
        <v>202</v>
      </c>
      <c r="GD419" s="1" t="s">
        <v>655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654</v>
      </c>
    </row>
    <row r="420" spans="1:193" ht="12.75" customHeight="1" x14ac:dyDescent="0.2">
      <c r="A420" s="1" t="s">
        <v>953</v>
      </c>
      <c r="D420" s="1" t="s">
        <v>592</v>
      </c>
      <c r="E420" s="1" t="s">
        <v>129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658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653</v>
      </c>
      <c r="FS420" s="1" t="s">
        <v>653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652</v>
      </c>
      <c r="FZ420" s="13" t="s">
        <v>651</v>
      </c>
      <c r="GA420" s="1">
        <v>202</v>
      </c>
      <c r="GB420" s="1">
        <v>202</v>
      </c>
      <c r="GD420" s="1" t="s">
        <v>655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654</v>
      </c>
    </row>
    <row r="421" spans="1:193" ht="12.75" customHeight="1" x14ac:dyDescent="0.2">
      <c r="A421" s="1" t="s">
        <v>953</v>
      </c>
      <c r="D421" s="1" t="s">
        <v>592</v>
      </c>
      <c r="E421" s="1" t="s">
        <v>129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658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653</v>
      </c>
      <c r="FS421" s="1" t="s">
        <v>653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652</v>
      </c>
      <c r="FZ421" s="13" t="s">
        <v>651</v>
      </c>
      <c r="GA421" s="1">
        <v>202</v>
      </c>
      <c r="GB421" s="1">
        <v>202</v>
      </c>
      <c r="GD421" s="1" t="s">
        <v>655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654</v>
      </c>
    </row>
    <row r="422" spans="1:193" ht="12.75" customHeight="1" x14ac:dyDescent="0.2">
      <c r="A422" s="1" t="s">
        <v>953</v>
      </c>
      <c r="D422" s="1" t="s">
        <v>592</v>
      </c>
      <c r="E422" s="1" t="s">
        <v>129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658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653</v>
      </c>
      <c r="FS422" s="1" t="s">
        <v>653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652</v>
      </c>
      <c r="FZ422" s="13" t="s">
        <v>651</v>
      </c>
      <c r="GA422" s="1">
        <v>202</v>
      </c>
      <c r="GB422" s="1">
        <v>202</v>
      </c>
      <c r="GD422" s="1" t="s">
        <v>655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654</v>
      </c>
    </row>
    <row r="423" spans="1:193" ht="12.75" customHeight="1" x14ac:dyDescent="0.2">
      <c r="A423" s="1" t="s">
        <v>953</v>
      </c>
      <c r="D423" s="1" t="s">
        <v>592</v>
      </c>
      <c r="E423" s="1" t="s">
        <v>129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658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653</v>
      </c>
      <c r="FS423" s="1" t="s">
        <v>653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652</v>
      </c>
      <c r="FZ423" s="13" t="s">
        <v>651</v>
      </c>
      <c r="GA423" s="1">
        <v>202</v>
      </c>
      <c r="GB423" s="1">
        <v>202</v>
      </c>
      <c r="GD423" s="1" t="s">
        <v>655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654</v>
      </c>
    </row>
    <row r="424" spans="1:193" ht="12.75" customHeight="1" x14ac:dyDescent="0.2">
      <c r="A424" s="1" t="s">
        <v>953</v>
      </c>
      <c r="D424" s="1" t="s">
        <v>592</v>
      </c>
      <c r="E424" s="1" t="s">
        <v>129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658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653</v>
      </c>
      <c r="FS424" s="1" t="s">
        <v>653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652</v>
      </c>
      <c r="FZ424" s="13" t="s">
        <v>651</v>
      </c>
      <c r="GA424" s="1">
        <v>202</v>
      </c>
      <c r="GB424" s="1">
        <v>202</v>
      </c>
      <c r="GD424" s="1" t="s">
        <v>655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654</v>
      </c>
    </row>
    <row r="425" spans="1:193" ht="12.75" customHeight="1" x14ac:dyDescent="0.2">
      <c r="A425" s="1" t="s">
        <v>953</v>
      </c>
      <c r="D425" s="1" t="s">
        <v>592</v>
      </c>
      <c r="E425" s="1" t="s">
        <v>129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658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653</v>
      </c>
      <c r="FS425" s="1" t="s">
        <v>653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652</v>
      </c>
      <c r="FZ425" s="13" t="s">
        <v>651</v>
      </c>
      <c r="GA425" s="1">
        <v>202</v>
      </c>
      <c r="GB425" s="1">
        <v>202</v>
      </c>
      <c r="GD425" s="1" t="s">
        <v>655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654</v>
      </c>
    </row>
    <row r="426" spans="1:193" ht="12.75" customHeight="1" x14ac:dyDescent="0.2">
      <c r="A426" s="1" t="s">
        <v>582</v>
      </c>
      <c r="D426" s="1" t="s">
        <v>586</v>
      </c>
      <c r="E426" s="1" t="s">
        <v>129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656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653</v>
      </c>
      <c r="FS426" s="1" t="s">
        <v>653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652</v>
      </c>
      <c r="FZ426" s="13" t="s">
        <v>651</v>
      </c>
      <c r="GA426" s="1">
        <v>202</v>
      </c>
      <c r="GB426" s="1">
        <v>202</v>
      </c>
      <c r="GD426" s="1" t="s">
        <v>655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654</v>
      </c>
    </row>
    <row r="427" spans="1:193" ht="12.75" customHeight="1" x14ac:dyDescent="0.2">
      <c r="A427" s="1" t="s">
        <v>582</v>
      </c>
      <c r="D427" s="1" t="s">
        <v>586</v>
      </c>
      <c r="E427" s="1" t="s">
        <v>129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656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653</v>
      </c>
      <c r="FS427" s="1" t="s">
        <v>653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652</v>
      </c>
      <c r="FZ427" s="13" t="s">
        <v>651</v>
      </c>
      <c r="GA427" s="1">
        <v>202</v>
      </c>
      <c r="GB427" s="1">
        <v>202</v>
      </c>
      <c r="GD427" s="1" t="s">
        <v>655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654</v>
      </c>
    </row>
    <row r="428" spans="1:193" ht="12.75" customHeight="1" x14ac:dyDescent="0.2">
      <c r="A428" s="1" t="s">
        <v>582</v>
      </c>
      <c r="D428" s="1" t="s">
        <v>586</v>
      </c>
      <c r="E428" s="1" t="s">
        <v>129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656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653</v>
      </c>
      <c r="FS428" s="1" t="s">
        <v>653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652</v>
      </c>
      <c r="FZ428" s="13" t="s">
        <v>651</v>
      </c>
      <c r="GA428" s="1">
        <v>202</v>
      </c>
      <c r="GB428" s="1">
        <v>202</v>
      </c>
      <c r="GD428" s="1" t="s">
        <v>655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654</v>
      </c>
    </row>
    <row r="429" spans="1:193" ht="12.75" customHeight="1" x14ac:dyDescent="0.2">
      <c r="A429" s="1" t="s">
        <v>582</v>
      </c>
      <c r="D429" s="1" t="s">
        <v>586</v>
      </c>
      <c r="E429" s="1" t="s">
        <v>129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656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653</v>
      </c>
      <c r="FS429" s="1" t="s">
        <v>653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652</v>
      </c>
      <c r="FZ429" s="13" t="s">
        <v>651</v>
      </c>
      <c r="GA429" s="1">
        <v>202</v>
      </c>
      <c r="GB429" s="1">
        <v>202</v>
      </c>
      <c r="GD429" s="1" t="s">
        <v>655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654</v>
      </c>
    </row>
    <row r="430" spans="1:193" ht="12.75" customHeight="1" x14ac:dyDescent="0.2">
      <c r="A430" s="1" t="s">
        <v>582</v>
      </c>
      <c r="D430" s="1" t="s">
        <v>586</v>
      </c>
      <c r="E430" s="1" t="s">
        <v>129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656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653</v>
      </c>
      <c r="FS430" s="1" t="s">
        <v>653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652</v>
      </c>
      <c r="FZ430" s="13" t="s">
        <v>651</v>
      </c>
      <c r="GA430" s="1">
        <v>202</v>
      </c>
      <c r="GB430" s="1">
        <v>202</v>
      </c>
      <c r="GD430" s="1" t="s">
        <v>655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654</v>
      </c>
    </row>
    <row r="431" spans="1:193" ht="12.75" customHeight="1" x14ac:dyDescent="0.2">
      <c r="A431" s="1" t="s">
        <v>582</v>
      </c>
      <c r="D431" s="1" t="s">
        <v>586</v>
      </c>
      <c r="E431" s="1" t="s">
        <v>129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656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653</v>
      </c>
      <c r="FS431" s="1" t="s">
        <v>653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652</v>
      </c>
      <c r="FZ431" s="13" t="s">
        <v>651</v>
      </c>
      <c r="GA431" s="1">
        <v>202</v>
      </c>
      <c r="GB431" s="1">
        <v>202</v>
      </c>
      <c r="GD431" s="1" t="s">
        <v>655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654</v>
      </c>
    </row>
    <row r="432" spans="1:193" ht="12.75" customHeight="1" x14ac:dyDescent="0.2">
      <c r="A432" s="1" t="s">
        <v>582</v>
      </c>
      <c r="D432" s="1" t="s">
        <v>586</v>
      </c>
      <c r="E432" s="1" t="s">
        <v>129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656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653</v>
      </c>
      <c r="FS432" s="1" t="s">
        <v>653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652</v>
      </c>
      <c r="FZ432" s="13" t="s">
        <v>651</v>
      </c>
      <c r="GA432" s="1">
        <v>202</v>
      </c>
      <c r="GB432" s="1">
        <v>202</v>
      </c>
      <c r="GD432" s="1" t="s">
        <v>655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654</v>
      </c>
    </row>
    <row r="433" spans="1:193" ht="12.75" customHeight="1" x14ac:dyDescent="0.2">
      <c r="A433" s="1" t="s">
        <v>582</v>
      </c>
      <c r="D433" s="1" t="s">
        <v>586</v>
      </c>
      <c r="E433" s="1" t="s">
        <v>129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656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653</v>
      </c>
      <c r="FS433" s="1" t="s">
        <v>653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652</v>
      </c>
      <c r="FZ433" s="13" t="s">
        <v>651</v>
      </c>
      <c r="GA433" s="1">
        <v>202</v>
      </c>
      <c r="GB433" s="1">
        <v>202</v>
      </c>
      <c r="GD433" s="1" t="s">
        <v>655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131</v>
      </c>
      <c r="C1" s="2" t="s">
        <v>407</v>
      </c>
      <c r="D1" t="s">
        <v>28</v>
      </c>
    </row>
    <row r="2" spans="1:4" x14ac:dyDescent="0.25">
      <c r="A2" s="1" t="s">
        <v>213</v>
      </c>
      <c r="B2" s="1" t="s">
        <v>129</v>
      </c>
      <c r="C2" s="1" t="s">
        <v>409</v>
      </c>
      <c r="D2" s="11">
        <v>89</v>
      </c>
    </row>
    <row r="3" spans="1:4" x14ac:dyDescent="0.25">
      <c r="A3" s="1" t="s">
        <v>408</v>
      </c>
      <c r="B3" s="1" t="s">
        <v>130</v>
      </c>
      <c r="C3" s="1" t="s">
        <v>409</v>
      </c>
      <c r="D3" s="11">
        <v>89</v>
      </c>
    </row>
    <row r="4" spans="1:4" x14ac:dyDescent="0.25">
      <c r="A4" s="33" t="s">
        <v>394</v>
      </c>
      <c r="B4" s="1" t="s">
        <v>142</v>
      </c>
      <c r="C4" s="1" t="s">
        <v>409</v>
      </c>
      <c r="D4" s="11">
        <v>89</v>
      </c>
    </row>
    <row r="5" spans="1:4" x14ac:dyDescent="0.25">
      <c r="A5" s="1" t="s">
        <v>213</v>
      </c>
      <c r="B5" s="1" t="s">
        <v>130</v>
      </c>
      <c r="C5" s="1" t="s">
        <v>409</v>
      </c>
      <c r="D5" s="11">
        <v>89</v>
      </c>
    </row>
    <row r="6" spans="1:4" x14ac:dyDescent="0.25">
      <c r="A6" s="1" t="s">
        <v>213</v>
      </c>
      <c r="B6" s="1" t="s">
        <v>129</v>
      </c>
      <c r="C6" s="1" t="s">
        <v>409</v>
      </c>
      <c r="D6" s="11">
        <v>89</v>
      </c>
    </row>
    <row r="7" spans="1:4" x14ac:dyDescent="0.25">
      <c r="A7" s="33" t="s">
        <v>214</v>
      </c>
      <c r="B7" s="1" t="s">
        <v>130</v>
      </c>
      <c r="C7" s="1" t="s">
        <v>409</v>
      </c>
      <c r="D7" s="11">
        <v>89</v>
      </c>
    </row>
    <row r="8" spans="1:4" x14ac:dyDescent="0.25">
      <c r="A8" s="33" t="s">
        <v>367</v>
      </c>
      <c r="B8" s="33" t="s">
        <v>142</v>
      </c>
      <c r="C8" s="1" t="s">
        <v>409</v>
      </c>
      <c r="D8" s="11">
        <v>89</v>
      </c>
    </row>
    <row r="9" spans="1:4" x14ac:dyDescent="0.25">
      <c r="A9" s="1" t="s">
        <v>153</v>
      </c>
      <c r="B9" s="1" t="s">
        <v>142</v>
      </c>
      <c r="C9" s="1" t="s">
        <v>409</v>
      </c>
      <c r="D9" s="11">
        <v>89</v>
      </c>
    </row>
    <row r="10" spans="1:4" x14ac:dyDescent="0.25">
      <c r="A10" s="1" t="s">
        <v>100</v>
      </c>
      <c r="B10" s="1" t="s">
        <v>129</v>
      </c>
      <c r="C10" s="1" t="s">
        <v>410</v>
      </c>
      <c r="D10" s="11">
        <v>89</v>
      </c>
    </row>
    <row r="11" spans="1:4" x14ac:dyDescent="0.25">
      <c r="A11" s="1" t="s">
        <v>1159</v>
      </c>
      <c r="B11" s="1" t="s">
        <v>130</v>
      </c>
      <c r="C11" s="1" t="s">
        <v>410</v>
      </c>
      <c r="D11" s="11">
        <v>89</v>
      </c>
    </row>
    <row r="12" spans="1:4" x14ac:dyDescent="0.25">
      <c r="A12" s="1" t="s">
        <v>378</v>
      </c>
      <c r="B12" s="1" t="s">
        <v>130</v>
      </c>
      <c r="C12" s="1" t="s">
        <v>410</v>
      </c>
      <c r="D12" s="11">
        <v>89</v>
      </c>
    </row>
    <row r="13" spans="1:4" x14ac:dyDescent="0.25">
      <c r="A13" s="33" t="s">
        <v>379</v>
      </c>
      <c r="B13" s="1" t="s">
        <v>130</v>
      </c>
      <c r="C13" s="1" t="s">
        <v>410</v>
      </c>
      <c r="D13" s="11">
        <v>89</v>
      </c>
    </row>
    <row r="14" spans="1:4" x14ac:dyDescent="0.25">
      <c r="A14" s="1" t="s">
        <v>226</v>
      </c>
      <c r="B14" s="1" t="s">
        <v>130</v>
      </c>
      <c r="C14" s="1" t="s">
        <v>410</v>
      </c>
      <c r="D14" s="11">
        <v>89</v>
      </c>
    </row>
    <row r="15" spans="1:4" x14ac:dyDescent="0.25">
      <c r="A15" s="1" t="s">
        <v>953</v>
      </c>
      <c r="B15" s="1" t="s">
        <v>129</v>
      </c>
      <c r="C15" s="1" t="s">
        <v>411</v>
      </c>
      <c r="D15" s="11">
        <v>89</v>
      </c>
    </row>
    <row r="16" spans="1:4" x14ac:dyDescent="0.25">
      <c r="A16" s="1" t="s">
        <v>77</v>
      </c>
      <c r="B16" s="1" t="s">
        <v>129</v>
      </c>
      <c r="C16" s="1" t="s">
        <v>411</v>
      </c>
      <c r="D16" s="11">
        <v>89</v>
      </c>
    </row>
    <row r="17" spans="1:4" x14ac:dyDescent="0.25">
      <c r="A17" s="1" t="s">
        <v>80</v>
      </c>
      <c r="B17" s="1" t="s">
        <v>129</v>
      </c>
      <c r="C17" s="1" t="s">
        <v>411</v>
      </c>
      <c r="D17" s="11">
        <v>89</v>
      </c>
    </row>
    <row r="18" spans="1:4" x14ac:dyDescent="0.25">
      <c r="A18" s="1" t="s">
        <v>81</v>
      </c>
      <c r="B18" s="1" t="s">
        <v>129</v>
      </c>
      <c r="C18" s="1" t="s">
        <v>411</v>
      </c>
      <c r="D18" s="11">
        <v>89</v>
      </c>
    </row>
    <row r="19" spans="1:4" x14ac:dyDescent="0.25">
      <c r="A19" s="1" t="s">
        <v>375</v>
      </c>
      <c r="B19" s="1" t="s">
        <v>129</v>
      </c>
      <c r="C19" s="1" t="s">
        <v>411</v>
      </c>
      <c r="D19" s="11">
        <v>89</v>
      </c>
    </row>
    <row r="20" spans="1:4" x14ac:dyDescent="0.25">
      <c r="A20" s="1" t="s">
        <v>53</v>
      </c>
      <c r="B20" s="1" t="s">
        <v>129</v>
      </c>
      <c r="C20" s="1" t="s">
        <v>411</v>
      </c>
      <c r="D20" s="11">
        <v>89</v>
      </c>
    </row>
    <row r="21" spans="1:4" x14ac:dyDescent="0.25">
      <c r="A21" s="33" t="s">
        <v>132</v>
      </c>
      <c r="B21" s="33" t="s">
        <v>142</v>
      </c>
      <c r="C21" s="1" t="s">
        <v>412</v>
      </c>
      <c r="D21" s="11">
        <v>89</v>
      </c>
    </row>
    <row r="22" spans="1:4" x14ac:dyDescent="0.25">
      <c r="A22" s="1" t="s">
        <v>133</v>
      </c>
      <c r="B22" s="1" t="s">
        <v>142</v>
      </c>
      <c r="C22" s="1" t="s">
        <v>412</v>
      </c>
      <c r="D22" s="11">
        <v>89</v>
      </c>
    </row>
    <row r="23" spans="1:4" x14ac:dyDescent="0.25">
      <c r="A23" s="33" t="s">
        <v>288</v>
      </c>
      <c r="B23" s="33" t="s">
        <v>142</v>
      </c>
      <c r="C23" s="1" t="s">
        <v>412</v>
      </c>
      <c r="D23" s="11">
        <v>89</v>
      </c>
    </row>
    <row r="24" spans="1:4" x14ac:dyDescent="0.25">
      <c r="A24" s="1" t="s">
        <v>54</v>
      </c>
      <c r="B24" s="1" t="s">
        <v>129</v>
      </c>
      <c r="C24" s="1" t="s">
        <v>413</v>
      </c>
      <c r="D24" s="11">
        <v>89</v>
      </c>
    </row>
    <row r="25" spans="1:4" x14ac:dyDescent="0.25">
      <c r="A25" s="33" t="s">
        <v>72</v>
      </c>
      <c r="B25" s="33" t="s">
        <v>129</v>
      </c>
      <c r="C25" s="1" t="s">
        <v>413</v>
      </c>
      <c r="D25" s="11">
        <v>89</v>
      </c>
    </row>
    <row r="26" spans="1:4" x14ac:dyDescent="0.25">
      <c r="A26" s="1" t="s">
        <v>76</v>
      </c>
      <c r="B26" s="1" t="s">
        <v>129</v>
      </c>
      <c r="C26" s="1" t="s">
        <v>413</v>
      </c>
      <c r="D26" s="11">
        <v>89</v>
      </c>
    </row>
    <row r="27" spans="1:4" x14ac:dyDescent="0.25">
      <c r="A27" s="33" t="s">
        <v>29</v>
      </c>
      <c r="B27" s="33" t="s">
        <v>129</v>
      </c>
      <c r="C27" s="1" t="s">
        <v>413</v>
      </c>
      <c r="D27" s="11">
        <v>89</v>
      </c>
    </row>
    <row r="28" spans="1:4" x14ac:dyDescent="0.25">
      <c r="A28" s="1" t="s">
        <v>84</v>
      </c>
      <c r="B28" s="1" t="s">
        <v>129</v>
      </c>
      <c r="C28" s="1" t="s">
        <v>413</v>
      </c>
      <c r="D28" s="11">
        <v>89</v>
      </c>
    </row>
    <row r="29" spans="1:4" x14ac:dyDescent="0.25">
      <c r="A29" s="33" t="s">
        <v>140</v>
      </c>
      <c r="B29" s="33" t="s">
        <v>130</v>
      </c>
      <c r="C29" s="1" t="s">
        <v>414</v>
      </c>
      <c r="D29" s="11">
        <v>89</v>
      </c>
    </row>
    <row r="30" spans="1:4" x14ac:dyDescent="0.25">
      <c r="A30" s="1" t="s">
        <v>139</v>
      </c>
      <c r="B30" s="1" t="s">
        <v>130</v>
      </c>
      <c r="C30" s="1" t="s">
        <v>414</v>
      </c>
      <c r="D30" s="11">
        <v>89</v>
      </c>
    </row>
    <row r="31" spans="1:4" x14ac:dyDescent="0.25">
      <c r="A31" s="33" t="s">
        <v>141</v>
      </c>
      <c r="B31" s="33" t="s">
        <v>142</v>
      </c>
      <c r="C31" s="1" t="s">
        <v>414</v>
      </c>
      <c r="D31" s="11">
        <v>89</v>
      </c>
    </row>
    <row r="32" spans="1:4" x14ac:dyDescent="0.25">
      <c r="A32" s="1" t="s">
        <v>138</v>
      </c>
      <c r="B32" s="1" t="s">
        <v>142</v>
      </c>
      <c r="C32" s="1" t="s">
        <v>414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32" sqref="C3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240</v>
      </c>
      <c r="B1" s="1" t="s">
        <v>241</v>
      </c>
      <c r="C1" s="1" t="s">
        <v>242</v>
      </c>
      <c r="D1" s="1" t="s">
        <v>276</v>
      </c>
    </row>
    <row r="2" spans="1:4" x14ac:dyDescent="0.2">
      <c r="A2" s="23" t="s">
        <v>250</v>
      </c>
      <c r="B2" s="23" t="s">
        <v>251</v>
      </c>
      <c r="C2" s="21" t="s">
        <v>255</v>
      </c>
      <c r="D2" s="23" t="s">
        <v>278</v>
      </c>
    </row>
    <row r="3" spans="1:4" ht="25.5" x14ac:dyDescent="0.2">
      <c r="A3" s="23" t="s">
        <v>939</v>
      </c>
      <c r="B3" s="23" t="s">
        <v>937</v>
      </c>
      <c r="C3" s="22" t="s">
        <v>938</v>
      </c>
      <c r="D3" s="23" t="s">
        <v>278</v>
      </c>
    </row>
    <row r="4" spans="1:4" ht="25.5" x14ac:dyDescent="0.2">
      <c r="A4" s="23" t="s">
        <v>351</v>
      </c>
      <c r="B4" s="23" t="s">
        <v>354</v>
      </c>
      <c r="C4" s="21" t="s">
        <v>359</v>
      </c>
      <c r="D4" s="23" t="s">
        <v>278</v>
      </c>
    </row>
    <row r="5" spans="1:4" ht="25.5" x14ac:dyDescent="0.2">
      <c r="A5" s="23" t="s">
        <v>853</v>
      </c>
      <c r="B5" s="23" t="s">
        <v>854</v>
      </c>
      <c r="C5" s="22" t="s">
        <v>855</v>
      </c>
      <c r="D5" s="23" t="s">
        <v>278</v>
      </c>
    </row>
    <row r="6" spans="1:4" ht="25.5" x14ac:dyDescent="0.2">
      <c r="A6" s="23" t="s">
        <v>352</v>
      </c>
      <c r="B6" s="23" t="s">
        <v>355</v>
      </c>
      <c r="C6" s="21" t="s">
        <v>360</v>
      </c>
      <c r="D6" s="23" t="s">
        <v>278</v>
      </c>
    </row>
    <row r="7" spans="1:4" ht="76.5" x14ac:dyDescent="0.2">
      <c r="A7" s="23" t="s">
        <v>270</v>
      </c>
      <c r="B7" s="23" t="s">
        <v>498</v>
      </c>
      <c r="C7" s="22" t="s">
        <v>499</v>
      </c>
      <c r="D7" s="23" t="s">
        <v>278</v>
      </c>
    </row>
    <row r="8" spans="1:4" x14ac:dyDescent="0.2">
      <c r="A8" s="23" t="s">
        <v>848</v>
      </c>
      <c r="B8" s="23" t="s">
        <v>849</v>
      </c>
      <c r="C8" s="21" t="s">
        <v>850</v>
      </c>
      <c r="D8" s="23" t="s">
        <v>278</v>
      </c>
    </row>
    <row r="9" spans="1:4" x14ac:dyDescent="0.2">
      <c r="A9" s="23" t="s">
        <v>882</v>
      </c>
      <c r="B9" s="23" t="s">
        <v>883</v>
      </c>
      <c r="C9" s="22" t="s">
        <v>881</v>
      </c>
      <c r="D9" s="23" t="s">
        <v>278</v>
      </c>
    </row>
    <row r="10" spans="1:4" ht="25.5" x14ac:dyDescent="0.2">
      <c r="A10" s="23" t="s">
        <v>271</v>
      </c>
      <c r="B10" s="23" t="s">
        <v>266</v>
      </c>
      <c r="C10" s="21" t="s">
        <v>260</v>
      </c>
      <c r="D10" s="23" t="s">
        <v>278</v>
      </c>
    </row>
    <row r="11" spans="1:4" ht="38.25" x14ac:dyDescent="0.2">
      <c r="A11" s="23" t="s">
        <v>867</v>
      </c>
      <c r="B11" s="23" t="s">
        <v>868</v>
      </c>
      <c r="C11" s="22" t="s">
        <v>869</v>
      </c>
      <c r="D11" s="23" t="s">
        <v>278</v>
      </c>
    </row>
    <row r="12" spans="1:4" ht="25.5" x14ac:dyDescent="0.2">
      <c r="A12" s="23" t="s">
        <v>858</v>
      </c>
      <c r="B12" s="23" t="s">
        <v>859</v>
      </c>
      <c r="C12" s="21" t="s">
        <v>860</v>
      </c>
      <c r="D12" s="23" t="s">
        <v>278</v>
      </c>
    </row>
    <row r="13" spans="1:4" ht="38.25" x14ac:dyDescent="0.2">
      <c r="A13" s="23" t="s">
        <v>243</v>
      </c>
      <c r="B13" s="23" t="s">
        <v>269</v>
      </c>
      <c r="C13" s="22" t="s">
        <v>280</v>
      </c>
      <c r="D13" s="23" t="s">
        <v>278</v>
      </c>
    </row>
    <row r="14" spans="1:4" ht="25.5" x14ac:dyDescent="0.2">
      <c r="A14" s="23" t="s">
        <v>852</v>
      </c>
      <c r="B14" s="23" t="s">
        <v>471</v>
      </c>
      <c r="C14" s="21" t="s">
        <v>337</v>
      </c>
      <c r="D14" s="23" t="s">
        <v>278</v>
      </c>
    </row>
    <row r="15" spans="1:4" ht="25.5" x14ac:dyDescent="0.2">
      <c r="A15" s="23" t="s">
        <v>353</v>
      </c>
      <c r="B15" s="23" t="s">
        <v>356</v>
      </c>
      <c r="C15" s="22" t="s">
        <v>361</v>
      </c>
      <c r="D15" s="23" t="s">
        <v>278</v>
      </c>
    </row>
    <row r="16" spans="1:4" ht="25.5" x14ac:dyDescent="0.2">
      <c r="A16" s="23" t="s">
        <v>828</v>
      </c>
      <c r="B16" s="23" t="s">
        <v>829</v>
      </c>
      <c r="C16" s="21" t="s">
        <v>830</v>
      </c>
      <c r="D16" s="23" t="s">
        <v>278</v>
      </c>
    </row>
    <row r="17" spans="1:4" ht="25.5" x14ac:dyDescent="0.2">
      <c r="A17" s="23" t="s">
        <v>273</v>
      </c>
      <c r="B17" s="23" t="s">
        <v>263</v>
      </c>
      <c r="C17" s="22" t="s">
        <v>257</v>
      </c>
      <c r="D17" s="23" t="s">
        <v>278</v>
      </c>
    </row>
    <row r="18" spans="1:4" x14ac:dyDescent="0.2">
      <c r="A18" s="23" t="s">
        <v>851</v>
      </c>
      <c r="B18" s="23" t="s">
        <v>357</v>
      </c>
      <c r="C18" s="21" t="s">
        <v>362</v>
      </c>
      <c r="D18" s="23" t="s">
        <v>278</v>
      </c>
    </row>
    <row r="19" spans="1:4" ht="25.5" x14ac:dyDescent="0.2">
      <c r="A19" s="23" t="s">
        <v>244</v>
      </c>
      <c r="B19" s="23" t="s">
        <v>245</v>
      </c>
      <c r="C19" s="22" t="s">
        <v>252</v>
      </c>
      <c r="D19" s="23" t="s">
        <v>278</v>
      </c>
    </row>
    <row r="20" spans="1:4" ht="25.5" x14ac:dyDescent="0.2">
      <c r="A20" s="23" t="s">
        <v>248</v>
      </c>
      <c r="B20" s="23" t="s">
        <v>249</v>
      </c>
      <c r="C20" s="21" t="s">
        <v>254</v>
      </c>
      <c r="D20" s="23" t="s">
        <v>278</v>
      </c>
    </row>
    <row r="21" spans="1:4" ht="25.5" x14ac:dyDescent="0.2">
      <c r="A21" s="23" t="s">
        <v>274</v>
      </c>
      <c r="B21" s="23" t="s">
        <v>265</v>
      </c>
      <c r="C21" s="22" t="s">
        <v>259</v>
      </c>
      <c r="D21" s="23" t="s">
        <v>278</v>
      </c>
    </row>
    <row r="22" spans="1:4" x14ac:dyDescent="0.2">
      <c r="A22" s="23" t="s">
        <v>268</v>
      </c>
      <c r="B22" s="23" t="s">
        <v>262</v>
      </c>
      <c r="C22" s="21" t="s">
        <v>256</v>
      </c>
      <c r="D22" s="23" t="s">
        <v>278</v>
      </c>
    </row>
    <row r="23" spans="1:4" x14ac:dyDescent="0.2">
      <c r="A23" s="23" t="s">
        <v>246</v>
      </c>
      <c r="B23" s="23" t="s">
        <v>247</v>
      </c>
      <c r="C23" s="22" t="s">
        <v>253</v>
      </c>
      <c r="D23" s="23" t="s">
        <v>278</v>
      </c>
    </row>
    <row r="24" spans="1:4" ht="25.5" x14ac:dyDescent="0.2">
      <c r="A24" s="23" t="s">
        <v>845</v>
      </c>
      <c r="B24" s="23" t="s">
        <v>846</v>
      </c>
      <c r="C24" s="21" t="s">
        <v>847</v>
      </c>
      <c r="D24" s="23" t="s">
        <v>278</v>
      </c>
    </row>
    <row r="25" spans="1:4" ht="25.5" x14ac:dyDescent="0.2">
      <c r="A25" s="23" t="s">
        <v>272</v>
      </c>
      <c r="B25" s="23" t="s">
        <v>267</v>
      </c>
      <c r="C25" s="22" t="s">
        <v>261</v>
      </c>
      <c r="D25" s="23" t="s">
        <v>278</v>
      </c>
    </row>
    <row r="26" spans="1:4" x14ac:dyDescent="0.2">
      <c r="A26" s="23" t="s">
        <v>817</v>
      </c>
      <c r="B26" s="23" t="s">
        <v>358</v>
      </c>
      <c r="C26" s="21" t="s">
        <v>363</v>
      </c>
      <c r="D26" s="23" t="s">
        <v>278</v>
      </c>
    </row>
    <row r="27" spans="1:4" ht="25.5" x14ac:dyDescent="0.2">
      <c r="A27" s="23" t="s">
        <v>275</v>
      </c>
      <c r="B27" s="23" t="s">
        <v>264</v>
      </c>
      <c r="C27" s="22" t="s">
        <v>258</v>
      </c>
      <c r="D27" s="23" t="s">
        <v>278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99"/>
  <sheetViews>
    <sheetView workbookViewId="0">
      <selection activeCell="F7" sqref="F7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203</v>
      </c>
      <c r="C1" s="1" t="s">
        <v>131</v>
      </c>
      <c r="D1" s="1" t="s">
        <v>163</v>
      </c>
      <c r="E1" s="1" t="s">
        <v>277</v>
      </c>
    </row>
    <row r="2" spans="1:5" x14ac:dyDescent="0.2">
      <c r="A2" s="87" t="s">
        <v>29</v>
      </c>
      <c r="B2" s="87" t="s">
        <v>202</v>
      </c>
      <c r="C2" s="87" t="s">
        <v>129</v>
      </c>
      <c r="D2" s="87">
        <v>1</v>
      </c>
      <c r="E2" s="87" t="s">
        <v>278</v>
      </c>
    </row>
    <row r="3" spans="1:5" x14ac:dyDescent="0.2">
      <c r="A3" s="87" t="s">
        <v>53</v>
      </c>
      <c r="B3" s="87" t="s">
        <v>204</v>
      </c>
      <c r="C3" s="87" t="s">
        <v>130</v>
      </c>
      <c r="D3" s="87">
        <v>0</v>
      </c>
      <c r="E3" s="87" t="s">
        <v>279</v>
      </c>
    </row>
    <row r="4" spans="1:5" x14ac:dyDescent="0.2">
      <c r="A4" s="87" t="s">
        <v>54</v>
      </c>
      <c r="B4" s="87" t="s">
        <v>205</v>
      </c>
      <c r="C4" s="87" t="s">
        <v>142</v>
      </c>
      <c r="D4" s="87"/>
      <c r="E4" s="87" t="s">
        <v>281</v>
      </c>
    </row>
    <row r="5" spans="1:5" x14ac:dyDescent="0.2">
      <c r="A5" s="87" t="s">
        <v>72</v>
      </c>
      <c r="B5" s="87" t="s">
        <v>584</v>
      </c>
      <c r="C5" s="87" t="s">
        <v>885</v>
      </c>
      <c r="D5" s="87"/>
      <c r="E5" s="87"/>
    </row>
    <row r="6" spans="1:5" x14ac:dyDescent="0.2">
      <c r="A6" s="87" t="s">
        <v>76</v>
      </c>
      <c r="B6" s="87"/>
      <c r="C6" s="87" t="s">
        <v>889</v>
      </c>
      <c r="D6" s="87"/>
      <c r="E6" s="87"/>
    </row>
    <row r="7" spans="1:5" x14ac:dyDescent="0.2">
      <c r="A7" s="87" t="s">
        <v>77</v>
      </c>
      <c r="B7" s="87"/>
      <c r="C7" s="87" t="s">
        <v>890</v>
      </c>
      <c r="D7" s="87"/>
      <c r="E7" s="87"/>
    </row>
    <row r="8" spans="1:5" x14ac:dyDescent="0.2">
      <c r="A8" s="87" t="s">
        <v>80</v>
      </c>
      <c r="B8" s="87"/>
      <c r="C8" s="87"/>
      <c r="D8" s="87"/>
      <c r="E8" s="87"/>
    </row>
    <row r="9" spans="1:5" x14ac:dyDescent="0.2">
      <c r="A9" s="87" t="s">
        <v>81</v>
      </c>
      <c r="B9" s="87"/>
      <c r="C9" s="87"/>
      <c r="D9" s="87"/>
      <c r="E9" s="87"/>
    </row>
    <row r="10" spans="1:5" x14ac:dyDescent="0.2">
      <c r="A10" s="87" t="s">
        <v>82</v>
      </c>
      <c r="B10" s="87"/>
      <c r="C10" s="87"/>
      <c r="D10" s="87"/>
      <c r="E10" s="87"/>
    </row>
    <row r="11" spans="1:5" x14ac:dyDescent="0.2">
      <c r="A11" s="87" t="s">
        <v>84</v>
      </c>
      <c r="B11" s="87"/>
      <c r="C11" s="87"/>
      <c r="D11" s="87"/>
      <c r="E11" s="87"/>
    </row>
    <row r="12" spans="1:5" x14ac:dyDescent="0.2">
      <c r="A12" s="87" t="s">
        <v>953</v>
      </c>
      <c r="B12" s="87"/>
      <c r="C12" s="87"/>
      <c r="D12" s="87"/>
      <c r="E12" s="87"/>
    </row>
    <row r="13" spans="1:5" x14ac:dyDescent="0.2">
      <c r="A13" s="87" t="s">
        <v>91</v>
      </c>
      <c r="B13" s="87"/>
      <c r="C13" s="87"/>
      <c r="D13" s="87"/>
      <c r="E13" s="87"/>
    </row>
    <row r="14" spans="1:5" x14ac:dyDescent="0.2">
      <c r="A14" s="87" t="s">
        <v>213</v>
      </c>
      <c r="B14" s="87"/>
      <c r="C14" s="87"/>
      <c r="D14" s="87"/>
      <c r="E14" s="87"/>
    </row>
    <row r="15" spans="1:5" x14ac:dyDescent="0.2">
      <c r="A15" s="87" t="s">
        <v>100</v>
      </c>
      <c r="B15" s="87"/>
      <c r="C15" s="87"/>
      <c r="D15" s="87"/>
      <c r="E15" s="87"/>
    </row>
    <row r="16" spans="1:5" x14ac:dyDescent="0.2">
      <c r="A16" s="87" t="s">
        <v>1159</v>
      </c>
      <c r="B16" s="87"/>
      <c r="C16" s="87"/>
      <c r="D16" s="87"/>
      <c r="E16" s="87"/>
    </row>
    <row r="17" spans="1:5" x14ac:dyDescent="0.2">
      <c r="A17" s="87" t="s">
        <v>102</v>
      </c>
      <c r="B17" s="87"/>
      <c r="C17" s="87"/>
      <c r="D17" s="87"/>
      <c r="E17" s="87"/>
    </row>
    <row r="18" spans="1:5" x14ac:dyDescent="0.2">
      <c r="A18" s="87" t="s">
        <v>103</v>
      </c>
      <c r="B18" s="87"/>
      <c r="C18" s="87"/>
      <c r="D18" s="87"/>
      <c r="E18" s="87"/>
    </row>
    <row r="19" spans="1:5" x14ac:dyDescent="0.2">
      <c r="A19" s="87" t="s">
        <v>104</v>
      </c>
      <c r="B19" s="87"/>
      <c r="C19" s="87"/>
      <c r="D19" s="87"/>
      <c r="E19" s="87"/>
    </row>
    <row r="20" spans="1:5" x14ac:dyDescent="0.2">
      <c r="A20" s="87" t="s">
        <v>105</v>
      </c>
      <c r="B20" s="87"/>
      <c r="C20" s="87"/>
      <c r="D20" s="87"/>
      <c r="E20" s="87"/>
    </row>
    <row r="21" spans="1:5" x14ac:dyDescent="0.2">
      <c r="A21" s="87" t="s">
        <v>106</v>
      </c>
      <c r="B21" s="87"/>
      <c r="C21" s="87"/>
      <c r="D21" s="87"/>
      <c r="E21" s="87"/>
    </row>
    <row r="22" spans="1:5" x14ac:dyDescent="0.2">
      <c r="A22" s="87" t="s">
        <v>139</v>
      </c>
      <c r="B22" s="87"/>
      <c r="C22" s="87"/>
      <c r="D22" s="87"/>
      <c r="E22" s="87"/>
    </row>
    <row r="23" spans="1:5" x14ac:dyDescent="0.2">
      <c r="A23" s="87" t="s">
        <v>140</v>
      </c>
      <c r="B23" s="87"/>
      <c r="C23" s="87"/>
      <c r="D23" s="87"/>
      <c r="E23" s="87"/>
    </row>
    <row r="24" spans="1:5" x14ac:dyDescent="0.2">
      <c r="A24" s="87" t="s">
        <v>127</v>
      </c>
      <c r="B24" s="87"/>
      <c r="C24" s="87"/>
      <c r="D24" s="87"/>
      <c r="E24" s="87"/>
    </row>
    <row r="25" spans="1:5" x14ac:dyDescent="0.2">
      <c r="A25" s="87" t="s">
        <v>132</v>
      </c>
      <c r="B25" s="87"/>
      <c r="C25" s="87"/>
      <c r="D25" s="87"/>
      <c r="E25" s="87"/>
    </row>
    <row r="26" spans="1:5" x14ac:dyDescent="0.2">
      <c r="A26" s="87" t="s">
        <v>133</v>
      </c>
      <c r="B26" s="87"/>
      <c r="C26" s="87"/>
      <c r="D26" s="87"/>
      <c r="E26" s="87"/>
    </row>
    <row r="27" spans="1:5" x14ac:dyDescent="0.2">
      <c r="A27" s="87" t="s">
        <v>288</v>
      </c>
      <c r="B27" s="87"/>
      <c r="C27" s="87"/>
      <c r="D27" s="87"/>
      <c r="E27" s="87"/>
    </row>
    <row r="28" spans="1:5" x14ac:dyDescent="0.2">
      <c r="A28" s="87" t="s">
        <v>135</v>
      </c>
      <c r="B28" s="87"/>
      <c r="C28" s="87"/>
      <c r="D28" s="87"/>
      <c r="E28" s="87"/>
    </row>
    <row r="29" spans="1:5" x14ac:dyDescent="0.2">
      <c r="A29" s="87" t="s">
        <v>136</v>
      </c>
      <c r="B29" s="87"/>
      <c r="C29" s="87"/>
      <c r="D29" s="87"/>
      <c r="E29" s="87"/>
    </row>
    <row r="30" spans="1:5" x14ac:dyDescent="0.2">
      <c r="A30" s="87" t="s">
        <v>137</v>
      </c>
      <c r="B30" s="87"/>
      <c r="C30" s="87"/>
      <c r="D30" s="87"/>
      <c r="E30" s="87"/>
    </row>
    <row r="31" spans="1:5" x14ac:dyDescent="0.2">
      <c r="A31" s="87" t="s">
        <v>138</v>
      </c>
      <c r="B31" s="87"/>
      <c r="C31" s="87"/>
      <c r="D31" s="87"/>
      <c r="E31" s="87"/>
    </row>
    <row r="32" spans="1:5" x14ac:dyDescent="0.2">
      <c r="A32" s="87" t="s">
        <v>141</v>
      </c>
      <c r="B32" s="87"/>
      <c r="C32" s="87"/>
      <c r="D32" s="87"/>
      <c r="E32" s="87"/>
    </row>
    <row r="33" spans="1:5" x14ac:dyDescent="0.2">
      <c r="A33" s="87" t="s">
        <v>153</v>
      </c>
      <c r="B33" s="87"/>
      <c r="C33" s="87"/>
      <c r="D33" s="87"/>
      <c r="E33" s="87"/>
    </row>
    <row r="34" spans="1:5" x14ac:dyDescent="0.2">
      <c r="A34" s="87" t="s">
        <v>167</v>
      </c>
      <c r="B34" s="87"/>
      <c r="C34" s="87"/>
      <c r="D34" s="87"/>
      <c r="E34" s="87"/>
    </row>
    <row r="35" spans="1:5" x14ac:dyDescent="0.2">
      <c r="A35" s="87" t="s">
        <v>188</v>
      </c>
      <c r="B35" s="87"/>
      <c r="C35" s="87"/>
      <c r="D35" s="87"/>
      <c r="E35" s="87"/>
    </row>
    <row r="36" spans="1:5" x14ac:dyDescent="0.2">
      <c r="A36" s="87" t="s">
        <v>189</v>
      </c>
      <c r="B36" s="87"/>
      <c r="C36" s="87"/>
      <c r="D36" s="87"/>
      <c r="E36" s="87"/>
    </row>
    <row r="37" spans="1:5" x14ac:dyDescent="0.2">
      <c r="A37" s="87" t="s">
        <v>190</v>
      </c>
      <c r="B37" s="87"/>
      <c r="C37" s="87"/>
      <c r="D37" s="87"/>
      <c r="E37" s="87"/>
    </row>
    <row r="38" spans="1:5" x14ac:dyDescent="0.2">
      <c r="A38" s="87" t="s">
        <v>191</v>
      </c>
      <c r="B38" s="87"/>
      <c r="C38" s="87"/>
      <c r="D38" s="87"/>
      <c r="E38" s="87"/>
    </row>
    <row r="39" spans="1:5" x14ac:dyDescent="0.2">
      <c r="A39" s="87" t="s">
        <v>192</v>
      </c>
      <c r="B39" s="87"/>
      <c r="C39" s="87"/>
      <c r="D39" s="87"/>
      <c r="E39" s="87"/>
    </row>
    <row r="40" spans="1:5" x14ac:dyDescent="0.2">
      <c r="A40" s="87" t="s">
        <v>193</v>
      </c>
      <c r="B40" s="87"/>
      <c r="C40" s="87"/>
      <c r="D40" s="87"/>
      <c r="E40" s="87"/>
    </row>
    <row r="41" spans="1:5" x14ac:dyDescent="0.2">
      <c r="A41" s="87" t="s">
        <v>194</v>
      </c>
      <c r="B41" s="87"/>
      <c r="C41" s="87"/>
      <c r="D41" s="87"/>
      <c r="E41" s="87"/>
    </row>
    <row r="42" spans="1:5" x14ac:dyDescent="0.2">
      <c r="A42" s="87" t="s">
        <v>195</v>
      </c>
      <c r="B42" s="87"/>
      <c r="C42" s="87"/>
      <c r="D42" s="87"/>
      <c r="E42" s="87"/>
    </row>
    <row r="43" spans="1:5" x14ac:dyDescent="0.2">
      <c r="A43" s="87" t="s">
        <v>211</v>
      </c>
      <c r="B43" s="87"/>
      <c r="C43" s="87"/>
      <c r="D43" s="87"/>
      <c r="E43" s="87"/>
    </row>
    <row r="44" spans="1:5" x14ac:dyDescent="0.2">
      <c r="A44" s="87" t="s">
        <v>212</v>
      </c>
      <c r="B44" s="87"/>
      <c r="C44" s="87"/>
      <c r="D44" s="87"/>
      <c r="E44" s="87"/>
    </row>
    <row r="45" spans="1:5" x14ac:dyDescent="0.2">
      <c r="A45" s="87" t="s">
        <v>214</v>
      </c>
      <c r="B45" s="87"/>
      <c r="C45" s="87"/>
      <c r="D45" s="87"/>
      <c r="E45" s="87"/>
    </row>
    <row r="46" spans="1:5" x14ac:dyDescent="0.2">
      <c r="A46" s="87" t="s">
        <v>215</v>
      </c>
      <c r="B46" s="87"/>
      <c r="C46" s="87"/>
      <c r="D46" s="87"/>
      <c r="E46" s="87"/>
    </row>
    <row r="47" spans="1:5" x14ac:dyDescent="0.2">
      <c r="A47" s="87" t="s">
        <v>224</v>
      </c>
      <c r="B47" s="87"/>
      <c r="C47" s="87"/>
      <c r="D47" s="87"/>
      <c r="E47" s="87"/>
    </row>
    <row r="48" spans="1:5" x14ac:dyDescent="0.2">
      <c r="A48" s="87" t="s">
        <v>226</v>
      </c>
      <c r="B48" s="87"/>
      <c r="C48" s="87"/>
      <c r="D48" s="87"/>
      <c r="E48" s="87"/>
    </row>
    <row r="49" spans="1:5" x14ac:dyDescent="0.2">
      <c r="A49" s="87" t="s">
        <v>282</v>
      </c>
      <c r="B49" s="87"/>
      <c r="C49" s="87"/>
      <c r="D49" s="87"/>
      <c r="E49" s="87"/>
    </row>
    <row r="50" spans="1:5" x14ac:dyDescent="0.2">
      <c r="A50" s="87" t="s">
        <v>314</v>
      </c>
      <c r="B50" s="87"/>
      <c r="C50" s="87"/>
      <c r="D50" s="87"/>
      <c r="E50" s="87"/>
    </row>
    <row r="51" spans="1:5" x14ac:dyDescent="0.2">
      <c r="A51" s="87" t="s">
        <v>289</v>
      </c>
      <c r="B51" s="87"/>
      <c r="C51" s="87"/>
      <c r="D51" s="87"/>
      <c r="E51" s="87"/>
    </row>
    <row r="52" spans="1:5" x14ac:dyDescent="0.2">
      <c r="A52" s="87" t="s">
        <v>294</v>
      </c>
      <c r="B52" s="87"/>
      <c r="C52" s="87"/>
      <c r="D52" s="87"/>
      <c r="E52" s="87"/>
    </row>
    <row r="53" spans="1:5" x14ac:dyDescent="0.2">
      <c r="A53" s="87" t="s">
        <v>295</v>
      </c>
      <c r="B53" s="87"/>
      <c r="C53" s="87"/>
      <c r="D53" s="87"/>
      <c r="E53" s="87"/>
    </row>
    <row r="54" spans="1:5" x14ac:dyDescent="0.2">
      <c r="A54" s="87" t="s">
        <v>296</v>
      </c>
      <c r="B54" s="87"/>
      <c r="C54" s="87"/>
      <c r="D54" s="87"/>
      <c r="E54" s="87"/>
    </row>
    <row r="55" spans="1:5" x14ac:dyDescent="0.2">
      <c r="A55" s="87" t="s">
        <v>297</v>
      </c>
      <c r="B55" s="87"/>
      <c r="C55" s="87"/>
      <c r="D55" s="87"/>
      <c r="E55" s="87"/>
    </row>
    <row r="56" spans="1:5" x14ac:dyDescent="0.2">
      <c r="A56" s="87" t="s">
        <v>298</v>
      </c>
      <c r="B56" s="87"/>
      <c r="C56" s="87"/>
      <c r="D56" s="87"/>
      <c r="E56" s="87"/>
    </row>
    <row r="57" spans="1:5" x14ac:dyDescent="0.2">
      <c r="A57" s="87" t="s">
        <v>299</v>
      </c>
      <c r="B57" s="87"/>
      <c r="C57" s="87"/>
      <c r="D57" s="87"/>
      <c r="E57" s="87"/>
    </row>
    <row r="58" spans="1:5" x14ac:dyDescent="0.2">
      <c r="A58" s="87" t="s">
        <v>300</v>
      </c>
      <c r="B58" s="87"/>
      <c r="C58" s="87"/>
      <c r="D58" s="87"/>
      <c r="E58" s="87"/>
    </row>
    <row r="59" spans="1:5" x14ac:dyDescent="0.2">
      <c r="A59" s="87" t="s">
        <v>301</v>
      </c>
      <c r="B59" s="87"/>
      <c r="C59" s="87"/>
      <c r="D59" s="87"/>
      <c r="E59" s="87"/>
    </row>
    <row r="60" spans="1:5" x14ac:dyDescent="0.2">
      <c r="A60" s="87" t="s">
        <v>302</v>
      </c>
      <c r="B60" s="87"/>
      <c r="C60" s="87"/>
      <c r="D60" s="87"/>
      <c r="E60" s="87"/>
    </row>
    <row r="61" spans="1:5" x14ac:dyDescent="0.2">
      <c r="A61" s="87" t="s">
        <v>330</v>
      </c>
      <c r="B61" s="87"/>
      <c r="C61" s="87"/>
      <c r="D61" s="87"/>
      <c r="E61" s="87"/>
    </row>
    <row r="62" spans="1:5" x14ac:dyDescent="0.2">
      <c r="A62" s="87" t="s">
        <v>367</v>
      </c>
      <c r="B62" s="87"/>
      <c r="C62" s="87"/>
      <c r="D62" s="87"/>
      <c r="E62" s="87"/>
    </row>
    <row r="63" spans="1:5" x14ac:dyDescent="0.2">
      <c r="A63" s="87" t="s">
        <v>375</v>
      </c>
      <c r="B63" s="87"/>
      <c r="C63" s="87"/>
      <c r="D63" s="87"/>
      <c r="E63" s="87"/>
    </row>
    <row r="64" spans="1:5" x14ac:dyDescent="0.2">
      <c r="A64" s="87" t="s">
        <v>378</v>
      </c>
      <c r="B64" s="87"/>
      <c r="C64" s="87"/>
      <c r="D64" s="87"/>
      <c r="E64" s="87"/>
    </row>
    <row r="65" spans="1:5" x14ac:dyDescent="0.2">
      <c r="A65" s="87" t="s">
        <v>379</v>
      </c>
      <c r="B65" s="87"/>
      <c r="C65" s="87"/>
      <c r="D65" s="87"/>
      <c r="E65" s="87"/>
    </row>
    <row r="66" spans="1:5" x14ac:dyDescent="0.2">
      <c r="A66" s="87" t="s">
        <v>394</v>
      </c>
      <c r="B66" s="87"/>
      <c r="C66" s="87"/>
      <c r="D66" s="87"/>
      <c r="E66" s="87"/>
    </row>
    <row r="67" spans="1:5" x14ac:dyDescent="0.2">
      <c r="A67" s="87" t="s">
        <v>403</v>
      </c>
      <c r="B67" s="87"/>
      <c r="C67" s="87"/>
      <c r="D67" s="87"/>
      <c r="E67" s="87"/>
    </row>
    <row r="68" spans="1:5" x14ac:dyDescent="0.2">
      <c r="A68" s="87" t="s">
        <v>408</v>
      </c>
      <c r="B68" s="87"/>
      <c r="C68" s="87"/>
      <c r="D68" s="87"/>
      <c r="E68" s="87"/>
    </row>
    <row r="69" spans="1:5" x14ac:dyDescent="0.2">
      <c r="A69" s="87" t="s">
        <v>420</v>
      </c>
      <c r="B69" s="87"/>
      <c r="C69" s="87"/>
      <c r="D69" s="87"/>
      <c r="E69" s="87"/>
    </row>
    <row r="70" spans="1:5" x14ac:dyDescent="0.2">
      <c r="A70" s="87" t="s">
        <v>419</v>
      </c>
      <c r="B70" s="87"/>
      <c r="C70" s="87"/>
      <c r="D70" s="87"/>
      <c r="E70" s="87"/>
    </row>
    <row r="71" spans="1:5" x14ac:dyDescent="0.2">
      <c r="A71" s="87" t="s">
        <v>1088</v>
      </c>
      <c r="B71" s="87"/>
      <c r="C71" s="87"/>
      <c r="D71" s="87"/>
      <c r="E71" s="87"/>
    </row>
    <row r="72" spans="1:5" x14ac:dyDescent="0.2">
      <c r="A72" s="87" t="s">
        <v>542</v>
      </c>
      <c r="B72" s="87"/>
      <c r="C72" s="87"/>
      <c r="D72" s="87"/>
      <c r="E72" s="87"/>
    </row>
    <row r="73" spans="1:5" x14ac:dyDescent="0.2">
      <c r="A73" s="87" t="s">
        <v>543</v>
      </c>
      <c r="B73" s="87"/>
      <c r="C73" s="87"/>
      <c r="D73" s="87"/>
      <c r="E73" s="87"/>
    </row>
    <row r="74" spans="1:5" x14ac:dyDescent="0.2">
      <c r="A74" s="87" t="s">
        <v>544</v>
      </c>
      <c r="B74" s="87"/>
      <c r="C74" s="87"/>
      <c r="D74" s="87"/>
      <c r="E74" s="87"/>
    </row>
    <row r="75" spans="1:5" x14ac:dyDescent="0.2">
      <c r="A75" s="87" t="s">
        <v>549</v>
      </c>
      <c r="B75" s="87"/>
      <c r="C75" s="87"/>
      <c r="D75" s="87"/>
      <c r="E75" s="87"/>
    </row>
    <row r="76" spans="1:5" x14ac:dyDescent="0.2">
      <c r="A76" s="87" t="s">
        <v>581</v>
      </c>
      <c r="B76" s="87"/>
      <c r="C76" s="87"/>
      <c r="D76" s="87"/>
      <c r="E76" s="87"/>
    </row>
    <row r="77" spans="1:5" x14ac:dyDescent="0.2">
      <c r="A77" s="87" t="s">
        <v>582</v>
      </c>
      <c r="B77" s="87"/>
      <c r="C77" s="87"/>
      <c r="D77" s="87"/>
      <c r="E77" s="87"/>
    </row>
    <row r="78" spans="1:5" x14ac:dyDescent="0.2">
      <c r="A78" s="87" t="s">
        <v>721</v>
      </c>
      <c r="B78" s="87"/>
      <c r="C78" s="87"/>
      <c r="D78" s="87"/>
      <c r="E78" s="87"/>
    </row>
    <row r="79" spans="1:5" x14ac:dyDescent="0.2">
      <c r="A79" s="87" t="s">
        <v>664</v>
      </c>
      <c r="B79" s="87"/>
      <c r="C79" s="87"/>
      <c r="D79" s="87"/>
      <c r="E79" s="87"/>
    </row>
    <row r="80" spans="1:5" x14ac:dyDescent="0.2">
      <c r="A80" s="87" t="s">
        <v>819</v>
      </c>
      <c r="B80" s="87"/>
      <c r="C80" s="87"/>
      <c r="D80" s="87"/>
      <c r="E80" s="87"/>
    </row>
    <row r="81" spans="1:5" x14ac:dyDescent="0.2">
      <c r="A81" s="95" t="s">
        <v>820</v>
      </c>
      <c r="B81" s="95"/>
      <c r="C81" s="95"/>
      <c r="D81" s="95"/>
      <c r="E81" s="95"/>
    </row>
    <row r="82" spans="1:5" x14ac:dyDescent="0.2">
      <c r="A82" s="87" t="s">
        <v>831</v>
      </c>
      <c r="B82" s="87"/>
      <c r="C82" s="87"/>
      <c r="D82" s="87"/>
      <c r="E82" s="87"/>
    </row>
    <row r="83" spans="1:5" x14ac:dyDescent="0.2">
      <c r="A83" s="95" t="s">
        <v>834</v>
      </c>
      <c r="B83" s="95"/>
      <c r="C83" s="95"/>
      <c r="D83" s="95"/>
      <c r="E83" s="95"/>
    </row>
    <row r="84" spans="1:5" x14ac:dyDescent="0.2">
      <c r="A84" s="87" t="s">
        <v>838</v>
      </c>
      <c r="B84" s="87"/>
      <c r="C84" s="87"/>
      <c r="D84" s="87"/>
      <c r="E84" s="87"/>
    </row>
    <row r="85" spans="1:5" x14ac:dyDescent="0.2">
      <c r="A85" s="95" t="s">
        <v>840</v>
      </c>
      <c r="B85" s="95"/>
      <c r="C85" s="95"/>
      <c r="D85" s="95"/>
      <c r="E85" s="95"/>
    </row>
    <row r="86" spans="1:5" x14ac:dyDescent="0.2">
      <c r="A86" s="87" t="s">
        <v>861</v>
      </c>
      <c r="B86" s="87"/>
      <c r="C86" s="87"/>
      <c r="D86" s="87"/>
      <c r="E86" s="87"/>
    </row>
    <row r="87" spans="1:5" x14ac:dyDescent="0.2">
      <c r="A87" s="95" t="s">
        <v>862</v>
      </c>
      <c r="B87" s="95"/>
      <c r="C87" s="95"/>
      <c r="D87" s="95"/>
      <c r="E87" s="95"/>
    </row>
    <row r="88" spans="1:5" x14ac:dyDescent="0.2">
      <c r="A88" s="87" t="s">
        <v>884</v>
      </c>
      <c r="B88" s="87"/>
      <c r="C88" s="87"/>
      <c r="D88" s="87"/>
      <c r="E88" s="87"/>
    </row>
    <row r="89" spans="1:5" x14ac:dyDescent="0.2">
      <c r="A89" s="95" t="s">
        <v>886</v>
      </c>
      <c r="B89" s="95"/>
      <c r="C89" s="95"/>
      <c r="D89" s="95"/>
      <c r="E89" s="95"/>
    </row>
    <row r="90" spans="1:5" x14ac:dyDescent="0.2">
      <c r="A90" s="87" t="s">
        <v>891</v>
      </c>
      <c r="B90" s="87"/>
      <c r="C90" s="87"/>
      <c r="D90" s="87"/>
      <c r="E90" s="87"/>
    </row>
    <row r="91" spans="1:5" x14ac:dyDescent="0.2">
      <c r="A91" s="95" t="s">
        <v>892</v>
      </c>
      <c r="B91" s="95"/>
      <c r="C91" s="95"/>
      <c r="D91" s="95"/>
      <c r="E91" s="95"/>
    </row>
    <row r="92" spans="1:5" x14ac:dyDescent="0.2">
      <c r="A92" s="87" t="s">
        <v>935</v>
      </c>
      <c r="B92" s="87"/>
      <c r="C92" s="87"/>
      <c r="D92" s="87"/>
      <c r="E92" s="87"/>
    </row>
    <row r="93" spans="1:5" x14ac:dyDescent="0.2">
      <c r="A93" s="87" t="s">
        <v>940</v>
      </c>
      <c r="B93" s="87"/>
      <c r="C93" s="87"/>
      <c r="D93" s="87"/>
      <c r="E93" s="87"/>
    </row>
    <row r="94" spans="1:5" x14ac:dyDescent="0.2">
      <c r="A94" s="87" t="s">
        <v>941</v>
      </c>
      <c r="B94" s="87"/>
      <c r="C94" s="87"/>
      <c r="D94" s="87"/>
      <c r="E94" s="87"/>
    </row>
    <row r="95" spans="1:5" x14ac:dyDescent="0.2">
      <c r="A95" s="87" t="s">
        <v>942</v>
      </c>
      <c r="B95" s="87"/>
      <c r="C95" s="87"/>
      <c r="D95" s="87"/>
      <c r="E95" s="87"/>
    </row>
    <row r="96" spans="1:5" x14ac:dyDescent="0.2">
      <c r="A96" s="87" t="s">
        <v>1006</v>
      </c>
      <c r="B96" s="87"/>
      <c r="C96" s="87"/>
      <c r="D96" s="87"/>
      <c r="E96" s="87"/>
    </row>
    <row r="97" spans="1:5" x14ac:dyDescent="0.2">
      <c r="A97" s="87" t="s">
        <v>1007</v>
      </c>
      <c r="B97" s="87"/>
      <c r="C97" s="87"/>
      <c r="D97" s="87"/>
      <c r="E97" s="87"/>
    </row>
    <row r="98" spans="1:5" x14ac:dyDescent="0.2">
      <c r="A98" s="87" t="s">
        <v>1032</v>
      </c>
      <c r="B98" s="87"/>
      <c r="C98" s="87"/>
      <c r="D98" s="87"/>
      <c r="E98" s="87"/>
    </row>
    <row r="99" spans="1:5" x14ac:dyDescent="0.2">
      <c r="A99" s="87" t="s">
        <v>1033</v>
      </c>
      <c r="B99" s="87"/>
      <c r="C99" s="87"/>
      <c r="D99" s="87"/>
      <c r="E99" s="87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A34" workbookViewId="0">
      <selection activeCell="B64" sqref="B64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9" t="s">
        <v>947</v>
      </c>
      <c r="B1" s="99" t="s">
        <v>971</v>
      </c>
      <c r="C1" s="99" t="s">
        <v>972</v>
      </c>
      <c r="D1" s="99" t="s">
        <v>973</v>
      </c>
      <c r="E1" s="99" t="s">
        <v>1111</v>
      </c>
      <c r="F1" s="1" t="s">
        <v>1163</v>
      </c>
    </row>
    <row r="2" spans="1:6" x14ac:dyDescent="0.2">
      <c r="A2" s="100" t="s">
        <v>29</v>
      </c>
      <c r="B2" s="100" t="s">
        <v>29</v>
      </c>
      <c r="C2" s="100" t="s">
        <v>1162</v>
      </c>
      <c r="D2" s="100" t="s">
        <v>1162</v>
      </c>
      <c r="E2" s="101" t="s">
        <v>0</v>
      </c>
      <c r="F2" s="1">
        <v>1</v>
      </c>
    </row>
    <row r="3" spans="1:6" x14ac:dyDescent="0.2">
      <c r="A3" s="1" t="s">
        <v>53</v>
      </c>
      <c r="B3" s="1" t="s">
        <v>41</v>
      </c>
      <c r="C3" s="1" t="s">
        <v>1162</v>
      </c>
      <c r="D3" s="1" t="s">
        <v>1162</v>
      </c>
      <c r="E3" s="102" t="s">
        <v>0</v>
      </c>
      <c r="F3" s="1">
        <v>1</v>
      </c>
    </row>
    <row r="4" spans="1:6" x14ac:dyDescent="0.2">
      <c r="A4" s="6" t="s">
        <v>54</v>
      </c>
      <c r="B4" s="6" t="s">
        <v>54</v>
      </c>
      <c r="C4" s="6" t="s">
        <v>1162</v>
      </c>
      <c r="D4" s="6" t="s">
        <v>1162</v>
      </c>
      <c r="E4" s="103" t="s">
        <v>0</v>
      </c>
      <c r="F4" s="1">
        <v>1</v>
      </c>
    </row>
    <row r="5" spans="1:6" x14ac:dyDescent="0.2">
      <c r="A5" s="1" t="s">
        <v>72</v>
      </c>
      <c r="B5" s="1" t="s">
        <v>948</v>
      </c>
      <c r="C5" s="1" t="s">
        <v>1162</v>
      </c>
      <c r="D5" s="1" t="s">
        <v>1162</v>
      </c>
      <c r="E5" s="102" t="s">
        <v>0</v>
      </c>
      <c r="F5" s="1">
        <v>1</v>
      </c>
    </row>
    <row r="6" spans="1:6" x14ac:dyDescent="0.2">
      <c r="A6" s="6" t="s">
        <v>76</v>
      </c>
      <c r="B6" s="6" t="s">
        <v>948</v>
      </c>
      <c r="C6" s="6" t="s">
        <v>1162</v>
      </c>
      <c r="D6" s="6" t="s">
        <v>1162</v>
      </c>
      <c r="E6" s="103" t="s">
        <v>0</v>
      </c>
      <c r="F6" s="1">
        <v>1</v>
      </c>
    </row>
    <row r="7" spans="1:6" x14ac:dyDescent="0.2">
      <c r="A7" s="1" t="s">
        <v>77</v>
      </c>
      <c r="B7" s="1" t="s">
        <v>949</v>
      </c>
      <c r="C7" s="1" t="s">
        <v>1162</v>
      </c>
      <c r="D7" s="1" t="s">
        <v>1162</v>
      </c>
      <c r="E7" s="102" t="s">
        <v>0</v>
      </c>
      <c r="F7" s="1">
        <v>1</v>
      </c>
    </row>
    <row r="8" spans="1:6" x14ac:dyDescent="0.2">
      <c r="A8" s="6" t="s">
        <v>80</v>
      </c>
      <c r="B8" s="6" t="s">
        <v>950</v>
      </c>
      <c r="C8" s="6" t="s">
        <v>1162</v>
      </c>
      <c r="D8" s="6" t="s">
        <v>1162</v>
      </c>
      <c r="E8" s="103" t="s">
        <v>0</v>
      </c>
      <c r="F8" s="1">
        <v>1</v>
      </c>
    </row>
    <row r="9" spans="1:6" x14ac:dyDescent="0.2">
      <c r="A9" s="1" t="s">
        <v>81</v>
      </c>
      <c r="B9" s="1" t="s">
        <v>81</v>
      </c>
      <c r="C9" s="1" t="s">
        <v>1162</v>
      </c>
      <c r="D9" s="1" t="s">
        <v>1162</v>
      </c>
      <c r="E9" s="102" t="s">
        <v>0</v>
      </c>
      <c r="F9" s="1">
        <v>1</v>
      </c>
    </row>
    <row r="10" spans="1:6" x14ac:dyDescent="0.2">
      <c r="A10" s="6" t="s">
        <v>82</v>
      </c>
      <c r="B10" s="6" t="s">
        <v>951</v>
      </c>
      <c r="C10" s="6" t="s">
        <v>1162</v>
      </c>
      <c r="D10" s="6" t="s">
        <v>1162</v>
      </c>
      <c r="E10" s="103" t="s">
        <v>0</v>
      </c>
      <c r="F10" s="1">
        <v>1</v>
      </c>
    </row>
    <row r="11" spans="1:6" x14ac:dyDescent="0.2">
      <c r="A11" s="1" t="s">
        <v>84</v>
      </c>
      <c r="B11" s="1" t="s">
        <v>952</v>
      </c>
      <c r="C11" s="1" t="s">
        <v>1162</v>
      </c>
      <c r="D11" s="1" t="s">
        <v>1162</v>
      </c>
      <c r="E11" s="102" t="s">
        <v>0</v>
      </c>
      <c r="F11" s="1">
        <v>1</v>
      </c>
    </row>
    <row r="12" spans="1:6" x14ac:dyDescent="0.2">
      <c r="A12" s="6" t="s">
        <v>953</v>
      </c>
      <c r="B12" s="6" t="s">
        <v>953</v>
      </c>
      <c r="C12" s="6" t="s">
        <v>1162</v>
      </c>
      <c r="D12" s="6" t="s">
        <v>1162</v>
      </c>
      <c r="E12" s="103" t="s">
        <v>0</v>
      </c>
      <c r="F12" s="1">
        <v>1</v>
      </c>
    </row>
    <row r="13" spans="1:6" x14ac:dyDescent="0.2">
      <c r="A13" s="1" t="s">
        <v>91</v>
      </c>
      <c r="B13" s="1" t="s">
        <v>954</v>
      </c>
      <c r="C13" s="1" t="s">
        <v>1162</v>
      </c>
      <c r="D13" s="1" t="s">
        <v>1162</v>
      </c>
      <c r="E13" s="102" t="s">
        <v>1110</v>
      </c>
      <c r="F13" s="1">
        <v>1</v>
      </c>
    </row>
    <row r="14" spans="1:6" x14ac:dyDescent="0.2">
      <c r="A14" s="6" t="s">
        <v>213</v>
      </c>
      <c r="B14" s="6" t="s">
        <v>955</v>
      </c>
      <c r="C14" s="6" t="s">
        <v>1162</v>
      </c>
      <c r="D14" s="6" t="s">
        <v>1162</v>
      </c>
      <c r="E14" s="103" t="s">
        <v>1110</v>
      </c>
      <c r="F14" s="1">
        <v>1</v>
      </c>
    </row>
    <row r="15" spans="1:6" x14ac:dyDescent="0.2">
      <c r="A15" s="1" t="s">
        <v>100</v>
      </c>
      <c r="B15" s="1" t="s">
        <v>954</v>
      </c>
      <c r="C15" s="1" t="s">
        <v>1162</v>
      </c>
      <c r="D15" s="1" t="s">
        <v>1162</v>
      </c>
      <c r="E15" s="102" t="s">
        <v>1110</v>
      </c>
      <c r="F15" s="1">
        <v>1</v>
      </c>
    </row>
    <row r="16" spans="1:6" x14ac:dyDescent="0.2">
      <c r="A16" s="6" t="s">
        <v>1159</v>
      </c>
      <c r="B16" s="6" t="s">
        <v>1164</v>
      </c>
      <c r="C16" s="6" t="s">
        <v>1162</v>
      </c>
      <c r="D16" s="6" t="s">
        <v>1162</v>
      </c>
      <c r="E16" s="103" t="s">
        <v>1110</v>
      </c>
      <c r="F16" s="1">
        <v>1</v>
      </c>
    </row>
    <row r="17" spans="1:6" x14ac:dyDescent="0.2">
      <c r="A17" s="1" t="s">
        <v>102</v>
      </c>
      <c r="B17" s="1" t="s">
        <v>956</v>
      </c>
      <c r="C17" s="1" t="s">
        <v>1162</v>
      </c>
      <c r="D17" s="1" t="s">
        <v>1162</v>
      </c>
      <c r="E17" s="102" t="s">
        <v>1110</v>
      </c>
      <c r="F17" s="1">
        <v>1</v>
      </c>
    </row>
    <row r="18" spans="1:6" x14ac:dyDescent="0.2">
      <c r="A18" s="6" t="s">
        <v>103</v>
      </c>
      <c r="B18" s="6" t="s">
        <v>957</v>
      </c>
      <c r="C18" s="6" t="s">
        <v>1162</v>
      </c>
      <c r="D18" s="6" t="s">
        <v>1162</v>
      </c>
      <c r="E18" s="103" t="s">
        <v>1110</v>
      </c>
      <c r="F18" s="1">
        <v>1</v>
      </c>
    </row>
    <row r="19" spans="1:6" x14ac:dyDescent="0.2">
      <c r="A19" s="1" t="s">
        <v>104</v>
      </c>
      <c r="B19" s="1" t="s">
        <v>957</v>
      </c>
      <c r="C19" s="1" t="s">
        <v>1162</v>
      </c>
      <c r="D19" s="1" t="s">
        <v>1162</v>
      </c>
      <c r="E19" s="102" t="s">
        <v>1110</v>
      </c>
      <c r="F19" s="1">
        <v>1</v>
      </c>
    </row>
    <row r="20" spans="1:6" x14ac:dyDescent="0.2">
      <c r="A20" s="6" t="s">
        <v>105</v>
      </c>
      <c r="B20" s="6" t="s">
        <v>957</v>
      </c>
      <c r="C20" s="6" t="s">
        <v>1162</v>
      </c>
      <c r="D20" s="6" t="s">
        <v>1162</v>
      </c>
      <c r="E20" s="103" t="s">
        <v>1110</v>
      </c>
      <c r="F20" s="1">
        <v>1</v>
      </c>
    </row>
    <row r="21" spans="1:6" x14ac:dyDescent="0.2">
      <c r="A21" s="1" t="s">
        <v>106</v>
      </c>
      <c r="B21" s="1" t="s">
        <v>957</v>
      </c>
      <c r="C21" s="1" t="s">
        <v>1162</v>
      </c>
      <c r="D21" s="1" t="s">
        <v>1162</v>
      </c>
      <c r="E21" s="102" t="s">
        <v>1110</v>
      </c>
      <c r="F21" s="1">
        <v>1</v>
      </c>
    </row>
    <row r="22" spans="1:6" x14ac:dyDescent="0.2">
      <c r="A22" s="6" t="s">
        <v>139</v>
      </c>
      <c r="B22" s="6" t="s">
        <v>958</v>
      </c>
      <c r="C22" s="6" t="s">
        <v>1162</v>
      </c>
      <c r="D22" s="6" t="s">
        <v>1162</v>
      </c>
      <c r="E22" s="103" t="s">
        <v>1110</v>
      </c>
      <c r="F22" s="1">
        <v>1</v>
      </c>
    </row>
    <row r="23" spans="1:6" x14ac:dyDescent="0.2">
      <c r="A23" s="1" t="s">
        <v>140</v>
      </c>
      <c r="B23" s="1" t="s">
        <v>959</v>
      </c>
      <c r="C23" s="1" t="s">
        <v>1162</v>
      </c>
      <c r="D23" s="1" t="s">
        <v>1162</v>
      </c>
      <c r="E23" s="102" t="s">
        <v>1110</v>
      </c>
      <c r="F23" s="1">
        <v>1</v>
      </c>
    </row>
    <row r="24" spans="1:6" x14ac:dyDescent="0.2">
      <c r="A24" s="6" t="s">
        <v>127</v>
      </c>
      <c r="B24" s="6" t="s">
        <v>960</v>
      </c>
      <c r="C24" s="6" t="s">
        <v>1162</v>
      </c>
      <c r="D24" s="6" t="s">
        <v>1162</v>
      </c>
      <c r="E24" s="103" t="s">
        <v>1110</v>
      </c>
      <c r="F24" s="1">
        <v>1</v>
      </c>
    </row>
    <row r="25" spans="1:6" x14ac:dyDescent="0.2">
      <c r="A25" s="1" t="s">
        <v>132</v>
      </c>
      <c r="B25" s="1" t="s">
        <v>132</v>
      </c>
      <c r="C25" s="1" t="s">
        <v>1162</v>
      </c>
      <c r="D25" s="1" t="s">
        <v>1162</v>
      </c>
      <c r="E25" s="102" t="s">
        <v>1112</v>
      </c>
      <c r="F25" s="1">
        <v>1</v>
      </c>
    </row>
    <row r="26" spans="1:6" x14ac:dyDescent="0.2">
      <c r="A26" s="6" t="s">
        <v>133</v>
      </c>
      <c r="B26" s="6" t="s">
        <v>961</v>
      </c>
      <c r="C26" s="6" t="s">
        <v>1162</v>
      </c>
      <c r="D26" s="6" t="s">
        <v>1162</v>
      </c>
      <c r="E26" s="103" t="s">
        <v>1112</v>
      </c>
      <c r="F26" s="1">
        <v>1</v>
      </c>
    </row>
    <row r="27" spans="1:6" x14ac:dyDescent="0.2">
      <c r="A27" s="1" t="s">
        <v>288</v>
      </c>
      <c r="B27" s="1" t="s">
        <v>288</v>
      </c>
      <c r="C27" s="1" t="s">
        <v>1162</v>
      </c>
      <c r="D27" s="1" t="s">
        <v>1162</v>
      </c>
      <c r="E27" s="102" t="s">
        <v>1112</v>
      </c>
      <c r="F27" s="1">
        <v>1</v>
      </c>
    </row>
    <row r="28" spans="1:6" x14ac:dyDescent="0.2">
      <c r="A28" s="6" t="s">
        <v>135</v>
      </c>
      <c r="B28" s="6" t="s">
        <v>962</v>
      </c>
      <c r="C28" s="6" t="s">
        <v>1162</v>
      </c>
      <c r="D28" s="6" t="s">
        <v>1162</v>
      </c>
      <c r="E28" s="103" t="s">
        <v>1112</v>
      </c>
      <c r="F28" s="1">
        <v>1</v>
      </c>
    </row>
    <row r="29" spans="1:6" x14ac:dyDescent="0.2">
      <c r="A29" s="1" t="s">
        <v>136</v>
      </c>
      <c r="B29" s="1" t="s">
        <v>963</v>
      </c>
      <c r="C29" s="1" t="s">
        <v>1162</v>
      </c>
      <c r="D29" s="1" t="s">
        <v>1162</v>
      </c>
      <c r="E29" s="102" t="s">
        <v>1112</v>
      </c>
      <c r="F29" s="1">
        <v>1</v>
      </c>
    </row>
    <row r="30" spans="1:6" x14ac:dyDescent="0.2">
      <c r="A30" s="6" t="s">
        <v>137</v>
      </c>
      <c r="B30" s="6" t="s">
        <v>137</v>
      </c>
      <c r="C30" s="6" t="s">
        <v>1162</v>
      </c>
      <c r="D30" s="6" t="s">
        <v>1162</v>
      </c>
      <c r="E30" s="103" t="s">
        <v>1110</v>
      </c>
      <c r="F30" s="1">
        <v>1</v>
      </c>
    </row>
    <row r="31" spans="1:6" x14ac:dyDescent="0.2">
      <c r="A31" s="1" t="s">
        <v>138</v>
      </c>
      <c r="B31" s="1" t="s">
        <v>958</v>
      </c>
      <c r="C31" s="1" t="s">
        <v>1162</v>
      </c>
      <c r="D31" s="1" t="s">
        <v>1162</v>
      </c>
      <c r="E31" s="102" t="s">
        <v>1110</v>
      </c>
      <c r="F31" s="1">
        <v>1</v>
      </c>
    </row>
    <row r="32" spans="1:6" x14ac:dyDescent="0.2">
      <c r="A32" s="6" t="s">
        <v>141</v>
      </c>
      <c r="B32" s="6" t="s">
        <v>959</v>
      </c>
      <c r="C32" s="6" t="s">
        <v>1162</v>
      </c>
      <c r="D32" s="6" t="s">
        <v>1162</v>
      </c>
      <c r="E32" s="103" t="s">
        <v>1110</v>
      </c>
      <c r="F32" s="1">
        <v>1</v>
      </c>
    </row>
    <row r="33" spans="1:6" x14ac:dyDescent="0.2">
      <c r="A33" s="1" t="s">
        <v>153</v>
      </c>
      <c r="B33" s="1" t="s">
        <v>964</v>
      </c>
      <c r="C33" s="1" t="s">
        <v>1162</v>
      </c>
      <c r="D33" s="1" t="s">
        <v>1162</v>
      </c>
      <c r="E33" s="102" t="s">
        <v>1110</v>
      </c>
      <c r="F33" s="1">
        <v>1</v>
      </c>
    </row>
    <row r="34" spans="1:6" x14ac:dyDescent="0.2">
      <c r="A34" s="6" t="s">
        <v>167</v>
      </c>
      <c r="B34" s="6" t="s">
        <v>132</v>
      </c>
      <c r="C34" s="6" t="s">
        <v>961</v>
      </c>
      <c r="D34" s="103" t="s">
        <v>288</v>
      </c>
      <c r="E34" s="103" t="s">
        <v>1112</v>
      </c>
      <c r="F34" s="1">
        <v>0</v>
      </c>
    </row>
    <row r="35" spans="1:6" x14ac:dyDescent="0.2">
      <c r="A35" s="1" t="s">
        <v>188</v>
      </c>
      <c r="B35" s="1" t="s">
        <v>974</v>
      </c>
      <c r="C35" s="1" t="s">
        <v>1162</v>
      </c>
      <c r="D35" s="1" t="s">
        <v>1162</v>
      </c>
      <c r="E35" s="102" t="s">
        <v>659</v>
      </c>
      <c r="F35" s="1">
        <v>1</v>
      </c>
    </row>
    <row r="36" spans="1:6" x14ac:dyDescent="0.2">
      <c r="A36" s="6" t="s">
        <v>189</v>
      </c>
      <c r="B36" s="6" t="s">
        <v>975</v>
      </c>
      <c r="C36" s="6" t="s">
        <v>1162</v>
      </c>
      <c r="D36" s="6" t="s">
        <v>1162</v>
      </c>
      <c r="E36" s="103" t="s">
        <v>659</v>
      </c>
      <c r="F36" s="1">
        <v>1</v>
      </c>
    </row>
    <row r="37" spans="1:6" x14ac:dyDescent="0.2">
      <c r="A37" s="1" t="s">
        <v>190</v>
      </c>
      <c r="B37" s="1" t="s">
        <v>980</v>
      </c>
      <c r="C37" s="1" t="s">
        <v>1162</v>
      </c>
      <c r="D37" s="1" t="s">
        <v>1162</v>
      </c>
      <c r="E37" s="102" t="s">
        <v>659</v>
      </c>
      <c r="F37" s="1">
        <v>1</v>
      </c>
    </row>
    <row r="38" spans="1:6" x14ac:dyDescent="0.2">
      <c r="A38" s="6" t="s">
        <v>191</v>
      </c>
      <c r="B38" s="6" t="s">
        <v>981</v>
      </c>
      <c r="C38" s="6" t="s">
        <v>1162</v>
      </c>
      <c r="D38" s="6" t="s">
        <v>1162</v>
      </c>
      <c r="E38" s="103" t="s">
        <v>659</v>
      </c>
      <c r="F38" s="1">
        <v>1</v>
      </c>
    </row>
    <row r="39" spans="1:6" x14ac:dyDescent="0.2">
      <c r="A39" s="1" t="s">
        <v>192</v>
      </c>
      <c r="B39" s="1" t="s">
        <v>976</v>
      </c>
      <c r="C39" s="1" t="s">
        <v>1162</v>
      </c>
      <c r="D39" s="1" t="s">
        <v>1162</v>
      </c>
      <c r="E39" s="102" t="s">
        <v>659</v>
      </c>
      <c r="F39" s="1">
        <v>1</v>
      </c>
    </row>
    <row r="40" spans="1:6" x14ac:dyDescent="0.2">
      <c r="A40" s="6" t="s">
        <v>193</v>
      </c>
      <c r="B40" s="6" t="s">
        <v>977</v>
      </c>
      <c r="C40" s="6" t="s">
        <v>1162</v>
      </c>
      <c r="D40" s="6" t="s">
        <v>1162</v>
      </c>
      <c r="E40" s="103" t="s">
        <v>659</v>
      </c>
      <c r="F40" s="1">
        <v>1</v>
      </c>
    </row>
    <row r="41" spans="1:6" x14ac:dyDescent="0.2">
      <c r="A41" s="1" t="s">
        <v>194</v>
      </c>
      <c r="B41" s="1" t="s">
        <v>978</v>
      </c>
      <c r="C41" s="1" t="s">
        <v>1162</v>
      </c>
      <c r="D41" s="1" t="s">
        <v>1162</v>
      </c>
      <c r="E41" s="102" t="s">
        <v>659</v>
      </c>
      <c r="F41" s="1">
        <v>1</v>
      </c>
    </row>
    <row r="42" spans="1:6" x14ac:dyDescent="0.2">
      <c r="A42" s="6" t="s">
        <v>195</v>
      </c>
      <c r="B42" s="6" t="s">
        <v>989</v>
      </c>
      <c r="C42" s="6" t="s">
        <v>1162</v>
      </c>
      <c r="D42" s="6" t="s">
        <v>1162</v>
      </c>
      <c r="E42" s="103" t="s">
        <v>659</v>
      </c>
      <c r="F42" s="1">
        <v>1</v>
      </c>
    </row>
    <row r="43" spans="1:6" x14ac:dyDescent="0.2">
      <c r="A43" s="1" t="s">
        <v>211</v>
      </c>
      <c r="B43" s="1" t="s">
        <v>956</v>
      </c>
      <c r="C43" s="1" t="s">
        <v>1162</v>
      </c>
      <c r="D43" s="1" t="s">
        <v>1162</v>
      </c>
      <c r="E43" s="102" t="s">
        <v>1110</v>
      </c>
      <c r="F43" s="1">
        <v>1</v>
      </c>
    </row>
    <row r="44" spans="1:6" x14ac:dyDescent="0.2">
      <c r="A44" s="6" t="s">
        <v>212</v>
      </c>
      <c r="B44" s="6" t="s">
        <v>965</v>
      </c>
      <c r="C44" s="6" t="s">
        <v>1162</v>
      </c>
      <c r="D44" s="6" t="s">
        <v>1162</v>
      </c>
      <c r="E44" s="103" t="s">
        <v>1110</v>
      </c>
      <c r="F44" s="1">
        <v>1</v>
      </c>
    </row>
    <row r="45" spans="1:6" x14ac:dyDescent="0.2">
      <c r="A45" s="1" t="s">
        <v>214</v>
      </c>
      <c r="B45" s="1" t="s">
        <v>957</v>
      </c>
      <c r="C45" s="1" t="s">
        <v>1162</v>
      </c>
      <c r="D45" s="1" t="s">
        <v>1162</v>
      </c>
      <c r="E45" s="102" t="s">
        <v>1110</v>
      </c>
      <c r="F45" s="1">
        <v>1</v>
      </c>
    </row>
    <row r="46" spans="1:6" x14ac:dyDescent="0.2">
      <c r="A46" s="6" t="s">
        <v>215</v>
      </c>
      <c r="B46" s="6" t="s">
        <v>959</v>
      </c>
      <c r="C46" s="6" t="s">
        <v>137</v>
      </c>
      <c r="D46" s="6" t="s">
        <v>1162</v>
      </c>
      <c r="E46" s="103" t="s">
        <v>1110</v>
      </c>
      <c r="F46" s="1">
        <v>1</v>
      </c>
    </row>
    <row r="47" spans="1:6" x14ac:dyDescent="0.2">
      <c r="A47" s="1" t="s">
        <v>224</v>
      </c>
      <c r="B47" s="1" t="s">
        <v>966</v>
      </c>
      <c r="C47" s="1" t="s">
        <v>1162</v>
      </c>
      <c r="D47" s="1" t="s">
        <v>1162</v>
      </c>
      <c r="E47" s="102" t="s">
        <v>1110</v>
      </c>
      <c r="F47" s="1">
        <v>1</v>
      </c>
    </row>
    <row r="48" spans="1:6" x14ac:dyDescent="0.2">
      <c r="A48" s="6" t="s">
        <v>226</v>
      </c>
      <c r="B48" s="6" t="s">
        <v>967</v>
      </c>
      <c r="C48" s="6" t="s">
        <v>1162</v>
      </c>
      <c r="D48" s="6" t="s">
        <v>1162</v>
      </c>
      <c r="E48" s="103" t="s">
        <v>0</v>
      </c>
      <c r="F48" s="1">
        <v>1</v>
      </c>
    </row>
    <row r="49" spans="1:8" x14ac:dyDescent="0.2">
      <c r="A49" s="1" t="s">
        <v>282</v>
      </c>
      <c r="B49" s="1" t="s">
        <v>948</v>
      </c>
      <c r="C49" s="1" t="s">
        <v>1162</v>
      </c>
      <c r="D49" s="1" t="s">
        <v>1162</v>
      </c>
      <c r="E49" s="102" t="s">
        <v>0</v>
      </c>
      <c r="F49" s="1">
        <v>1</v>
      </c>
    </row>
    <row r="50" spans="1:8" x14ac:dyDescent="0.2">
      <c r="A50" s="6" t="s">
        <v>314</v>
      </c>
      <c r="B50" s="6" t="s">
        <v>967</v>
      </c>
      <c r="C50" s="6" t="s">
        <v>1162</v>
      </c>
      <c r="D50" s="6" t="s">
        <v>1162</v>
      </c>
      <c r="E50" s="103" t="s">
        <v>0</v>
      </c>
      <c r="F50" s="1">
        <v>1</v>
      </c>
    </row>
    <row r="51" spans="1:8" x14ac:dyDescent="0.2">
      <c r="A51" s="1" t="s">
        <v>289</v>
      </c>
      <c r="B51" s="1" t="s">
        <v>968</v>
      </c>
      <c r="C51" s="1" t="s">
        <v>1162</v>
      </c>
      <c r="D51" s="1" t="s">
        <v>1162</v>
      </c>
      <c r="E51" s="102" t="s">
        <v>1112</v>
      </c>
      <c r="F51" s="1">
        <v>1</v>
      </c>
    </row>
    <row r="52" spans="1:8" x14ac:dyDescent="0.2">
      <c r="A52" s="6" t="s">
        <v>294</v>
      </c>
      <c r="B52" s="6" t="s">
        <v>992</v>
      </c>
      <c r="C52" s="6" t="s">
        <v>1162</v>
      </c>
      <c r="D52" s="6" t="s">
        <v>1162</v>
      </c>
      <c r="E52" s="103" t="s">
        <v>659</v>
      </c>
      <c r="F52" s="1">
        <v>1</v>
      </c>
    </row>
    <row r="53" spans="1:8" x14ac:dyDescent="0.2">
      <c r="A53" s="1" t="s">
        <v>295</v>
      </c>
      <c r="B53" s="1" t="s">
        <v>295</v>
      </c>
      <c r="C53" s="1" t="s">
        <v>1162</v>
      </c>
      <c r="D53" s="1" t="s">
        <v>1162</v>
      </c>
      <c r="E53" s="102" t="s">
        <v>659</v>
      </c>
      <c r="F53" s="1">
        <v>1</v>
      </c>
    </row>
    <row r="54" spans="1:8" x14ac:dyDescent="0.2">
      <c r="A54" s="6" t="s">
        <v>296</v>
      </c>
      <c r="B54" s="6" t="s">
        <v>296</v>
      </c>
      <c r="C54" s="6" t="s">
        <v>1162</v>
      </c>
      <c r="D54" s="6" t="s">
        <v>1162</v>
      </c>
      <c r="E54" s="103" t="s">
        <v>659</v>
      </c>
      <c r="F54" s="1">
        <v>1</v>
      </c>
    </row>
    <row r="55" spans="1:8" x14ac:dyDescent="0.2">
      <c r="A55" s="1" t="s">
        <v>297</v>
      </c>
      <c r="B55" s="1" t="s">
        <v>297</v>
      </c>
      <c r="C55" s="1" t="s">
        <v>1162</v>
      </c>
      <c r="D55" s="1" t="s">
        <v>1162</v>
      </c>
      <c r="E55" s="102" t="s">
        <v>659</v>
      </c>
      <c r="F55" s="1">
        <v>1</v>
      </c>
    </row>
    <row r="56" spans="1:8" x14ac:dyDescent="0.2">
      <c r="A56" s="6" t="s">
        <v>298</v>
      </c>
      <c r="B56" s="6" t="s">
        <v>298</v>
      </c>
      <c r="C56" s="6" t="s">
        <v>1162</v>
      </c>
      <c r="D56" s="6" t="s">
        <v>1162</v>
      </c>
      <c r="E56" s="103" t="s">
        <v>659</v>
      </c>
      <c r="F56" s="1">
        <v>1</v>
      </c>
    </row>
    <row r="57" spans="1:8" x14ac:dyDescent="0.2">
      <c r="A57" s="1" t="s">
        <v>299</v>
      </c>
      <c r="B57" s="1" t="s">
        <v>299</v>
      </c>
      <c r="C57" s="1" t="s">
        <v>1162</v>
      </c>
      <c r="D57" s="1" t="s">
        <v>1162</v>
      </c>
      <c r="E57" s="102" t="s">
        <v>659</v>
      </c>
      <c r="F57" s="1">
        <v>1</v>
      </c>
    </row>
    <row r="58" spans="1:8" x14ac:dyDescent="0.2">
      <c r="A58" s="6" t="s">
        <v>300</v>
      </c>
      <c r="B58" s="6" t="s">
        <v>300</v>
      </c>
      <c r="C58" s="6" t="s">
        <v>1162</v>
      </c>
      <c r="D58" s="6" t="s">
        <v>1162</v>
      </c>
      <c r="E58" s="103" t="s">
        <v>659</v>
      </c>
      <c r="F58" s="1">
        <v>1</v>
      </c>
    </row>
    <row r="59" spans="1:8" x14ac:dyDescent="0.2">
      <c r="A59" s="1" t="s">
        <v>301</v>
      </c>
      <c r="B59" s="1" t="s">
        <v>993</v>
      </c>
      <c r="C59" s="1" t="s">
        <v>1162</v>
      </c>
      <c r="D59" s="1" t="s">
        <v>1162</v>
      </c>
      <c r="E59" s="102" t="s">
        <v>659</v>
      </c>
      <c r="F59" s="1">
        <v>1</v>
      </c>
    </row>
    <row r="60" spans="1:8" x14ac:dyDescent="0.2">
      <c r="A60" s="6" t="s">
        <v>302</v>
      </c>
      <c r="B60" s="6" t="s">
        <v>302</v>
      </c>
      <c r="C60" s="6" t="s">
        <v>1162</v>
      </c>
      <c r="D60" s="6" t="s">
        <v>1162</v>
      </c>
      <c r="E60" s="103" t="s">
        <v>659</v>
      </c>
      <c r="F60" s="1">
        <v>1</v>
      </c>
    </row>
    <row r="61" spans="1:8" x14ac:dyDescent="0.2">
      <c r="A61" s="1" t="s">
        <v>330</v>
      </c>
      <c r="B61" s="1" t="s">
        <v>29</v>
      </c>
      <c r="C61" s="1" t="s">
        <v>41</v>
      </c>
      <c r="D61" s="1" t="s">
        <v>1162</v>
      </c>
      <c r="E61" s="102" t="s">
        <v>0</v>
      </c>
      <c r="F61" s="1">
        <v>0</v>
      </c>
    </row>
    <row r="62" spans="1:8" x14ac:dyDescent="0.2">
      <c r="A62" s="6" t="s">
        <v>367</v>
      </c>
      <c r="B62" s="6" t="s">
        <v>957</v>
      </c>
      <c r="C62" s="6" t="s">
        <v>1162</v>
      </c>
      <c r="D62" s="6" t="s">
        <v>1162</v>
      </c>
      <c r="E62" s="103" t="s">
        <v>1110</v>
      </c>
      <c r="F62" s="1">
        <v>1</v>
      </c>
    </row>
    <row r="63" spans="1:8" ht="15" x14ac:dyDescent="0.25">
      <c r="A63" s="1" t="s">
        <v>375</v>
      </c>
      <c r="B63" s="1" t="s">
        <v>969</v>
      </c>
      <c r="C63" s="1" t="s">
        <v>1162</v>
      </c>
      <c r="D63" s="1" t="s">
        <v>1162</v>
      </c>
      <c r="E63" s="102" t="s">
        <v>0</v>
      </c>
      <c r="F63" s="1">
        <v>1</v>
      </c>
      <c r="H63"/>
    </row>
    <row r="64" spans="1:8" ht="15" x14ac:dyDescent="0.25">
      <c r="A64" s="6" t="s">
        <v>378</v>
      </c>
      <c r="B64" s="6" t="s">
        <v>1164</v>
      </c>
      <c r="C64" s="6" t="s">
        <v>1162</v>
      </c>
      <c r="D64" s="6" t="s">
        <v>1162</v>
      </c>
      <c r="E64" s="103" t="s">
        <v>1110</v>
      </c>
      <c r="F64" s="1">
        <v>1</v>
      </c>
      <c r="H64"/>
    </row>
    <row r="65" spans="1:8" ht="15" x14ac:dyDescent="0.25">
      <c r="A65" s="1" t="s">
        <v>379</v>
      </c>
      <c r="B65" s="1" t="s">
        <v>970</v>
      </c>
      <c r="C65" s="1" t="s">
        <v>1162</v>
      </c>
      <c r="D65" s="1" t="s">
        <v>1162</v>
      </c>
      <c r="E65" s="102" t="s">
        <v>1110</v>
      </c>
      <c r="F65" s="1">
        <v>1</v>
      </c>
      <c r="H65"/>
    </row>
    <row r="66" spans="1:8" ht="15" x14ac:dyDescent="0.25">
      <c r="A66" s="6" t="s">
        <v>394</v>
      </c>
      <c r="B66" s="6" t="s">
        <v>956</v>
      </c>
      <c r="C66" s="6" t="s">
        <v>1162</v>
      </c>
      <c r="D66" s="6" t="s">
        <v>1162</v>
      </c>
      <c r="E66" s="103" t="s">
        <v>1110</v>
      </c>
      <c r="F66" s="1">
        <v>1</v>
      </c>
      <c r="H66"/>
    </row>
    <row r="67" spans="1:8" ht="15" x14ac:dyDescent="0.25">
      <c r="A67" s="1" t="s">
        <v>403</v>
      </c>
      <c r="B67" s="1" t="s">
        <v>403</v>
      </c>
      <c r="C67" s="1" t="s">
        <v>1162</v>
      </c>
      <c r="D67" s="1" t="s">
        <v>1162</v>
      </c>
      <c r="E67" s="102" t="s">
        <v>659</v>
      </c>
      <c r="F67" s="1">
        <v>1</v>
      </c>
      <c r="H67"/>
    </row>
    <row r="68" spans="1:8" ht="15" x14ac:dyDescent="0.25">
      <c r="A68" s="6" t="s">
        <v>408</v>
      </c>
      <c r="B68" s="6" t="str">
        <f>Tabelle38[[#This Row],[Prozess (ursprüngliche Kategorien)]]</f>
        <v>Prozesskälte Handel</v>
      </c>
      <c r="C68" s="6" t="s">
        <v>1162</v>
      </c>
      <c r="D68" s="6" t="s">
        <v>1162</v>
      </c>
      <c r="E68" s="103" t="s">
        <v>1110</v>
      </c>
      <c r="F68" s="1">
        <v>1</v>
      </c>
      <c r="H68"/>
    </row>
    <row r="69" spans="1:8" ht="15" x14ac:dyDescent="0.25">
      <c r="A69" s="1" t="s">
        <v>420</v>
      </c>
      <c r="B69" s="1" t="s">
        <v>54</v>
      </c>
      <c r="C69" s="1" t="s">
        <v>41</v>
      </c>
      <c r="D69" s="1" t="s">
        <v>1162</v>
      </c>
      <c r="E69" s="102" t="s">
        <v>0</v>
      </c>
      <c r="F69" s="1">
        <v>0</v>
      </c>
      <c r="H69"/>
    </row>
    <row r="70" spans="1:8" ht="15" x14ac:dyDescent="0.25">
      <c r="A70" s="6" t="s">
        <v>419</v>
      </c>
      <c r="B70" s="6" t="s">
        <v>953</v>
      </c>
      <c r="C70" s="6" t="s">
        <v>979</v>
      </c>
      <c r="D70" s="6" t="s">
        <v>1162</v>
      </c>
      <c r="E70" s="103" t="s">
        <v>0</v>
      </c>
      <c r="F70" s="1">
        <v>0</v>
      </c>
      <c r="H70"/>
    </row>
    <row r="71" spans="1:8" ht="15" x14ac:dyDescent="0.25">
      <c r="A71" s="1" t="s">
        <v>1088</v>
      </c>
      <c r="B71" s="1" t="s">
        <v>955</v>
      </c>
      <c r="C71" s="1" t="s">
        <v>1162</v>
      </c>
      <c r="D71" s="1" t="s">
        <v>1162</v>
      </c>
      <c r="E71" s="102" t="s">
        <v>0</v>
      </c>
      <c r="F71" s="1">
        <v>1</v>
      </c>
      <c r="H71"/>
    </row>
    <row r="72" spans="1:8" ht="15" x14ac:dyDescent="0.25">
      <c r="A72" s="6" t="s">
        <v>542</v>
      </c>
      <c r="B72" s="6" t="s">
        <v>542</v>
      </c>
      <c r="C72" s="6" t="s">
        <v>1162</v>
      </c>
      <c r="D72" s="6" t="s">
        <v>1162</v>
      </c>
      <c r="E72" s="103" t="s">
        <v>1110</v>
      </c>
      <c r="F72" s="1">
        <v>1</v>
      </c>
      <c r="H72"/>
    </row>
    <row r="73" spans="1:8" ht="15" x14ac:dyDescent="0.25">
      <c r="A73" s="1" t="s">
        <v>543</v>
      </c>
      <c r="B73" s="1" t="s">
        <v>956</v>
      </c>
      <c r="C73" s="1" t="s">
        <v>957</v>
      </c>
      <c r="D73" s="1" t="s">
        <v>1162</v>
      </c>
      <c r="E73" s="102" t="s">
        <v>1110</v>
      </c>
      <c r="F73" s="1">
        <v>0</v>
      </c>
      <c r="H73"/>
    </row>
    <row r="74" spans="1:8" ht="15" x14ac:dyDescent="0.25">
      <c r="A74" s="6" t="s">
        <v>544</v>
      </c>
      <c r="B74" s="6" t="s">
        <v>982</v>
      </c>
      <c r="C74" s="6" t="s">
        <v>1162</v>
      </c>
      <c r="D74" s="6" t="s">
        <v>1162</v>
      </c>
      <c r="E74" s="103" t="s">
        <v>1110</v>
      </c>
      <c r="F74" s="1">
        <v>1</v>
      </c>
      <c r="H74"/>
    </row>
    <row r="75" spans="1:8" ht="15" x14ac:dyDescent="0.25">
      <c r="A75" s="1" t="s">
        <v>549</v>
      </c>
      <c r="B75" s="1" t="s">
        <v>549</v>
      </c>
      <c r="C75" s="1" t="s">
        <v>1162</v>
      </c>
      <c r="D75" s="1" t="s">
        <v>1162</v>
      </c>
      <c r="E75" s="102" t="s">
        <v>1110</v>
      </c>
      <c r="F75" s="1">
        <v>1</v>
      </c>
      <c r="H75"/>
    </row>
    <row r="76" spans="1:8" ht="15" x14ac:dyDescent="0.25">
      <c r="A76" s="6" t="s">
        <v>581</v>
      </c>
      <c r="B76" s="6" t="s">
        <v>986</v>
      </c>
      <c r="C76" s="6" t="s">
        <v>1162</v>
      </c>
      <c r="D76" s="6" t="s">
        <v>1162</v>
      </c>
      <c r="E76" s="103" t="s">
        <v>0</v>
      </c>
      <c r="F76" s="1">
        <v>1</v>
      </c>
      <c r="H76"/>
    </row>
    <row r="77" spans="1:8" ht="15" x14ac:dyDescent="0.25">
      <c r="A77" s="1" t="s">
        <v>582</v>
      </c>
      <c r="B77" s="1" t="s">
        <v>948</v>
      </c>
      <c r="C77" s="1" t="s">
        <v>983</v>
      </c>
      <c r="D77" s="102" t="s">
        <v>984</v>
      </c>
      <c r="E77" s="102" t="s">
        <v>0</v>
      </c>
      <c r="F77" s="1">
        <v>1</v>
      </c>
      <c r="H77"/>
    </row>
    <row r="78" spans="1:8" ht="15" x14ac:dyDescent="0.25">
      <c r="A78" s="6" t="s">
        <v>721</v>
      </c>
      <c r="B78" s="6" t="s">
        <v>956</v>
      </c>
      <c r="C78" s="6" t="s">
        <v>1162</v>
      </c>
      <c r="D78" s="6" t="s">
        <v>1162</v>
      </c>
      <c r="E78" s="103" t="s">
        <v>1110</v>
      </c>
      <c r="F78" s="1">
        <v>1</v>
      </c>
      <c r="H78"/>
    </row>
    <row r="79" spans="1:8" ht="15" x14ac:dyDescent="0.25">
      <c r="A79" s="1" t="s">
        <v>664</v>
      </c>
      <c r="B79" s="1" t="s">
        <v>664</v>
      </c>
      <c r="C79" s="1" t="s">
        <v>1162</v>
      </c>
      <c r="D79" s="1" t="s">
        <v>1162</v>
      </c>
      <c r="E79" s="102" t="s">
        <v>0</v>
      </c>
      <c r="F79" s="1">
        <v>1</v>
      </c>
      <c r="H79"/>
    </row>
    <row r="80" spans="1:8" ht="15" x14ac:dyDescent="0.25">
      <c r="A80" s="6" t="s">
        <v>819</v>
      </c>
      <c r="B80" s="6" t="s">
        <v>985</v>
      </c>
      <c r="C80" s="6" t="s">
        <v>1162</v>
      </c>
      <c r="D80" s="6" t="s">
        <v>1162</v>
      </c>
      <c r="E80" s="103" t="s">
        <v>1110</v>
      </c>
      <c r="F80" s="1">
        <v>1</v>
      </c>
      <c r="H80"/>
    </row>
    <row r="81" spans="1:8" ht="15" x14ac:dyDescent="0.25">
      <c r="A81" s="1" t="s">
        <v>820</v>
      </c>
      <c r="B81" s="1" t="s">
        <v>986</v>
      </c>
      <c r="C81" s="1" t="s">
        <v>1162</v>
      </c>
      <c r="D81" s="1" t="s">
        <v>1162</v>
      </c>
      <c r="E81" s="102" t="s">
        <v>0</v>
      </c>
      <c r="F81" s="1">
        <v>1</v>
      </c>
      <c r="H81"/>
    </row>
    <row r="82" spans="1:8" ht="15" x14ac:dyDescent="0.25">
      <c r="A82" s="6" t="s">
        <v>831</v>
      </c>
      <c r="B82" s="6" t="s">
        <v>989</v>
      </c>
      <c r="C82" s="6" t="s">
        <v>1162</v>
      </c>
      <c r="D82" s="6" t="s">
        <v>1162</v>
      </c>
      <c r="E82" s="103" t="s">
        <v>659</v>
      </c>
      <c r="F82" s="1">
        <v>1</v>
      </c>
      <c r="H82"/>
    </row>
    <row r="83" spans="1:8" ht="15" x14ac:dyDescent="0.25">
      <c r="A83" s="1" t="s">
        <v>834</v>
      </c>
      <c r="B83" s="1" t="s">
        <v>990</v>
      </c>
      <c r="C83" s="1" t="s">
        <v>1162</v>
      </c>
      <c r="D83" s="1" t="s">
        <v>1162</v>
      </c>
      <c r="E83" s="102" t="s">
        <v>659</v>
      </c>
      <c r="F83" s="1">
        <v>1</v>
      </c>
      <c r="H83"/>
    </row>
    <row r="84" spans="1:8" ht="15" x14ac:dyDescent="0.25">
      <c r="A84" s="6" t="s">
        <v>838</v>
      </c>
      <c r="B84" s="6" t="s">
        <v>861</v>
      </c>
      <c r="C84" s="6" t="s">
        <v>1162</v>
      </c>
      <c r="D84" s="6" t="s">
        <v>1162</v>
      </c>
      <c r="E84" s="103" t="s">
        <v>1110</v>
      </c>
      <c r="F84" s="1">
        <v>1</v>
      </c>
      <c r="H84"/>
    </row>
    <row r="85" spans="1:8" ht="15" x14ac:dyDescent="0.25">
      <c r="A85" s="1" t="s">
        <v>840</v>
      </c>
      <c r="B85" s="1" t="s">
        <v>988</v>
      </c>
      <c r="C85" s="1" t="s">
        <v>1162</v>
      </c>
      <c r="D85" s="1" t="s">
        <v>1162</v>
      </c>
      <c r="E85" s="102" t="s">
        <v>1113</v>
      </c>
      <c r="F85" s="1">
        <v>1</v>
      </c>
      <c r="H85"/>
    </row>
    <row r="86" spans="1:8" ht="15" x14ac:dyDescent="0.25">
      <c r="A86" s="6" t="s">
        <v>861</v>
      </c>
      <c r="B86" s="6" t="s">
        <v>861</v>
      </c>
      <c r="C86" s="6" t="s">
        <v>1162</v>
      </c>
      <c r="D86" s="6" t="s">
        <v>1162</v>
      </c>
      <c r="E86" s="103" t="s">
        <v>1110</v>
      </c>
      <c r="F86" s="1">
        <v>1</v>
      </c>
      <c r="H86"/>
    </row>
    <row r="87" spans="1:8" ht="15" x14ac:dyDescent="0.25">
      <c r="A87" s="1" t="s">
        <v>862</v>
      </c>
      <c r="B87" s="1" t="s">
        <v>985</v>
      </c>
      <c r="C87" s="1" t="s">
        <v>1162</v>
      </c>
      <c r="D87" s="1" t="s">
        <v>1162</v>
      </c>
      <c r="E87" s="102" t="s">
        <v>1110</v>
      </c>
      <c r="F87" s="1">
        <v>1</v>
      </c>
      <c r="H87"/>
    </row>
    <row r="88" spans="1:8" ht="15" x14ac:dyDescent="0.25">
      <c r="A88" s="6" t="s">
        <v>884</v>
      </c>
      <c r="B88" s="6" t="s">
        <v>1164</v>
      </c>
      <c r="C88" s="6" t="s">
        <v>1162</v>
      </c>
      <c r="D88" s="6" t="s">
        <v>1162</v>
      </c>
      <c r="E88" s="103" t="s">
        <v>1110</v>
      </c>
      <c r="F88" s="1">
        <v>1</v>
      </c>
      <c r="H88"/>
    </row>
    <row r="89" spans="1:8" ht="15" x14ac:dyDescent="0.25">
      <c r="A89" s="1" t="s">
        <v>886</v>
      </c>
      <c r="B89" s="1" t="s">
        <v>953</v>
      </c>
      <c r="C89" s="1" t="s">
        <v>1162</v>
      </c>
      <c r="D89" s="1" t="s">
        <v>1162</v>
      </c>
      <c r="E89" s="102" t="s">
        <v>0</v>
      </c>
      <c r="F89" s="1">
        <v>1</v>
      </c>
      <c r="H89"/>
    </row>
    <row r="90" spans="1:8" ht="15" x14ac:dyDescent="0.25">
      <c r="A90" s="6" t="s">
        <v>891</v>
      </c>
      <c r="B90" s="6" t="s">
        <v>891</v>
      </c>
      <c r="C90" s="6" t="s">
        <v>1162</v>
      </c>
      <c r="D90" s="6" t="s">
        <v>1162</v>
      </c>
      <c r="E90" s="103" t="s">
        <v>1113</v>
      </c>
      <c r="F90" s="1">
        <v>1</v>
      </c>
      <c r="H90"/>
    </row>
    <row r="91" spans="1:8" ht="15" x14ac:dyDescent="0.25">
      <c r="A91" s="1" t="s">
        <v>892</v>
      </c>
      <c r="B91" s="1" t="s">
        <v>892</v>
      </c>
      <c r="C91" s="1" t="s">
        <v>1162</v>
      </c>
      <c r="D91" s="1" t="s">
        <v>1162</v>
      </c>
      <c r="E91" s="102" t="s">
        <v>1113</v>
      </c>
      <c r="F91" s="1">
        <v>1</v>
      </c>
      <c r="H91"/>
    </row>
    <row r="92" spans="1:8" ht="15" x14ac:dyDescent="0.25">
      <c r="A92" s="6" t="s">
        <v>935</v>
      </c>
      <c r="B92" s="6" t="s">
        <v>958</v>
      </c>
      <c r="C92" s="6" t="s">
        <v>1162</v>
      </c>
      <c r="D92" s="6" t="s">
        <v>1162</v>
      </c>
      <c r="E92" s="103" t="s">
        <v>1110</v>
      </c>
      <c r="F92" s="1">
        <v>1</v>
      </c>
      <c r="H92"/>
    </row>
    <row r="93" spans="1:8" ht="15" x14ac:dyDescent="0.25">
      <c r="A93" s="1" t="s">
        <v>940</v>
      </c>
      <c r="B93" s="1" t="s">
        <v>987</v>
      </c>
      <c r="C93" s="1" t="s">
        <v>1162</v>
      </c>
      <c r="D93" s="1" t="s">
        <v>1162</v>
      </c>
      <c r="E93" s="102" t="s">
        <v>1112</v>
      </c>
      <c r="F93" s="1">
        <v>1</v>
      </c>
      <c r="H93"/>
    </row>
    <row r="94" spans="1:8" ht="15" x14ac:dyDescent="0.25">
      <c r="A94" s="6" t="s">
        <v>941</v>
      </c>
      <c r="B94" s="6" t="s">
        <v>991</v>
      </c>
      <c r="C94" s="6" t="s">
        <v>1162</v>
      </c>
      <c r="D94" s="6" t="s">
        <v>1162</v>
      </c>
      <c r="E94" s="103" t="s">
        <v>1110</v>
      </c>
      <c r="F94" s="1">
        <v>1</v>
      </c>
      <c r="H94"/>
    </row>
    <row r="95" spans="1:8" ht="15" x14ac:dyDescent="0.25">
      <c r="A95" s="1" t="s">
        <v>942</v>
      </c>
      <c r="B95" s="1" t="s">
        <v>942</v>
      </c>
      <c r="C95" s="1" t="s">
        <v>1162</v>
      </c>
      <c r="D95" s="1" t="s">
        <v>1162</v>
      </c>
      <c r="E95" s="102" t="s">
        <v>1110</v>
      </c>
      <c r="F95" s="1">
        <v>1</v>
      </c>
      <c r="H95"/>
    </row>
    <row r="96" spans="1:8" ht="15" x14ac:dyDescent="0.25">
      <c r="A96" s="6" t="s">
        <v>1006</v>
      </c>
      <c r="B96" s="6" t="s">
        <v>989</v>
      </c>
      <c r="C96" s="6" t="s">
        <v>1162</v>
      </c>
      <c r="D96" s="6" t="s">
        <v>1162</v>
      </c>
      <c r="E96" s="103" t="s">
        <v>659</v>
      </c>
      <c r="F96" s="1">
        <v>1</v>
      </c>
      <c r="H96"/>
    </row>
    <row r="97" spans="1:8" ht="15" x14ac:dyDescent="0.25">
      <c r="A97" s="1" t="s">
        <v>1007</v>
      </c>
      <c r="B97" s="1" t="s">
        <v>989</v>
      </c>
      <c r="C97" s="1" t="s">
        <v>1162</v>
      </c>
      <c r="D97" s="1" t="s">
        <v>1162</v>
      </c>
      <c r="E97" s="102" t="s">
        <v>659</v>
      </c>
      <c r="F97" s="1">
        <v>1</v>
      </c>
      <c r="H97"/>
    </row>
    <row r="98" spans="1:8" ht="15" x14ac:dyDescent="0.25">
      <c r="A98" s="6" t="s">
        <v>1032</v>
      </c>
      <c r="B98" s="6" t="s">
        <v>29</v>
      </c>
      <c r="C98" s="6" t="s">
        <v>1162</v>
      </c>
      <c r="D98" s="6" t="s">
        <v>1162</v>
      </c>
      <c r="E98" s="103" t="s">
        <v>0</v>
      </c>
      <c r="F98" s="1">
        <v>1</v>
      </c>
      <c r="H98"/>
    </row>
    <row r="99" spans="1:8" x14ac:dyDescent="0.2">
      <c r="A99" s="104" t="s">
        <v>1033</v>
      </c>
      <c r="B99" s="104" t="s">
        <v>29</v>
      </c>
      <c r="C99" s="104" t="s">
        <v>1162</v>
      </c>
      <c r="D99" s="104" t="s">
        <v>1162</v>
      </c>
      <c r="E99" s="105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63F1-401B-46BF-A015-515234F513D3}">
  <dimension ref="A1:F99"/>
  <sheetViews>
    <sheetView topLeftCell="A31" workbookViewId="0">
      <selection activeCell="A68" sqref="A68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8.85546875" style="1" bestFit="1" customWidth="1"/>
    <col min="7" max="16384" width="11.42578125" style="1"/>
  </cols>
  <sheetData>
    <row r="1" spans="1:6" x14ac:dyDescent="0.2">
      <c r="A1" s="1" t="s">
        <v>947</v>
      </c>
      <c r="B1" s="1" t="s">
        <v>971</v>
      </c>
      <c r="C1" s="1" t="s">
        <v>972</v>
      </c>
      <c r="D1" s="1" t="s">
        <v>973</v>
      </c>
      <c r="E1" s="1" t="s">
        <v>1111</v>
      </c>
      <c r="F1" s="1" t="s">
        <v>1163</v>
      </c>
    </row>
    <row r="2" spans="1:6" x14ac:dyDescent="0.2">
      <c r="A2" s="87" t="s">
        <v>29</v>
      </c>
      <c r="B2" s="87" t="s">
        <v>29</v>
      </c>
      <c r="C2" s="87" t="s">
        <v>1162</v>
      </c>
      <c r="D2" s="87" t="s">
        <v>1162</v>
      </c>
      <c r="E2" s="94" t="s">
        <v>0</v>
      </c>
      <c r="F2" s="94">
        <v>1</v>
      </c>
    </row>
    <row r="3" spans="1:6" x14ac:dyDescent="0.2">
      <c r="A3" s="87" t="s">
        <v>53</v>
      </c>
      <c r="B3" s="87" t="s">
        <v>41</v>
      </c>
      <c r="C3" s="87" t="s">
        <v>1162</v>
      </c>
      <c r="D3" s="87" t="s">
        <v>1162</v>
      </c>
      <c r="E3" s="94" t="s">
        <v>0</v>
      </c>
      <c r="F3" s="94">
        <v>1</v>
      </c>
    </row>
    <row r="4" spans="1:6" x14ac:dyDescent="0.2">
      <c r="A4" s="87" t="s">
        <v>54</v>
      </c>
      <c r="B4" s="87" t="s">
        <v>54</v>
      </c>
      <c r="C4" s="87" t="s">
        <v>1162</v>
      </c>
      <c r="D4" s="87" t="s">
        <v>1162</v>
      </c>
      <c r="E4" s="94" t="s">
        <v>0</v>
      </c>
      <c r="F4" s="94">
        <v>1</v>
      </c>
    </row>
    <row r="5" spans="1:6" x14ac:dyDescent="0.2">
      <c r="A5" s="87" t="s">
        <v>72</v>
      </c>
      <c r="B5" s="87" t="s">
        <v>948</v>
      </c>
      <c r="C5" s="87" t="s">
        <v>1162</v>
      </c>
      <c r="D5" s="87" t="s">
        <v>1162</v>
      </c>
      <c r="E5" s="94" t="s">
        <v>0</v>
      </c>
      <c r="F5" s="94">
        <v>1</v>
      </c>
    </row>
    <row r="6" spans="1:6" x14ac:dyDescent="0.2">
      <c r="A6" s="87" t="s">
        <v>76</v>
      </c>
      <c r="B6" s="87" t="s">
        <v>948</v>
      </c>
      <c r="C6" s="87" t="s">
        <v>1162</v>
      </c>
      <c r="D6" s="87" t="s">
        <v>1162</v>
      </c>
      <c r="E6" s="94" t="s">
        <v>0</v>
      </c>
      <c r="F6" s="94">
        <v>1</v>
      </c>
    </row>
    <row r="7" spans="1:6" x14ac:dyDescent="0.2">
      <c r="A7" s="87" t="s">
        <v>77</v>
      </c>
      <c r="B7" s="87" t="s">
        <v>980</v>
      </c>
      <c r="C7" s="87" t="s">
        <v>1162</v>
      </c>
      <c r="D7" s="87" t="s">
        <v>1162</v>
      </c>
      <c r="E7" s="94" t="s">
        <v>0</v>
      </c>
      <c r="F7" s="94">
        <v>1</v>
      </c>
    </row>
    <row r="8" spans="1:6" x14ac:dyDescent="0.2">
      <c r="A8" s="87" t="s">
        <v>80</v>
      </c>
      <c r="B8" s="87" t="s">
        <v>980</v>
      </c>
      <c r="C8" s="87" t="s">
        <v>1162</v>
      </c>
      <c r="D8" s="87" t="s">
        <v>1162</v>
      </c>
      <c r="E8" s="94" t="s">
        <v>0</v>
      </c>
      <c r="F8" s="94">
        <v>1</v>
      </c>
    </row>
    <row r="9" spans="1:6" x14ac:dyDescent="0.2">
      <c r="A9" s="87" t="s">
        <v>81</v>
      </c>
      <c r="B9" s="87" t="s">
        <v>980</v>
      </c>
      <c r="C9" s="87" t="s">
        <v>1162</v>
      </c>
      <c r="D9" s="87" t="s">
        <v>1162</v>
      </c>
      <c r="E9" s="94" t="s">
        <v>0</v>
      </c>
      <c r="F9" s="94">
        <v>1</v>
      </c>
    </row>
    <row r="10" spans="1:6" x14ac:dyDescent="0.2">
      <c r="A10" s="87" t="s">
        <v>82</v>
      </c>
      <c r="B10" s="87" t="s">
        <v>980</v>
      </c>
      <c r="C10" s="87" t="s">
        <v>1162</v>
      </c>
      <c r="D10" s="87" t="s">
        <v>1162</v>
      </c>
      <c r="E10" s="94" t="s">
        <v>0</v>
      </c>
      <c r="F10" s="94">
        <v>1</v>
      </c>
    </row>
    <row r="11" spans="1:6" x14ac:dyDescent="0.2">
      <c r="A11" s="87" t="s">
        <v>84</v>
      </c>
      <c r="B11" s="87" t="s">
        <v>952</v>
      </c>
      <c r="C11" s="87" t="s">
        <v>1162</v>
      </c>
      <c r="D11" s="87" t="s">
        <v>1162</v>
      </c>
      <c r="E11" s="94" t="s">
        <v>0</v>
      </c>
      <c r="F11" s="94">
        <v>1</v>
      </c>
    </row>
    <row r="12" spans="1:6" x14ac:dyDescent="0.2">
      <c r="A12" s="87" t="s">
        <v>953</v>
      </c>
      <c r="B12" s="87" t="s">
        <v>953</v>
      </c>
      <c r="C12" s="87" t="s">
        <v>1162</v>
      </c>
      <c r="D12" s="87" t="s">
        <v>1162</v>
      </c>
      <c r="E12" s="94" t="s">
        <v>0</v>
      </c>
      <c r="F12" s="94">
        <v>1</v>
      </c>
    </row>
    <row r="13" spans="1:6" x14ac:dyDescent="0.2">
      <c r="A13" s="87" t="s">
        <v>91</v>
      </c>
      <c r="B13" s="87" t="s">
        <v>956</v>
      </c>
      <c r="C13" s="87" t="s">
        <v>1162</v>
      </c>
      <c r="D13" s="87" t="s">
        <v>1162</v>
      </c>
      <c r="E13" s="94" t="s">
        <v>1110</v>
      </c>
      <c r="F13" s="94">
        <v>1</v>
      </c>
    </row>
    <row r="14" spans="1:6" x14ac:dyDescent="0.2">
      <c r="A14" s="87" t="s">
        <v>213</v>
      </c>
      <c r="B14" s="87" t="s">
        <v>955</v>
      </c>
      <c r="C14" s="87" t="s">
        <v>1162</v>
      </c>
      <c r="D14" s="87" t="s">
        <v>1162</v>
      </c>
      <c r="E14" s="94" t="s">
        <v>1110</v>
      </c>
      <c r="F14" s="94">
        <v>1</v>
      </c>
    </row>
    <row r="15" spans="1:6" x14ac:dyDescent="0.2">
      <c r="A15" s="87" t="s">
        <v>100</v>
      </c>
      <c r="B15" s="87" t="s">
        <v>956</v>
      </c>
      <c r="C15" s="87" t="s">
        <v>1162</v>
      </c>
      <c r="D15" s="87" t="s">
        <v>1162</v>
      </c>
      <c r="E15" s="94" t="s">
        <v>1110</v>
      </c>
      <c r="F15" s="94">
        <v>1</v>
      </c>
    </row>
    <row r="16" spans="1:6" x14ac:dyDescent="0.2">
      <c r="A16" s="87" t="s">
        <v>1159</v>
      </c>
      <c r="B16" s="87" t="s">
        <v>956</v>
      </c>
      <c r="C16" s="87" t="s">
        <v>1162</v>
      </c>
      <c r="D16" s="87" t="s">
        <v>1162</v>
      </c>
      <c r="E16" s="94" t="s">
        <v>1110</v>
      </c>
      <c r="F16" s="94">
        <v>1</v>
      </c>
    </row>
    <row r="17" spans="1:6" x14ac:dyDescent="0.2">
      <c r="A17" s="87" t="s">
        <v>102</v>
      </c>
      <c r="B17" s="87" t="s">
        <v>956</v>
      </c>
      <c r="C17" s="87" t="s">
        <v>1162</v>
      </c>
      <c r="D17" s="87" t="s">
        <v>1162</v>
      </c>
      <c r="E17" s="94" t="s">
        <v>1110</v>
      </c>
      <c r="F17" s="94">
        <v>1</v>
      </c>
    </row>
    <row r="18" spans="1:6" x14ac:dyDescent="0.2">
      <c r="A18" s="87" t="s">
        <v>103</v>
      </c>
      <c r="B18" s="87" t="s">
        <v>957</v>
      </c>
      <c r="C18" s="87" t="s">
        <v>1162</v>
      </c>
      <c r="D18" s="87" t="s">
        <v>1162</v>
      </c>
      <c r="E18" s="94" t="s">
        <v>1110</v>
      </c>
      <c r="F18" s="94">
        <v>1</v>
      </c>
    </row>
    <row r="19" spans="1:6" x14ac:dyDescent="0.2">
      <c r="A19" s="87" t="s">
        <v>104</v>
      </c>
      <c r="B19" s="87" t="s">
        <v>957</v>
      </c>
      <c r="C19" s="87" t="s">
        <v>1162</v>
      </c>
      <c r="D19" s="87" t="s">
        <v>1162</v>
      </c>
      <c r="E19" s="94" t="s">
        <v>1110</v>
      </c>
      <c r="F19" s="94">
        <v>1</v>
      </c>
    </row>
    <row r="20" spans="1:6" x14ac:dyDescent="0.2">
      <c r="A20" s="87" t="s">
        <v>105</v>
      </c>
      <c r="B20" s="87" t="s">
        <v>957</v>
      </c>
      <c r="C20" s="87" t="s">
        <v>1162</v>
      </c>
      <c r="D20" s="87" t="s">
        <v>1162</v>
      </c>
      <c r="E20" s="94" t="s">
        <v>1110</v>
      </c>
      <c r="F20" s="94">
        <v>1</v>
      </c>
    </row>
    <row r="21" spans="1:6" x14ac:dyDescent="0.2">
      <c r="A21" s="87" t="s">
        <v>106</v>
      </c>
      <c r="B21" s="87" t="s">
        <v>957</v>
      </c>
      <c r="C21" s="87" t="s">
        <v>1162</v>
      </c>
      <c r="D21" s="87" t="s">
        <v>1162</v>
      </c>
      <c r="E21" s="94" t="s">
        <v>1110</v>
      </c>
      <c r="F21" s="94">
        <v>1</v>
      </c>
    </row>
    <row r="22" spans="1:6" x14ac:dyDescent="0.2">
      <c r="A22" s="87" t="s">
        <v>139</v>
      </c>
      <c r="B22" s="87" t="s">
        <v>958</v>
      </c>
      <c r="C22" s="87" t="s">
        <v>1162</v>
      </c>
      <c r="D22" s="87" t="s">
        <v>1162</v>
      </c>
      <c r="E22" s="94" t="s">
        <v>1110</v>
      </c>
      <c r="F22" s="94">
        <v>1</v>
      </c>
    </row>
    <row r="23" spans="1:6" x14ac:dyDescent="0.2">
      <c r="A23" s="87" t="s">
        <v>140</v>
      </c>
      <c r="B23" s="87" t="s">
        <v>959</v>
      </c>
      <c r="C23" s="87" t="s">
        <v>1162</v>
      </c>
      <c r="D23" s="87" t="s">
        <v>1162</v>
      </c>
      <c r="E23" s="94" t="s">
        <v>1110</v>
      </c>
      <c r="F23" s="94">
        <v>1</v>
      </c>
    </row>
    <row r="24" spans="1:6" x14ac:dyDescent="0.2">
      <c r="A24" s="87" t="s">
        <v>127</v>
      </c>
      <c r="B24" s="87" t="s">
        <v>960</v>
      </c>
      <c r="C24" s="87" t="s">
        <v>1162</v>
      </c>
      <c r="D24" s="87" t="s">
        <v>1162</v>
      </c>
      <c r="E24" s="94" t="s">
        <v>1110</v>
      </c>
      <c r="F24" s="94">
        <v>1</v>
      </c>
    </row>
    <row r="25" spans="1:6" x14ac:dyDescent="0.2">
      <c r="A25" s="87" t="s">
        <v>132</v>
      </c>
      <c r="B25" s="87" t="s">
        <v>132</v>
      </c>
      <c r="C25" s="87" t="s">
        <v>1162</v>
      </c>
      <c r="D25" s="87" t="s">
        <v>1162</v>
      </c>
      <c r="E25" s="94" t="s">
        <v>1112</v>
      </c>
      <c r="F25" s="94">
        <v>1</v>
      </c>
    </row>
    <row r="26" spans="1:6" x14ac:dyDescent="0.2">
      <c r="A26" s="87" t="s">
        <v>133</v>
      </c>
      <c r="B26" s="87" t="s">
        <v>961</v>
      </c>
      <c r="C26" s="87" t="s">
        <v>1162</v>
      </c>
      <c r="D26" s="87" t="s">
        <v>1162</v>
      </c>
      <c r="E26" s="94" t="s">
        <v>1112</v>
      </c>
      <c r="F26" s="94">
        <v>1</v>
      </c>
    </row>
    <row r="27" spans="1:6" x14ac:dyDescent="0.2">
      <c r="A27" s="87" t="s">
        <v>288</v>
      </c>
      <c r="B27" s="87" t="s">
        <v>288</v>
      </c>
      <c r="C27" s="87" t="s">
        <v>1162</v>
      </c>
      <c r="D27" s="87" t="s">
        <v>1162</v>
      </c>
      <c r="E27" s="94" t="s">
        <v>1112</v>
      </c>
      <c r="F27" s="94">
        <v>1</v>
      </c>
    </row>
    <row r="28" spans="1:6" x14ac:dyDescent="0.2">
      <c r="A28" s="87" t="s">
        <v>135</v>
      </c>
      <c r="B28" s="87" t="s">
        <v>394</v>
      </c>
      <c r="C28" s="87" t="s">
        <v>1162</v>
      </c>
      <c r="D28" s="87" t="s">
        <v>1162</v>
      </c>
      <c r="E28" s="94" t="s">
        <v>1112</v>
      </c>
      <c r="F28" s="94">
        <v>1</v>
      </c>
    </row>
    <row r="29" spans="1:6" x14ac:dyDescent="0.2">
      <c r="A29" s="87" t="s">
        <v>136</v>
      </c>
      <c r="B29" s="87" t="s">
        <v>394</v>
      </c>
      <c r="C29" s="87" t="s">
        <v>1162</v>
      </c>
      <c r="D29" s="87" t="s">
        <v>1162</v>
      </c>
      <c r="E29" s="94" t="s">
        <v>1112</v>
      </c>
      <c r="F29" s="94">
        <v>1</v>
      </c>
    </row>
    <row r="30" spans="1:6" x14ac:dyDescent="0.2">
      <c r="A30" s="87" t="s">
        <v>137</v>
      </c>
      <c r="B30" s="87" t="s">
        <v>137</v>
      </c>
      <c r="C30" s="87" t="s">
        <v>1162</v>
      </c>
      <c r="D30" s="87" t="s">
        <v>1162</v>
      </c>
      <c r="E30" s="94" t="s">
        <v>1110</v>
      </c>
      <c r="F30" s="94">
        <v>1</v>
      </c>
    </row>
    <row r="31" spans="1:6" x14ac:dyDescent="0.2">
      <c r="A31" s="87" t="s">
        <v>138</v>
      </c>
      <c r="B31" s="87" t="s">
        <v>958</v>
      </c>
      <c r="C31" s="87" t="s">
        <v>1162</v>
      </c>
      <c r="D31" s="87" t="s">
        <v>1162</v>
      </c>
      <c r="E31" s="94" t="s">
        <v>1110</v>
      </c>
      <c r="F31" s="94">
        <v>1</v>
      </c>
    </row>
    <row r="32" spans="1:6" x14ac:dyDescent="0.2">
      <c r="A32" s="87" t="s">
        <v>141</v>
      </c>
      <c r="B32" s="87" t="s">
        <v>959</v>
      </c>
      <c r="C32" s="87" t="s">
        <v>1162</v>
      </c>
      <c r="D32" s="87" t="s">
        <v>1162</v>
      </c>
      <c r="E32" s="94" t="s">
        <v>1110</v>
      </c>
      <c r="F32" s="94">
        <v>1</v>
      </c>
    </row>
    <row r="33" spans="1:6" x14ac:dyDescent="0.2">
      <c r="A33" s="87" t="s">
        <v>153</v>
      </c>
      <c r="B33" s="87" t="s">
        <v>964</v>
      </c>
      <c r="C33" s="87" t="s">
        <v>1162</v>
      </c>
      <c r="D33" s="87" t="s">
        <v>1162</v>
      </c>
      <c r="E33" s="94" t="s">
        <v>1110</v>
      </c>
      <c r="F33" s="94">
        <v>1</v>
      </c>
    </row>
    <row r="34" spans="1:6" x14ac:dyDescent="0.2">
      <c r="A34" s="87" t="s">
        <v>167</v>
      </c>
      <c r="B34" s="87" t="s">
        <v>132</v>
      </c>
      <c r="C34" s="87" t="s">
        <v>961</v>
      </c>
      <c r="D34" s="94" t="s">
        <v>288</v>
      </c>
      <c r="E34" s="94" t="s">
        <v>1112</v>
      </c>
      <c r="F34" s="94">
        <v>0</v>
      </c>
    </row>
    <row r="35" spans="1:6" x14ac:dyDescent="0.2">
      <c r="A35" s="87" t="s">
        <v>188</v>
      </c>
      <c r="B35" s="87" t="s">
        <v>974</v>
      </c>
      <c r="C35" s="87" t="s">
        <v>1162</v>
      </c>
      <c r="D35" s="87" t="s">
        <v>1162</v>
      </c>
      <c r="E35" s="94" t="s">
        <v>659</v>
      </c>
      <c r="F35" s="94">
        <v>1</v>
      </c>
    </row>
    <row r="36" spans="1:6" x14ac:dyDescent="0.2">
      <c r="A36" s="87" t="s">
        <v>189</v>
      </c>
      <c r="B36" s="87" t="s">
        <v>975</v>
      </c>
      <c r="C36" s="87" t="s">
        <v>1162</v>
      </c>
      <c r="D36" s="87" t="s">
        <v>1162</v>
      </c>
      <c r="E36" s="94" t="s">
        <v>659</v>
      </c>
      <c r="F36" s="94">
        <v>1</v>
      </c>
    </row>
    <row r="37" spans="1:6" x14ac:dyDescent="0.2">
      <c r="A37" s="87" t="s">
        <v>190</v>
      </c>
      <c r="B37" s="87" t="s">
        <v>980</v>
      </c>
      <c r="C37" s="87" t="s">
        <v>1162</v>
      </c>
      <c r="D37" s="87" t="s">
        <v>1162</v>
      </c>
      <c r="E37" s="94" t="s">
        <v>659</v>
      </c>
      <c r="F37" s="94">
        <v>1</v>
      </c>
    </row>
    <row r="38" spans="1:6" x14ac:dyDescent="0.2">
      <c r="A38" s="87" t="s">
        <v>191</v>
      </c>
      <c r="B38" s="87" t="s">
        <v>981</v>
      </c>
      <c r="C38" s="87" t="s">
        <v>1162</v>
      </c>
      <c r="D38" s="87" t="s">
        <v>1162</v>
      </c>
      <c r="E38" s="94" t="s">
        <v>659</v>
      </c>
      <c r="F38" s="94">
        <v>1</v>
      </c>
    </row>
    <row r="39" spans="1:6" x14ac:dyDescent="0.2">
      <c r="A39" s="87" t="s">
        <v>192</v>
      </c>
      <c r="B39" s="87" t="s">
        <v>976</v>
      </c>
      <c r="C39" s="87" t="s">
        <v>1162</v>
      </c>
      <c r="D39" s="87" t="s">
        <v>1162</v>
      </c>
      <c r="E39" s="94" t="s">
        <v>659</v>
      </c>
      <c r="F39" s="94">
        <v>1</v>
      </c>
    </row>
    <row r="40" spans="1:6" x14ac:dyDescent="0.2">
      <c r="A40" s="87" t="s">
        <v>193</v>
      </c>
      <c r="B40" s="87" t="s">
        <v>977</v>
      </c>
      <c r="C40" s="87" t="s">
        <v>1162</v>
      </c>
      <c r="D40" s="87" t="s">
        <v>1162</v>
      </c>
      <c r="E40" s="94" t="s">
        <v>659</v>
      </c>
      <c r="F40" s="94">
        <v>1</v>
      </c>
    </row>
    <row r="41" spans="1:6" x14ac:dyDescent="0.2">
      <c r="A41" s="87" t="s">
        <v>194</v>
      </c>
      <c r="B41" s="87" t="s">
        <v>978</v>
      </c>
      <c r="C41" s="87" t="s">
        <v>1162</v>
      </c>
      <c r="D41" s="87" t="s">
        <v>1162</v>
      </c>
      <c r="E41" s="94" t="s">
        <v>659</v>
      </c>
      <c r="F41" s="94">
        <v>1</v>
      </c>
    </row>
    <row r="42" spans="1:6" x14ac:dyDescent="0.2">
      <c r="A42" s="87" t="s">
        <v>195</v>
      </c>
      <c r="B42" s="87" t="s">
        <v>989</v>
      </c>
      <c r="C42" s="87" t="s">
        <v>1162</v>
      </c>
      <c r="D42" s="87" t="s">
        <v>1162</v>
      </c>
      <c r="E42" s="94" t="s">
        <v>659</v>
      </c>
      <c r="F42" s="94">
        <v>1</v>
      </c>
    </row>
    <row r="43" spans="1:6" x14ac:dyDescent="0.2">
      <c r="A43" s="87" t="s">
        <v>211</v>
      </c>
      <c r="B43" s="87" t="s">
        <v>956</v>
      </c>
      <c r="C43" s="87" t="s">
        <v>1162</v>
      </c>
      <c r="D43" s="87" t="s">
        <v>1162</v>
      </c>
      <c r="E43" s="94" t="s">
        <v>1110</v>
      </c>
      <c r="F43" s="94">
        <v>1</v>
      </c>
    </row>
    <row r="44" spans="1:6" x14ac:dyDescent="0.2">
      <c r="A44" s="87" t="s">
        <v>212</v>
      </c>
      <c r="B44" s="87" t="s">
        <v>965</v>
      </c>
      <c r="C44" s="87" t="s">
        <v>1162</v>
      </c>
      <c r="D44" s="87" t="s">
        <v>1162</v>
      </c>
      <c r="E44" s="94" t="s">
        <v>1110</v>
      </c>
      <c r="F44" s="94">
        <v>1</v>
      </c>
    </row>
    <row r="45" spans="1:6" x14ac:dyDescent="0.2">
      <c r="A45" s="87" t="s">
        <v>214</v>
      </c>
      <c r="B45" s="87" t="s">
        <v>957</v>
      </c>
      <c r="C45" s="87" t="s">
        <v>1162</v>
      </c>
      <c r="D45" s="87" t="s">
        <v>1162</v>
      </c>
      <c r="E45" s="94" t="s">
        <v>1110</v>
      </c>
      <c r="F45" s="94">
        <v>1</v>
      </c>
    </row>
    <row r="46" spans="1:6" x14ac:dyDescent="0.2">
      <c r="A46" s="87" t="s">
        <v>215</v>
      </c>
      <c r="B46" s="87" t="s">
        <v>959</v>
      </c>
      <c r="C46" s="87" t="s">
        <v>137</v>
      </c>
      <c r="D46" s="87" t="s">
        <v>1162</v>
      </c>
      <c r="E46" s="94" t="s">
        <v>1110</v>
      </c>
      <c r="F46" s="94">
        <v>1</v>
      </c>
    </row>
    <row r="47" spans="1:6" x14ac:dyDescent="0.2">
      <c r="A47" s="87" t="s">
        <v>224</v>
      </c>
      <c r="B47" s="87" t="s">
        <v>966</v>
      </c>
      <c r="C47" s="87" t="s">
        <v>1162</v>
      </c>
      <c r="D47" s="87" t="s">
        <v>1162</v>
      </c>
      <c r="E47" s="94" t="s">
        <v>1110</v>
      </c>
      <c r="F47" s="94">
        <v>1</v>
      </c>
    </row>
    <row r="48" spans="1:6" x14ac:dyDescent="0.2">
      <c r="A48" s="87" t="s">
        <v>226</v>
      </c>
      <c r="B48" s="87" t="s">
        <v>967</v>
      </c>
      <c r="C48" s="87" t="s">
        <v>1162</v>
      </c>
      <c r="D48" s="87" t="s">
        <v>1162</v>
      </c>
      <c r="E48" s="94" t="s">
        <v>0</v>
      </c>
      <c r="F48" s="94">
        <v>1</v>
      </c>
    </row>
    <row r="49" spans="1:6" x14ac:dyDescent="0.2">
      <c r="A49" s="87" t="s">
        <v>282</v>
      </c>
      <c r="B49" s="87" t="s">
        <v>948</v>
      </c>
      <c r="C49" s="87" t="s">
        <v>1162</v>
      </c>
      <c r="D49" s="87" t="s">
        <v>1162</v>
      </c>
      <c r="E49" s="94" t="s">
        <v>0</v>
      </c>
      <c r="F49" s="94">
        <v>1</v>
      </c>
    </row>
    <row r="50" spans="1:6" x14ac:dyDescent="0.2">
      <c r="A50" s="87" t="s">
        <v>314</v>
      </c>
      <c r="B50" s="87" t="s">
        <v>967</v>
      </c>
      <c r="C50" s="87" t="s">
        <v>1162</v>
      </c>
      <c r="D50" s="87" t="s">
        <v>1162</v>
      </c>
      <c r="E50" s="94" t="s">
        <v>0</v>
      </c>
      <c r="F50" s="94">
        <v>1</v>
      </c>
    </row>
    <row r="51" spans="1:6" x14ac:dyDescent="0.2">
      <c r="A51" s="87" t="s">
        <v>289</v>
      </c>
      <c r="B51" s="87" t="s">
        <v>394</v>
      </c>
      <c r="C51" s="87" t="s">
        <v>1162</v>
      </c>
      <c r="D51" s="87" t="s">
        <v>1162</v>
      </c>
      <c r="E51" s="94" t="s">
        <v>1112</v>
      </c>
      <c r="F51" s="94">
        <v>1</v>
      </c>
    </row>
    <row r="52" spans="1:6" x14ac:dyDescent="0.2">
      <c r="A52" s="87" t="s">
        <v>294</v>
      </c>
      <c r="B52" s="87" t="s">
        <v>992</v>
      </c>
      <c r="C52" s="87" t="s">
        <v>1162</v>
      </c>
      <c r="D52" s="87" t="s">
        <v>1162</v>
      </c>
      <c r="E52" s="94" t="s">
        <v>659</v>
      </c>
      <c r="F52" s="94">
        <v>1</v>
      </c>
    </row>
    <row r="53" spans="1:6" x14ac:dyDescent="0.2">
      <c r="A53" s="87" t="s">
        <v>295</v>
      </c>
      <c r="B53" s="87" t="s">
        <v>295</v>
      </c>
      <c r="C53" s="87" t="s">
        <v>1162</v>
      </c>
      <c r="D53" s="87" t="s">
        <v>1162</v>
      </c>
      <c r="E53" s="94" t="s">
        <v>659</v>
      </c>
      <c r="F53" s="94">
        <v>1</v>
      </c>
    </row>
    <row r="54" spans="1:6" x14ac:dyDescent="0.2">
      <c r="A54" s="87" t="s">
        <v>296</v>
      </c>
      <c r="B54" s="87" t="s">
        <v>296</v>
      </c>
      <c r="C54" s="87" t="s">
        <v>1162</v>
      </c>
      <c r="D54" s="87" t="s">
        <v>1162</v>
      </c>
      <c r="E54" s="94" t="s">
        <v>659</v>
      </c>
      <c r="F54" s="94">
        <v>1</v>
      </c>
    </row>
    <row r="55" spans="1:6" x14ac:dyDescent="0.2">
      <c r="A55" s="87" t="s">
        <v>297</v>
      </c>
      <c r="B55" s="87" t="s">
        <v>297</v>
      </c>
      <c r="C55" s="87" t="s">
        <v>1162</v>
      </c>
      <c r="D55" s="87" t="s">
        <v>1162</v>
      </c>
      <c r="E55" s="94" t="s">
        <v>659</v>
      </c>
      <c r="F55" s="94">
        <v>1</v>
      </c>
    </row>
    <row r="56" spans="1:6" x14ac:dyDescent="0.2">
      <c r="A56" s="87" t="s">
        <v>298</v>
      </c>
      <c r="B56" s="87" t="s">
        <v>298</v>
      </c>
      <c r="C56" s="87" t="s">
        <v>1162</v>
      </c>
      <c r="D56" s="87" t="s">
        <v>1162</v>
      </c>
      <c r="E56" s="94" t="s">
        <v>659</v>
      </c>
      <c r="F56" s="94">
        <v>1</v>
      </c>
    </row>
    <row r="57" spans="1:6" x14ac:dyDescent="0.2">
      <c r="A57" s="87" t="s">
        <v>299</v>
      </c>
      <c r="B57" s="87" t="s">
        <v>299</v>
      </c>
      <c r="C57" s="87" t="s">
        <v>1162</v>
      </c>
      <c r="D57" s="87" t="s">
        <v>1162</v>
      </c>
      <c r="E57" s="94" t="s">
        <v>659</v>
      </c>
      <c r="F57" s="94">
        <v>1</v>
      </c>
    </row>
    <row r="58" spans="1:6" x14ac:dyDescent="0.2">
      <c r="A58" s="87" t="s">
        <v>300</v>
      </c>
      <c r="B58" s="87" t="s">
        <v>300</v>
      </c>
      <c r="C58" s="87" t="s">
        <v>1162</v>
      </c>
      <c r="D58" s="87" t="s">
        <v>1162</v>
      </c>
      <c r="E58" s="94" t="s">
        <v>659</v>
      </c>
      <c r="F58" s="94">
        <v>1</v>
      </c>
    </row>
    <row r="59" spans="1:6" x14ac:dyDescent="0.2">
      <c r="A59" s="87" t="s">
        <v>301</v>
      </c>
      <c r="B59" s="87" t="s">
        <v>993</v>
      </c>
      <c r="C59" s="87" t="s">
        <v>1162</v>
      </c>
      <c r="D59" s="87" t="s">
        <v>1162</v>
      </c>
      <c r="E59" s="94" t="s">
        <v>659</v>
      </c>
      <c r="F59" s="94">
        <v>1</v>
      </c>
    </row>
    <row r="60" spans="1:6" x14ac:dyDescent="0.2">
      <c r="A60" s="87" t="s">
        <v>302</v>
      </c>
      <c r="B60" s="87" t="s">
        <v>302</v>
      </c>
      <c r="C60" s="87" t="s">
        <v>1162</v>
      </c>
      <c r="D60" s="87" t="s">
        <v>1162</v>
      </c>
      <c r="E60" s="94" t="s">
        <v>659</v>
      </c>
      <c r="F60" s="94">
        <v>1</v>
      </c>
    </row>
    <row r="61" spans="1:6" x14ac:dyDescent="0.2">
      <c r="A61" s="87" t="s">
        <v>330</v>
      </c>
      <c r="B61" s="87" t="s">
        <v>29</v>
      </c>
      <c r="C61" s="87" t="s">
        <v>41</v>
      </c>
      <c r="D61" s="87" t="s">
        <v>1162</v>
      </c>
      <c r="E61" s="94" t="s">
        <v>0</v>
      </c>
      <c r="F61" s="94">
        <v>0</v>
      </c>
    </row>
    <row r="62" spans="1:6" x14ac:dyDescent="0.2">
      <c r="A62" s="87" t="s">
        <v>367</v>
      </c>
      <c r="B62" s="87" t="s">
        <v>957</v>
      </c>
      <c r="C62" s="87" t="s">
        <v>1162</v>
      </c>
      <c r="D62" s="87" t="s">
        <v>1162</v>
      </c>
      <c r="E62" s="94" t="s">
        <v>1110</v>
      </c>
      <c r="F62" s="94">
        <v>1</v>
      </c>
    </row>
    <row r="63" spans="1:6" x14ac:dyDescent="0.2">
      <c r="A63" s="87" t="s">
        <v>375</v>
      </c>
      <c r="B63" s="87" t="s">
        <v>969</v>
      </c>
      <c r="C63" s="87" t="s">
        <v>1162</v>
      </c>
      <c r="D63" s="87" t="s">
        <v>1162</v>
      </c>
      <c r="E63" s="94" t="s">
        <v>0</v>
      </c>
      <c r="F63" s="94">
        <v>1</v>
      </c>
    </row>
    <row r="64" spans="1:6" x14ac:dyDescent="0.2">
      <c r="A64" s="87" t="s">
        <v>378</v>
      </c>
      <c r="B64" s="87" t="s">
        <v>956</v>
      </c>
      <c r="C64" s="87" t="s">
        <v>1162</v>
      </c>
      <c r="D64" s="87" t="s">
        <v>1162</v>
      </c>
      <c r="E64" s="94" t="s">
        <v>1110</v>
      </c>
      <c r="F64" s="94">
        <v>1</v>
      </c>
    </row>
    <row r="65" spans="1:6" x14ac:dyDescent="0.2">
      <c r="A65" s="87" t="s">
        <v>379</v>
      </c>
      <c r="B65" s="87" t="s">
        <v>970</v>
      </c>
      <c r="C65" s="87" t="s">
        <v>1162</v>
      </c>
      <c r="D65" s="87" t="s">
        <v>1162</v>
      </c>
      <c r="E65" s="94" t="s">
        <v>1110</v>
      </c>
      <c r="F65" s="94">
        <v>1</v>
      </c>
    </row>
    <row r="66" spans="1:6" x14ac:dyDescent="0.2">
      <c r="A66" s="87" t="s">
        <v>394</v>
      </c>
      <c r="B66" s="87" t="s">
        <v>394</v>
      </c>
      <c r="C66" s="87" t="s">
        <v>1162</v>
      </c>
      <c r="D66" s="87" t="s">
        <v>1162</v>
      </c>
      <c r="E66" s="94" t="s">
        <v>1110</v>
      </c>
      <c r="F66" s="94">
        <v>1</v>
      </c>
    </row>
    <row r="67" spans="1:6" x14ac:dyDescent="0.2">
      <c r="A67" s="87" t="s">
        <v>403</v>
      </c>
      <c r="B67" s="87" t="s">
        <v>403</v>
      </c>
      <c r="C67" s="87" t="s">
        <v>1162</v>
      </c>
      <c r="D67" s="87" t="s">
        <v>1162</v>
      </c>
      <c r="E67" s="94" t="s">
        <v>659</v>
      </c>
      <c r="F67" s="94">
        <v>1</v>
      </c>
    </row>
    <row r="68" spans="1:6" x14ac:dyDescent="0.2">
      <c r="A68" s="87" t="s">
        <v>408</v>
      </c>
      <c r="B68" s="87" t="s">
        <v>956</v>
      </c>
      <c r="C68" s="87" t="s">
        <v>1162</v>
      </c>
      <c r="D68" s="87" t="s">
        <v>1162</v>
      </c>
      <c r="E68" s="94" t="s">
        <v>1110</v>
      </c>
      <c r="F68" s="94">
        <v>1</v>
      </c>
    </row>
    <row r="69" spans="1:6" x14ac:dyDescent="0.2">
      <c r="A69" s="87" t="s">
        <v>420</v>
      </c>
      <c r="B69" s="87" t="s">
        <v>54</v>
      </c>
      <c r="C69" s="87" t="s">
        <v>41</v>
      </c>
      <c r="D69" s="87" t="s">
        <v>1162</v>
      </c>
      <c r="E69" s="94" t="s">
        <v>0</v>
      </c>
      <c r="F69" s="94">
        <v>0</v>
      </c>
    </row>
    <row r="70" spans="1:6" x14ac:dyDescent="0.2">
      <c r="A70" s="87" t="s">
        <v>419</v>
      </c>
      <c r="B70" s="87" t="s">
        <v>953</v>
      </c>
      <c r="C70" s="87" t="s">
        <v>979</v>
      </c>
      <c r="D70" s="87" t="s">
        <v>1162</v>
      </c>
      <c r="E70" s="94" t="s">
        <v>0</v>
      </c>
      <c r="F70" s="94">
        <v>0</v>
      </c>
    </row>
    <row r="71" spans="1:6" x14ac:dyDescent="0.2">
      <c r="A71" s="87" t="s">
        <v>1088</v>
      </c>
      <c r="B71" s="87" t="s">
        <v>955</v>
      </c>
      <c r="C71" s="87" t="s">
        <v>1162</v>
      </c>
      <c r="D71" s="87" t="s">
        <v>1162</v>
      </c>
      <c r="E71" s="94" t="s">
        <v>0</v>
      </c>
      <c r="F71" s="94">
        <v>1</v>
      </c>
    </row>
    <row r="72" spans="1:6" x14ac:dyDescent="0.2">
      <c r="A72" s="87" t="s">
        <v>542</v>
      </c>
      <c r="B72" s="87" t="s">
        <v>542</v>
      </c>
      <c r="C72" s="87" t="s">
        <v>1162</v>
      </c>
      <c r="D72" s="87" t="s">
        <v>1162</v>
      </c>
      <c r="E72" s="94" t="s">
        <v>1110</v>
      </c>
      <c r="F72" s="94">
        <v>1</v>
      </c>
    </row>
    <row r="73" spans="1:6" x14ac:dyDescent="0.2">
      <c r="A73" s="87" t="s">
        <v>543</v>
      </c>
      <c r="B73" s="87" t="s">
        <v>956</v>
      </c>
      <c r="C73" s="87" t="s">
        <v>957</v>
      </c>
      <c r="D73" s="87" t="s">
        <v>1162</v>
      </c>
      <c r="E73" s="94" t="s">
        <v>1110</v>
      </c>
      <c r="F73" s="94">
        <v>0</v>
      </c>
    </row>
    <row r="74" spans="1:6" x14ac:dyDescent="0.2">
      <c r="A74" s="87" t="s">
        <v>544</v>
      </c>
      <c r="B74" s="87" t="s">
        <v>982</v>
      </c>
      <c r="C74" s="87" t="s">
        <v>1162</v>
      </c>
      <c r="D74" s="87" t="s">
        <v>1162</v>
      </c>
      <c r="E74" s="94" t="s">
        <v>1110</v>
      </c>
      <c r="F74" s="94">
        <v>1</v>
      </c>
    </row>
    <row r="75" spans="1:6" x14ac:dyDescent="0.2">
      <c r="A75" s="87" t="s">
        <v>549</v>
      </c>
      <c r="B75" s="87" t="s">
        <v>549</v>
      </c>
      <c r="C75" s="87" t="s">
        <v>1162</v>
      </c>
      <c r="D75" s="87" t="s">
        <v>1162</v>
      </c>
      <c r="E75" s="94" t="s">
        <v>1110</v>
      </c>
      <c r="F75" s="94">
        <v>1</v>
      </c>
    </row>
    <row r="76" spans="1:6" x14ac:dyDescent="0.2">
      <c r="A76" s="87" t="s">
        <v>581</v>
      </c>
      <c r="B76" s="87" t="s">
        <v>986</v>
      </c>
      <c r="C76" s="87" t="s">
        <v>1162</v>
      </c>
      <c r="D76" s="87" t="s">
        <v>1162</v>
      </c>
      <c r="E76" s="94" t="s">
        <v>0</v>
      </c>
      <c r="F76" s="94">
        <v>1</v>
      </c>
    </row>
    <row r="77" spans="1:6" x14ac:dyDescent="0.2">
      <c r="A77" s="87" t="s">
        <v>582</v>
      </c>
      <c r="B77" s="87" t="s">
        <v>948</v>
      </c>
      <c r="C77" s="87" t="s">
        <v>983</v>
      </c>
      <c r="D77" s="94" t="s">
        <v>984</v>
      </c>
      <c r="E77" s="94" t="s">
        <v>0</v>
      </c>
      <c r="F77" s="94">
        <v>1</v>
      </c>
    </row>
    <row r="78" spans="1:6" x14ac:dyDescent="0.2">
      <c r="A78" s="87" t="s">
        <v>721</v>
      </c>
      <c r="B78" s="87" t="s">
        <v>956</v>
      </c>
      <c r="C78" s="87" t="s">
        <v>1162</v>
      </c>
      <c r="D78" s="87" t="s">
        <v>1162</v>
      </c>
      <c r="E78" s="94" t="s">
        <v>1110</v>
      </c>
      <c r="F78" s="94">
        <v>1</v>
      </c>
    </row>
    <row r="79" spans="1:6" x14ac:dyDescent="0.2">
      <c r="A79" s="87" t="s">
        <v>664</v>
      </c>
      <c r="B79" s="87" t="s">
        <v>664</v>
      </c>
      <c r="C79" s="87" t="s">
        <v>1162</v>
      </c>
      <c r="D79" s="87" t="s">
        <v>1162</v>
      </c>
      <c r="E79" s="94" t="s">
        <v>0</v>
      </c>
      <c r="F79" s="94">
        <v>1</v>
      </c>
    </row>
    <row r="80" spans="1:6" x14ac:dyDescent="0.2">
      <c r="A80" s="87" t="s">
        <v>819</v>
      </c>
      <c r="B80" s="87" t="s">
        <v>985</v>
      </c>
      <c r="C80" s="87" t="s">
        <v>1162</v>
      </c>
      <c r="D80" s="87" t="s">
        <v>1162</v>
      </c>
      <c r="E80" s="94" t="s">
        <v>1110</v>
      </c>
      <c r="F80" s="94">
        <v>1</v>
      </c>
    </row>
    <row r="81" spans="1:6" x14ac:dyDescent="0.2">
      <c r="A81" s="95" t="s">
        <v>820</v>
      </c>
      <c r="B81" s="87" t="s">
        <v>986</v>
      </c>
      <c r="C81" s="87" t="s">
        <v>1162</v>
      </c>
      <c r="D81" s="87" t="s">
        <v>1162</v>
      </c>
      <c r="E81" s="94" t="s">
        <v>0</v>
      </c>
      <c r="F81" s="94">
        <v>1</v>
      </c>
    </row>
    <row r="82" spans="1:6" x14ac:dyDescent="0.2">
      <c r="A82" s="87" t="s">
        <v>831</v>
      </c>
      <c r="B82" s="87" t="s">
        <v>989</v>
      </c>
      <c r="C82" s="87" t="s">
        <v>1162</v>
      </c>
      <c r="D82" s="87" t="s">
        <v>1162</v>
      </c>
      <c r="E82" s="94" t="s">
        <v>659</v>
      </c>
      <c r="F82" s="94">
        <v>1</v>
      </c>
    </row>
    <row r="83" spans="1:6" x14ac:dyDescent="0.2">
      <c r="A83" s="95" t="s">
        <v>834</v>
      </c>
      <c r="B83" s="87" t="s">
        <v>990</v>
      </c>
      <c r="C83" s="87" t="s">
        <v>1162</v>
      </c>
      <c r="D83" s="87" t="s">
        <v>1162</v>
      </c>
      <c r="E83" s="94" t="s">
        <v>659</v>
      </c>
      <c r="F83" s="94">
        <v>1</v>
      </c>
    </row>
    <row r="84" spans="1:6" x14ac:dyDescent="0.2">
      <c r="A84" s="87" t="s">
        <v>838</v>
      </c>
      <c r="B84" s="87" t="s">
        <v>861</v>
      </c>
      <c r="C84" s="87" t="s">
        <v>1162</v>
      </c>
      <c r="D84" s="87" t="s">
        <v>1162</v>
      </c>
      <c r="E84" s="94" t="s">
        <v>1110</v>
      </c>
      <c r="F84" s="94">
        <v>1</v>
      </c>
    </row>
    <row r="85" spans="1:6" x14ac:dyDescent="0.2">
      <c r="A85" s="95" t="s">
        <v>840</v>
      </c>
      <c r="B85" s="87" t="s">
        <v>988</v>
      </c>
      <c r="C85" s="87" t="s">
        <v>1162</v>
      </c>
      <c r="D85" s="87" t="s">
        <v>1162</v>
      </c>
      <c r="E85" s="94" t="s">
        <v>1113</v>
      </c>
      <c r="F85" s="94">
        <v>1</v>
      </c>
    </row>
    <row r="86" spans="1:6" x14ac:dyDescent="0.2">
      <c r="A86" s="87" t="s">
        <v>861</v>
      </c>
      <c r="B86" s="87" t="s">
        <v>861</v>
      </c>
      <c r="C86" s="87" t="s">
        <v>1162</v>
      </c>
      <c r="D86" s="87" t="s">
        <v>1162</v>
      </c>
      <c r="E86" s="94" t="s">
        <v>1110</v>
      </c>
      <c r="F86" s="94">
        <v>1</v>
      </c>
    </row>
    <row r="87" spans="1:6" x14ac:dyDescent="0.2">
      <c r="A87" s="95" t="s">
        <v>862</v>
      </c>
      <c r="B87" s="87" t="s">
        <v>985</v>
      </c>
      <c r="C87" s="87" t="s">
        <v>1162</v>
      </c>
      <c r="D87" s="87" t="s">
        <v>1162</v>
      </c>
      <c r="E87" s="94" t="s">
        <v>1110</v>
      </c>
      <c r="F87" s="94">
        <v>1</v>
      </c>
    </row>
    <row r="88" spans="1:6" x14ac:dyDescent="0.2">
      <c r="A88" s="87" t="s">
        <v>884</v>
      </c>
      <c r="B88" s="87" t="s">
        <v>954</v>
      </c>
      <c r="C88" s="87" t="s">
        <v>1162</v>
      </c>
      <c r="D88" s="87" t="s">
        <v>1162</v>
      </c>
      <c r="E88" s="94" t="s">
        <v>1110</v>
      </c>
      <c r="F88" s="94">
        <v>1</v>
      </c>
    </row>
    <row r="89" spans="1:6" x14ac:dyDescent="0.2">
      <c r="A89" s="95" t="s">
        <v>886</v>
      </c>
      <c r="B89" s="87" t="s">
        <v>953</v>
      </c>
      <c r="C89" s="87" t="s">
        <v>1162</v>
      </c>
      <c r="D89" s="87" t="s">
        <v>1162</v>
      </c>
      <c r="E89" s="94" t="s">
        <v>0</v>
      </c>
      <c r="F89" s="94">
        <v>1</v>
      </c>
    </row>
    <row r="90" spans="1:6" x14ac:dyDescent="0.2">
      <c r="A90" s="87" t="s">
        <v>891</v>
      </c>
      <c r="B90" s="87" t="s">
        <v>891</v>
      </c>
      <c r="C90" s="87" t="s">
        <v>1162</v>
      </c>
      <c r="D90" s="87" t="s">
        <v>1162</v>
      </c>
      <c r="E90" s="94" t="s">
        <v>1113</v>
      </c>
      <c r="F90" s="94">
        <v>1</v>
      </c>
    </row>
    <row r="91" spans="1:6" x14ac:dyDescent="0.2">
      <c r="A91" s="95" t="s">
        <v>892</v>
      </c>
      <c r="B91" s="87" t="s">
        <v>892</v>
      </c>
      <c r="C91" s="87" t="s">
        <v>1162</v>
      </c>
      <c r="D91" s="87" t="s">
        <v>1162</v>
      </c>
      <c r="E91" s="94" t="s">
        <v>1113</v>
      </c>
      <c r="F91" s="94">
        <v>1</v>
      </c>
    </row>
    <row r="92" spans="1:6" x14ac:dyDescent="0.2">
      <c r="A92" s="87" t="s">
        <v>935</v>
      </c>
      <c r="B92" s="87" t="s">
        <v>958</v>
      </c>
      <c r="C92" s="87" t="s">
        <v>1162</v>
      </c>
      <c r="D92" s="87" t="s">
        <v>1162</v>
      </c>
      <c r="E92" s="94" t="s">
        <v>1110</v>
      </c>
      <c r="F92" s="94">
        <v>1</v>
      </c>
    </row>
    <row r="93" spans="1:6" x14ac:dyDescent="0.2">
      <c r="A93" s="87" t="s">
        <v>940</v>
      </c>
      <c r="B93" s="87" t="s">
        <v>987</v>
      </c>
      <c r="C93" s="87" t="s">
        <v>1162</v>
      </c>
      <c r="D93" s="87" t="s">
        <v>1162</v>
      </c>
      <c r="E93" s="94" t="s">
        <v>1112</v>
      </c>
      <c r="F93" s="94">
        <v>1</v>
      </c>
    </row>
    <row r="94" spans="1:6" x14ac:dyDescent="0.2">
      <c r="A94" s="87" t="s">
        <v>941</v>
      </c>
      <c r="B94" s="87" t="s">
        <v>991</v>
      </c>
      <c r="C94" s="87" t="s">
        <v>1162</v>
      </c>
      <c r="D94" s="87" t="s">
        <v>1162</v>
      </c>
      <c r="E94" s="94" t="s">
        <v>1110</v>
      </c>
      <c r="F94" s="94">
        <v>1</v>
      </c>
    </row>
    <row r="95" spans="1:6" x14ac:dyDescent="0.2">
      <c r="A95" s="87" t="s">
        <v>942</v>
      </c>
      <c r="B95" s="87" t="s">
        <v>942</v>
      </c>
      <c r="C95" s="87" t="s">
        <v>1162</v>
      </c>
      <c r="D95" s="87" t="s">
        <v>1162</v>
      </c>
      <c r="E95" s="94" t="s">
        <v>1110</v>
      </c>
      <c r="F95" s="94">
        <v>1</v>
      </c>
    </row>
    <row r="96" spans="1:6" x14ac:dyDescent="0.2">
      <c r="A96" s="87" t="s">
        <v>1006</v>
      </c>
      <c r="B96" s="87" t="s">
        <v>989</v>
      </c>
      <c r="C96" s="87" t="s">
        <v>1162</v>
      </c>
      <c r="D96" s="87" t="s">
        <v>1162</v>
      </c>
      <c r="E96" s="94" t="s">
        <v>659</v>
      </c>
      <c r="F96" s="94">
        <v>1</v>
      </c>
    </row>
    <row r="97" spans="1:6" x14ac:dyDescent="0.2">
      <c r="A97" s="87" t="s">
        <v>1007</v>
      </c>
      <c r="B97" s="87" t="s">
        <v>989</v>
      </c>
      <c r="C97" s="87" t="s">
        <v>1162</v>
      </c>
      <c r="D97" s="87" t="s">
        <v>1162</v>
      </c>
      <c r="E97" s="94" t="s">
        <v>659</v>
      </c>
      <c r="F97" s="94">
        <v>1</v>
      </c>
    </row>
    <row r="98" spans="1:6" x14ac:dyDescent="0.2">
      <c r="A98" s="87" t="s">
        <v>1032</v>
      </c>
      <c r="B98" s="87" t="s">
        <v>29</v>
      </c>
      <c r="C98" s="87" t="s">
        <v>1162</v>
      </c>
      <c r="D98" s="87" t="s">
        <v>1162</v>
      </c>
      <c r="E98" s="94" t="s">
        <v>0</v>
      </c>
      <c r="F98" s="94">
        <v>1</v>
      </c>
    </row>
    <row r="99" spans="1:6" x14ac:dyDescent="0.2">
      <c r="A99" s="87" t="s">
        <v>1033</v>
      </c>
      <c r="B99" s="87" t="s">
        <v>29</v>
      </c>
      <c r="C99" s="87" t="s">
        <v>1162</v>
      </c>
      <c r="D99" s="87" t="s">
        <v>1162</v>
      </c>
      <c r="E99" s="94" t="s">
        <v>0</v>
      </c>
      <c r="F99" s="94">
        <v>1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6683-7DC1-4C45-94ED-54DD7FFC6FB9}">
  <sheetPr codeName="Tabelle37"/>
  <dimension ref="A1:B99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1" t="s">
        <v>0</v>
      </c>
      <c r="B1" s="1" t="s">
        <v>1034</v>
      </c>
    </row>
    <row r="2" spans="1:2" x14ac:dyDescent="0.2">
      <c r="A2" s="87" t="s">
        <v>29</v>
      </c>
      <c r="B2" s="87" t="s">
        <v>1035</v>
      </c>
    </row>
    <row r="3" spans="1:2" x14ac:dyDescent="0.2">
      <c r="A3" s="87" t="s">
        <v>53</v>
      </c>
      <c r="B3" s="87" t="s">
        <v>1036</v>
      </c>
    </row>
    <row r="4" spans="1:2" x14ac:dyDescent="0.2">
      <c r="A4" s="87" t="s">
        <v>54</v>
      </c>
      <c r="B4" s="87" t="s">
        <v>1037</v>
      </c>
    </row>
    <row r="5" spans="1:2" x14ac:dyDescent="0.2">
      <c r="A5" s="87" t="s">
        <v>72</v>
      </c>
      <c r="B5" s="87" t="s">
        <v>1038</v>
      </c>
    </row>
    <row r="6" spans="1:2" x14ac:dyDescent="0.2">
      <c r="A6" s="87" t="s">
        <v>76</v>
      </c>
      <c r="B6" s="87" t="s">
        <v>1039</v>
      </c>
    </row>
    <row r="7" spans="1:2" x14ac:dyDescent="0.2">
      <c r="A7" s="87" t="s">
        <v>77</v>
      </c>
      <c r="B7" s="87" t="s">
        <v>1040</v>
      </c>
    </row>
    <row r="8" spans="1:2" x14ac:dyDescent="0.2">
      <c r="A8" s="87" t="s">
        <v>80</v>
      </c>
      <c r="B8" s="87" t="s">
        <v>1043</v>
      </c>
    </row>
    <row r="9" spans="1:2" x14ac:dyDescent="0.2">
      <c r="A9" s="87" t="s">
        <v>81</v>
      </c>
      <c r="B9" s="87" t="s">
        <v>1042</v>
      </c>
    </row>
    <row r="10" spans="1:2" x14ac:dyDescent="0.2">
      <c r="A10" s="87" t="s">
        <v>82</v>
      </c>
      <c r="B10" s="87" t="s">
        <v>1041</v>
      </c>
    </row>
    <row r="11" spans="1:2" x14ac:dyDescent="0.2">
      <c r="A11" s="87" t="s">
        <v>84</v>
      </c>
      <c r="B11" s="87" t="s">
        <v>1044</v>
      </c>
    </row>
    <row r="12" spans="1:2" x14ac:dyDescent="0.2">
      <c r="A12" s="87" t="s">
        <v>953</v>
      </c>
      <c r="B12" s="87" t="s">
        <v>1045</v>
      </c>
    </row>
    <row r="13" spans="1:2" x14ac:dyDescent="0.2">
      <c r="A13" s="87" t="s">
        <v>91</v>
      </c>
      <c r="B13" s="87" t="s">
        <v>1046</v>
      </c>
    </row>
    <row r="14" spans="1:2" x14ac:dyDescent="0.2">
      <c r="A14" s="87" t="s">
        <v>213</v>
      </c>
      <c r="B14" s="87" t="s">
        <v>1047</v>
      </c>
    </row>
    <row r="15" spans="1:2" x14ac:dyDescent="0.2">
      <c r="A15" s="87" t="s">
        <v>100</v>
      </c>
      <c r="B15" s="87" t="s">
        <v>1048</v>
      </c>
    </row>
    <row r="16" spans="1:2" x14ac:dyDescent="0.2">
      <c r="A16" s="87" t="s">
        <v>1159</v>
      </c>
      <c r="B16" s="87" t="s">
        <v>1049</v>
      </c>
    </row>
    <row r="17" spans="1:2" x14ac:dyDescent="0.2">
      <c r="A17" s="87" t="s">
        <v>102</v>
      </c>
      <c r="B17" s="87" t="s">
        <v>1050</v>
      </c>
    </row>
    <row r="18" spans="1:2" x14ac:dyDescent="0.2">
      <c r="A18" s="87" t="s">
        <v>103</v>
      </c>
      <c r="B18" s="87" t="s">
        <v>1051</v>
      </c>
    </row>
    <row r="19" spans="1:2" x14ac:dyDescent="0.2">
      <c r="A19" s="87" t="s">
        <v>104</v>
      </c>
      <c r="B19" s="87" t="s">
        <v>1052</v>
      </c>
    </row>
    <row r="20" spans="1:2" x14ac:dyDescent="0.2">
      <c r="A20" s="87" t="s">
        <v>105</v>
      </c>
      <c r="B20" s="87" t="s">
        <v>1053</v>
      </c>
    </row>
    <row r="21" spans="1:2" x14ac:dyDescent="0.2">
      <c r="A21" s="87" t="s">
        <v>106</v>
      </c>
      <c r="B21" s="87" t="s">
        <v>1054</v>
      </c>
    </row>
    <row r="22" spans="1:2" x14ac:dyDescent="0.2">
      <c r="A22" s="87" t="s">
        <v>139</v>
      </c>
      <c r="B22" s="87" t="s">
        <v>1055</v>
      </c>
    </row>
    <row r="23" spans="1:2" x14ac:dyDescent="0.2">
      <c r="A23" s="87" t="s">
        <v>140</v>
      </c>
      <c r="B23" s="87" t="s">
        <v>1056</v>
      </c>
    </row>
    <row r="24" spans="1:2" x14ac:dyDescent="0.2">
      <c r="A24" s="87" t="s">
        <v>127</v>
      </c>
      <c r="B24" s="87" t="s">
        <v>1057</v>
      </c>
    </row>
    <row r="25" spans="1:2" x14ac:dyDescent="0.2">
      <c r="A25" s="87" t="s">
        <v>132</v>
      </c>
      <c r="B25" s="87" t="s">
        <v>1058</v>
      </c>
    </row>
    <row r="26" spans="1:2" x14ac:dyDescent="0.2">
      <c r="A26" s="87" t="s">
        <v>133</v>
      </c>
      <c r="B26" s="87" t="s">
        <v>1062</v>
      </c>
    </row>
    <row r="27" spans="1:2" x14ac:dyDescent="0.2">
      <c r="A27" s="87" t="s">
        <v>135</v>
      </c>
      <c r="B27" s="87" t="s">
        <v>1049</v>
      </c>
    </row>
    <row r="28" spans="1:2" x14ac:dyDescent="0.2">
      <c r="A28" s="87" t="s">
        <v>136</v>
      </c>
      <c r="B28" s="87" t="s">
        <v>1050</v>
      </c>
    </row>
    <row r="29" spans="1:2" x14ac:dyDescent="0.2">
      <c r="A29" s="87" t="s">
        <v>137</v>
      </c>
      <c r="B29" s="87" t="s">
        <v>1059</v>
      </c>
    </row>
    <row r="30" spans="1:2" x14ac:dyDescent="0.2">
      <c r="A30" s="87" t="s">
        <v>138</v>
      </c>
      <c r="B30" s="87" t="s">
        <v>1055</v>
      </c>
    </row>
    <row r="31" spans="1:2" x14ac:dyDescent="0.2">
      <c r="A31" s="87" t="s">
        <v>141</v>
      </c>
      <c r="B31" s="87" t="s">
        <v>1056</v>
      </c>
    </row>
    <row r="32" spans="1:2" x14ac:dyDescent="0.2">
      <c r="A32" s="87" t="s">
        <v>153</v>
      </c>
      <c r="B32" s="87" t="s">
        <v>1060</v>
      </c>
    </row>
    <row r="33" spans="1:2" x14ac:dyDescent="0.2">
      <c r="A33" s="87" t="s">
        <v>167</v>
      </c>
      <c r="B33" s="87" t="s">
        <v>1061</v>
      </c>
    </row>
    <row r="34" spans="1:2" x14ac:dyDescent="0.2">
      <c r="A34" s="87" t="s">
        <v>188</v>
      </c>
      <c r="B34" s="87" t="s">
        <v>1063</v>
      </c>
    </row>
    <row r="35" spans="1:2" x14ac:dyDescent="0.2">
      <c r="A35" s="87" t="s">
        <v>189</v>
      </c>
      <c r="B35" s="87" t="s">
        <v>1064</v>
      </c>
    </row>
    <row r="36" spans="1:2" x14ac:dyDescent="0.2">
      <c r="A36" s="87" t="s">
        <v>190</v>
      </c>
      <c r="B36" s="87" t="s">
        <v>1065</v>
      </c>
    </row>
    <row r="37" spans="1:2" x14ac:dyDescent="0.2">
      <c r="A37" s="87" t="s">
        <v>191</v>
      </c>
      <c r="B37" s="87" t="s">
        <v>1066</v>
      </c>
    </row>
    <row r="38" spans="1:2" x14ac:dyDescent="0.2">
      <c r="A38" s="87" t="s">
        <v>192</v>
      </c>
      <c r="B38" s="87" t="s">
        <v>1067</v>
      </c>
    </row>
    <row r="39" spans="1:2" x14ac:dyDescent="0.2">
      <c r="A39" s="87" t="s">
        <v>193</v>
      </c>
      <c r="B39" s="87" t="s">
        <v>1068</v>
      </c>
    </row>
    <row r="40" spans="1:2" x14ac:dyDescent="0.2">
      <c r="A40" s="87" t="s">
        <v>194</v>
      </c>
      <c r="B40" s="87" t="s">
        <v>1069</v>
      </c>
    </row>
    <row r="41" spans="1:2" x14ac:dyDescent="0.2">
      <c r="A41" s="87" t="s">
        <v>195</v>
      </c>
      <c r="B41" s="87" t="s">
        <v>1070</v>
      </c>
    </row>
    <row r="42" spans="1:2" x14ac:dyDescent="0.2">
      <c r="A42" s="87" t="s">
        <v>211</v>
      </c>
      <c r="B42" s="87" t="s">
        <v>1050</v>
      </c>
    </row>
    <row r="43" spans="1:2" x14ac:dyDescent="0.2">
      <c r="A43" s="87" t="s">
        <v>212</v>
      </c>
      <c r="B43" s="87" t="s">
        <v>1071</v>
      </c>
    </row>
    <row r="44" spans="1:2" x14ac:dyDescent="0.2">
      <c r="A44" s="87" t="s">
        <v>214</v>
      </c>
      <c r="B44" s="87" t="s">
        <v>1072</v>
      </c>
    </row>
    <row r="45" spans="1:2" x14ac:dyDescent="0.2">
      <c r="A45" s="87" t="s">
        <v>215</v>
      </c>
      <c r="B45" s="87" t="s">
        <v>1073</v>
      </c>
    </row>
    <row r="46" spans="1:2" x14ac:dyDescent="0.2">
      <c r="A46" s="87" t="s">
        <v>224</v>
      </c>
      <c r="B46" s="87" t="s">
        <v>1074</v>
      </c>
    </row>
    <row r="47" spans="1:2" x14ac:dyDescent="0.2">
      <c r="A47" s="87" t="s">
        <v>226</v>
      </c>
      <c r="B47" s="87" t="s">
        <v>1075</v>
      </c>
    </row>
    <row r="48" spans="1:2" x14ac:dyDescent="0.2">
      <c r="A48" s="87" t="s">
        <v>282</v>
      </c>
      <c r="B48" s="87" t="s">
        <v>1076</v>
      </c>
    </row>
    <row r="49" spans="1:2" x14ac:dyDescent="0.2">
      <c r="A49" s="87" t="s">
        <v>314</v>
      </c>
      <c r="B49" s="87" t="s">
        <v>1090</v>
      </c>
    </row>
    <row r="50" spans="1:2" x14ac:dyDescent="0.2">
      <c r="A50" s="87" t="s">
        <v>288</v>
      </c>
      <c r="B50" s="87" t="s">
        <v>1048</v>
      </c>
    </row>
    <row r="51" spans="1:2" x14ac:dyDescent="0.2">
      <c r="A51" s="87" t="s">
        <v>289</v>
      </c>
      <c r="B51" s="87" t="s">
        <v>1046</v>
      </c>
    </row>
    <row r="52" spans="1:2" x14ac:dyDescent="0.2">
      <c r="A52" s="87" t="s">
        <v>294</v>
      </c>
      <c r="B52" s="87" t="s">
        <v>1077</v>
      </c>
    </row>
    <row r="53" spans="1:2" x14ac:dyDescent="0.2">
      <c r="A53" s="87" t="s">
        <v>295</v>
      </c>
      <c r="B53" s="87" t="s">
        <v>1078</v>
      </c>
    </row>
    <row r="54" spans="1:2" x14ac:dyDescent="0.2">
      <c r="A54" s="87" t="s">
        <v>296</v>
      </c>
      <c r="B54" s="87" t="s">
        <v>1079</v>
      </c>
    </row>
    <row r="55" spans="1:2" x14ac:dyDescent="0.2">
      <c r="A55" s="87" t="s">
        <v>297</v>
      </c>
      <c r="B55" s="87" t="s">
        <v>1080</v>
      </c>
    </row>
    <row r="56" spans="1:2" x14ac:dyDescent="0.2">
      <c r="A56" s="87" t="s">
        <v>298</v>
      </c>
      <c r="B56" s="87" t="s">
        <v>1081</v>
      </c>
    </row>
    <row r="57" spans="1:2" x14ac:dyDescent="0.2">
      <c r="A57" s="87" t="s">
        <v>299</v>
      </c>
      <c r="B57" s="87" t="s">
        <v>1074</v>
      </c>
    </row>
    <row r="58" spans="1:2" x14ac:dyDescent="0.2">
      <c r="A58" s="87" t="s">
        <v>300</v>
      </c>
      <c r="B58" s="87" t="s">
        <v>1082</v>
      </c>
    </row>
    <row r="59" spans="1:2" x14ac:dyDescent="0.2">
      <c r="A59" s="87" t="s">
        <v>301</v>
      </c>
      <c r="B59" s="87" t="s">
        <v>1107</v>
      </c>
    </row>
    <row r="60" spans="1:2" x14ac:dyDescent="0.2">
      <c r="A60" s="87" t="s">
        <v>302</v>
      </c>
      <c r="B60" s="87" t="s">
        <v>1083</v>
      </c>
    </row>
    <row r="61" spans="1:2" x14ac:dyDescent="0.2">
      <c r="A61" s="87" t="s">
        <v>330</v>
      </c>
      <c r="B61" s="87" t="s">
        <v>1084</v>
      </c>
    </row>
    <row r="62" spans="1:2" x14ac:dyDescent="0.2">
      <c r="A62" s="87" t="s">
        <v>367</v>
      </c>
      <c r="B62" s="87" t="s">
        <v>1086</v>
      </c>
    </row>
    <row r="63" spans="1:2" x14ac:dyDescent="0.2">
      <c r="A63" s="87" t="s">
        <v>375</v>
      </c>
      <c r="B63" s="87" t="s">
        <v>1087</v>
      </c>
    </row>
    <row r="64" spans="1:2" x14ac:dyDescent="0.2">
      <c r="A64" s="87" t="s">
        <v>378</v>
      </c>
      <c r="B64" s="87" t="s">
        <v>1089</v>
      </c>
    </row>
    <row r="65" spans="1:2" x14ac:dyDescent="0.2">
      <c r="A65" s="87" t="s">
        <v>379</v>
      </c>
      <c r="B65" s="87" t="s">
        <v>1158</v>
      </c>
    </row>
    <row r="66" spans="1:2" x14ac:dyDescent="0.2">
      <c r="A66" s="87" t="s">
        <v>394</v>
      </c>
      <c r="B66" s="87" t="s">
        <v>1047</v>
      </c>
    </row>
    <row r="67" spans="1:2" x14ac:dyDescent="0.2">
      <c r="A67" s="87" t="s">
        <v>403</v>
      </c>
      <c r="B67" s="87" t="s">
        <v>1075</v>
      </c>
    </row>
    <row r="68" spans="1:2" x14ac:dyDescent="0.2">
      <c r="A68" s="87" t="s">
        <v>408</v>
      </c>
      <c r="B68" s="87" t="s">
        <v>1091</v>
      </c>
    </row>
    <row r="69" spans="1:2" x14ac:dyDescent="0.2">
      <c r="A69" s="87" t="s">
        <v>420</v>
      </c>
      <c r="B69" s="87" t="s">
        <v>1081</v>
      </c>
    </row>
    <row r="70" spans="1:2" x14ac:dyDescent="0.2">
      <c r="A70" s="87" t="s">
        <v>419</v>
      </c>
      <c r="B70" s="87" t="s">
        <v>1065</v>
      </c>
    </row>
    <row r="71" spans="1:2" x14ac:dyDescent="0.2">
      <c r="A71" s="87" t="s">
        <v>1088</v>
      </c>
      <c r="B71" s="87" t="s">
        <v>1092</v>
      </c>
    </row>
    <row r="72" spans="1:2" x14ac:dyDescent="0.2">
      <c r="A72" s="87" t="s">
        <v>542</v>
      </c>
      <c r="B72" s="87" t="s">
        <v>1093</v>
      </c>
    </row>
    <row r="73" spans="1:2" x14ac:dyDescent="0.2">
      <c r="A73" s="87" t="s">
        <v>543</v>
      </c>
      <c r="B73" s="87" t="s">
        <v>1094</v>
      </c>
    </row>
    <row r="74" spans="1:2" x14ac:dyDescent="0.2">
      <c r="A74" s="87" t="s">
        <v>544</v>
      </c>
      <c r="B74" s="87" t="s">
        <v>1063</v>
      </c>
    </row>
    <row r="75" spans="1:2" x14ac:dyDescent="0.2">
      <c r="A75" s="87" t="s">
        <v>549</v>
      </c>
      <c r="B75" s="87" t="s">
        <v>1095</v>
      </c>
    </row>
    <row r="76" spans="1:2" x14ac:dyDescent="0.2">
      <c r="A76" s="87" t="s">
        <v>581</v>
      </c>
      <c r="B76" s="87" t="s">
        <v>1073</v>
      </c>
    </row>
    <row r="77" spans="1:2" x14ac:dyDescent="0.2">
      <c r="A77" s="87" t="s">
        <v>582</v>
      </c>
      <c r="B77" s="87" t="s">
        <v>1096</v>
      </c>
    </row>
    <row r="78" spans="1:2" x14ac:dyDescent="0.2">
      <c r="A78" s="87" t="s">
        <v>721</v>
      </c>
      <c r="B78" s="87" t="s">
        <v>1097</v>
      </c>
    </row>
    <row r="79" spans="1:2" x14ac:dyDescent="0.2">
      <c r="A79" s="87" t="s">
        <v>664</v>
      </c>
      <c r="B79" s="87" t="s">
        <v>1098</v>
      </c>
    </row>
    <row r="80" spans="1:2" x14ac:dyDescent="0.2">
      <c r="A80" s="87" t="s">
        <v>819</v>
      </c>
      <c r="B80" s="87" t="s">
        <v>1099</v>
      </c>
    </row>
    <row r="81" spans="1:2" x14ac:dyDescent="0.2">
      <c r="A81" s="95" t="s">
        <v>820</v>
      </c>
      <c r="B81" s="87" t="s">
        <v>1100</v>
      </c>
    </row>
    <row r="82" spans="1:2" x14ac:dyDescent="0.2">
      <c r="A82" s="87" t="s">
        <v>831</v>
      </c>
      <c r="B82" s="87" t="s">
        <v>1075</v>
      </c>
    </row>
    <row r="83" spans="1:2" x14ac:dyDescent="0.2">
      <c r="A83" s="95" t="s">
        <v>834</v>
      </c>
      <c r="B83" s="87" t="s">
        <v>1075</v>
      </c>
    </row>
    <row r="84" spans="1:2" x14ac:dyDescent="0.2">
      <c r="A84" s="87" t="s">
        <v>838</v>
      </c>
      <c r="B84" s="87" t="s">
        <v>1101</v>
      </c>
    </row>
    <row r="85" spans="1:2" x14ac:dyDescent="0.2">
      <c r="A85" s="95" t="s">
        <v>840</v>
      </c>
      <c r="B85" s="87" t="s">
        <v>1102</v>
      </c>
    </row>
    <row r="86" spans="1:2" x14ac:dyDescent="0.2">
      <c r="A86" s="87" t="s">
        <v>861</v>
      </c>
      <c r="B86" s="87" t="s">
        <v>1103</v>
      </c>
    </row>
    <row r="87" spans="1:2" x14ac:dyDescent="0.2">
      <c r="A87" s="95" t="s">
        <v>862</v>
      </c>
      <c r="B87" s="87" t="s">
        <v>1067</v>
      </c>
    </row>
    <row r="88" spans="1:2" x14ac:dyDescent="0.2">
      <c r="A88" s="87" t="s">
        <v>884</v>
      </c>
      <c r="B88" s="87" t="s">
        <v>1047</v>
      </c>
    </row>
    <row r="89" spans="1:2" x14ac:dyDescent="0.2">
      <c r="A89" s="95" t="s">
        <v>886</v>
      </c>
      <c r="B89" s="87" t="s">
        <v>1108</v>
      </c>
    </row>
    <row r="90" spans="1:2" x14ac:dyDescent="0.2">
      <c r="A90" s="87" t="s">
        <v>891</v>
      </c>
      <c r="B90" s="87" t="s">
        <v>1104</v>
      </c>
    </row>
    <row r="91" spans="1:2" x14ac:dyDescent="0.2">
      <c r="A91" s="95" t="s">
        <v>892</v>
      </c>
      <c r="B91" s="87" t="s">
        <v>1062</v>
      </c>
    </row>
    <row r="92" spans="1:2" x14ac:dyDescent="0.2">
      <c r="A92" s="87" t="s">
        <v>935</v>
      </c>
      <c r="B92" s="87" t="s">
        <v>1105</v>
      </c>
    </row>
    <row r="93" spans="1:2" x14ac:dyDescent="0.2">
      <c r="A93" s="87" t="s">
        <v>940</v>
      </c>
      <c r="B93" s="87" t="s">
        <v>1083</v>
      </c>
    </row>
    <row r="94" spans="1:2" x14ac:dyDescent="0.2">
      <c r="A94" s="87" t="s">
        <v>941</v>
      </c>
      <c r="B94" s="87" t="s">
        <v>1060</v>
      </c>
    </row>
    <row r="95" spans="1:2" x14ac:dyDescent="0.2">
      <c r="A95" s="87" t="s">
        <v>942</v>
      </c>
      <c r="B95" s="87" t="s">
        <v>1106</v>
      </c>
    </row>
    <row r="96" spans="1:2" x14ac:dyDescent="0.2">
      <c r="A96" s="87" t="s">
        <v>1006</v>
      </c>
      <c r="B96" s="87" t="s">
        <v>1107</v>
      </c>
    </row>
    <row r="97" spans="1:2" x14ac:dyDescent="0.2">
      <c r="A97" s="87" t="s">
        <v>1007</v>
      </c>
      <c r="B97" s="87" t="s">
        <v>1085</v>
      </c>
    </row>
    <row r="98" spans="1:2" x14ac:dyDescent="0.2">
      <c r="A98" s="87" t="s">
        <v>1032</v>
      </c>
      <c r="B98" s="87" t="s">
        <v>1084</v>
      </c>
    </row>
    <row r="99" spans="1:2" x14ac:dyDescent="0.2">
      <c r="A99" s="87" t="s">
        <v>1033</v>
      </c>
      <c r="B99" s="87" t="s">
        <v>1109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150</v>
      </c>
      <c r="K1" s="2" t="s">
        <v>151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116</v>
      </c>
      <c r="Q1" s="2" t="s">
        <v>57</v>
      </c>
      <c r="R1" s="2" t="s">
        <v>123</v>
      </c>
      <c r="S1" s="2" t="s">
        <v>58</v>
      </c>
      <c r="T1" s="2" t="s">
        <v>9</v>
      </c>
      <c r="U1" s="2" t="s">
        <v>159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99</v>
      </c>
      <c r="AA1" s="2" t="s">
        <v>12</v>
      </c>
      <c r="AB1" s="2" t="s">
        <v>11</v>
      </c>
      <c r="AC1" s="2" t="s">
        <v>15</v>
      </c>
      <c r="AD1" s="2" t="s">
        <v>147</v>
      </c>
      <c r="AE1" s="2" t="s">
        <v>22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59</v>
      </c>
      <c r="AK1" s="2" t="s">
        <v>1161</v>
      </c>
      <c r="AL1" s="2" t="s">
        <v>117</v>
      </c>
      <c r="AM1" s="2" t="s">
        <v>60</v>
      </c>
      <c r="AN1" s="2" t="s">
        <v>61</v>
      </c>
      <c r="AO1" s="2" t="s">
        <v>98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148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131</v>
      </c>
      <c r="B2" t="s">
        <v>555</v>
      </c>
    </row>
    <row r="4" spans="1:3" x14ac:dyDescent="0.25">
      <c r="A4" s="51" t="s">
        <v>553</v>
      </c>
      <c r="B4" t="s">
        <v>556</v>
      </c>
      <c r="C4" t="s">
        <v>557</v>
      </c>
    </row>
    <row r="5" spans="1:3" x14ac:dyDescent="0.25">
      <c r="A5" s="52" t="s">
        <v>542</v>
      </c>
    </row>
    <row r="6" spans="1:3" x14ac:dyDescent="0.25">
      <c r="A6" s="53">
        <v>2010</v>
      </c>
    </row>
    <row r="7" spans="1:3" x14ac:dyDescent="0.25">
      <c r="A7" s="52" t="s">
        <v>213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224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84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77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543</v>
      </c>
    </row>
    <row r="33" spans="1:3" x14ac:dyDescent="0.25">
      <c r="A33" s="53">
        <v>2010</v>
      </c>
    </row>
    <row r="34" spans="1:3" x14ac:dyDescent="0.25">
      <c r="A34" s="52" t="s">
        <v>394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141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81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54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211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544</v>
      </c>
    </row>
    <row r="61" spans="1:3" x14ac:dyDescent="0.25">
      <c r="A61" s="53">
        <v>2010</v>
      </c>
    </row>
    <row r="62" spans="1:3" x14ac:dyDescent="0.25">
      <c r="A62" s="52" t="s">
        <v>549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953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137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138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167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554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827</v>
      </c>
      <c r="B18" s="1" t="s">
        <v>946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" sqref="B1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322</v>
      </c>
      <c r="B1" s="1" t="s">
        <v>329</v>
      </c>
    </row>
    <row r="2" spans="1:2" x14ac:dyDescent="0.2">
      <c r="A2" s="1" t="s">
        <v>520</v>
      </c>
      <c r="B2" s="1" t="s">
        <v>519</v>
      </c>
    </row>
    <row r="3" spans="1:2" x14ac:dyDescent="0.2">
      <c r="A3" s="1" t="s">
        <v>323</v>
      </c>
      <c r="B3" s="1" t="s">
        <v>537</v>
      </c>
    </row>
    <row r="4" spans="1:2" x14ac:dyDescent="0.2">
      <c r="A4" s="1" t="s">
        <v>326</v>
      </c>
      <c r="B4" s="1" t="s">
        <v>327</v>
      </c>
    </row>
    <row r="5" spans="1:2" x14ac:dyDescent="0.2">
      <c r="A5" s="1" t="s">
        <v>324</v>
      </c>
      <c r="B5" s="1" t="s">
        <v>325</v>
      </c>
    </row>
    <row r="6" spans="1:2" ht="25.5" x14ac:dyDescent="0.2">
      <c r="A6" s="1" t="s">
        <v>328</v>
      </c>
      <c r="B6" s="98" t="s">
        <v>1131</v>
      </c>
    </row>
    <row r="7" spans="1:2" x14ac:dyDescent="0.2">
      <c r="A7" s="1" t="s">
        <v>368</v>
      </c>
      <c r="B7" s="1" t="s">
        <v>826</v>
      </c>
    </row>
    <row r="8" spans="1:2" x14ac:dyDescent="0.2">
      <c r="A8" s="1" t="s">
        <v>369</v>
      </c>
      <c r="B8" s="1" t="s">
        <v>370</v>
      </c>
    </row>
    <row r="9" spans="1:2" x14ac:dyDescent="0.2">
      <c r="A9" s="1" t="s">
        <v>371</v>
      </c>
      <c r="B9" s="1" t="s">
        <v>372</v>
      </c>
    </row>
    <row r="10" spans="1:2" x14ac:dyDescent="0.2">
      <c r="A10" s="1" t="s">
        <v>468</v>
      </c>
      <c r="B10" s="1" t="s">
        <v>469</v>
      </c>
    </row>
    <row r="11" spans="1:2" x14ac:dyDescent="0.2">
      <c r="A11" s="1" t="s">
        <v>470</v>
      </c>
      <c r="B11" s="1" t="s">
        <v>1178</v>
      </c>
    </row>
    <row r="12" spans="1:2" x14ac:dyDescent="0.2">
      <c r="A12" s="1" t="s">
        <v>576</v>
      </c>
      <c r="B12" s="1" t="s">
        <v>577</v>
      </c>
    </row>
    <row r="13" spans="1:2" x14ac:dyDescent="0.2">
      <c r="A13" s="1" t="s">
        <v>578</v>
      </c>
      <c r="B13" s="1" t="s">
        <v>579</v>
      </c>
    </row>
    <row r="14" spans="1:2" ht="25.5" x14ac:dyDescent="0.2">
      <c r="A14" s="1" t="s">
        <v>580</v>
      </c>
      <c r="B14" s="98" t="s">
        <v>1132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43</vt:i4>
      </vt:variant>
      <vt:variant>
        <vt:lpstr>Benannte Bereiche</vt:lpstr>
      </vt:variant>
      <vt:variant>
        <vt:i4>5</vt:i4>
      </vt:variant>
    </vt:vector>
  </HeadingPairs>
  <TitlesOfParts>
    <vt:vector size="48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</vt:lpstr>
      <vt:lpstr>Kategorien_grob</vt:lpstr>
      <vt:lpstr>Farben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2021-12-13T16:54:39Z</dcterms:modified>
</cp:coreProperties>
</file>